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externalLinks/externalLink9.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mc:AlternateContent xmlns:mc="http://schemas.openxmlformats.org/markup-compatibility/2006">
    <mc:Choice Requires="x15">
      <x15ac:absPath xmlns:x15ac="http://schemas.microsoft.com/office/spreadsheetml/2010/11/ac" url="I:\Model\UE-170033\ERRATA\"/>
    </mc:Choice>
  </mc:AlternateContent>
  <bookViews>
    <workbookView xWindow="-15" yWindow="165" windowWidth="14520" windowHeight="11295" tabRatio="903" activeTab="1"/>
  </bookViews>
  <sheets>
    <sheet name="INDEX" sheetId="199" r:id="rId1"/>
    <sheet name="MCC-2 page 1-6" sheetId="86" r:id="rId2"/>
    <sheet name="MCC-2 page 7-30" sheetId="126" r:id="rId3"/>
    <sheet name="MCC-2 page 31-45" sheetId="87" r:id="rId4"/>
    <sheet name="EXHIBIT MCC-3" sheetId="127" r:id="rId5"/>
    <sheet name="EXHIBIT MCC-4" sheetId="200" r:id="rId6"/>
    <sheet name="EXHIBIT MCC-5" sheetId="202" r:id="rId7"/>
    <sheet name="EXHIBIT MCC-6" sheetId="206" r:id="rId8"/>
    <sheet name="EXHIBIT MCC-12" sheetId="207" r:id="rId9"/>
    <sheet name="Work Papers==&gt;" sheetId="195" r:id="rId10"/>
    <sheet name="FirmResale" sheetId="204" r:id="rId11"/>
    <sheet name="For Prod Adj Expense" sheetId="21" r:id="rId12"/>
    <sheet name="For Prod Adj Ratebase" sheetId="183" r:id="rId13"/>
    <sheet name="Power Cost WP" sheetId="174" r:id="rId14"/>
    <sheet name="Exh.A-1" sheetId="192" r:id="rId15"/>
    <sheet name="Restating Print Macros" sheetId="33" state="very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localSheetId="14" hidden="1">[2]ConsolidatingPL!#REF!</definedName>
    <definedName name="__123Graph_ECURRENT" localSheetId="5" hidden="1">#N/A</definedName>
    <definedName name="__123Graph_ECURRENT" localSheetId="6" hidden="1">#N/A</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six6" localSheetId="7" hidden="1">{#N/A,#N/A,FALSE,"CRPT";#N/A,#N/A,FALSE,"TREND";#N/A,#N/A,FALSE,"%Curve"}</definedName>
    <definedName name="__six6" hidden="1">{#N/A,#N/A,FALSE,"CRPT";#N/A,#N/A,FALSE,"TREND";#N/A,#N/A,FALSE,"%Curve"}</definedName>
    <definedName name="_1__123Graph_ABUDG6_D_ESCRPR" hidden="1">[1]Quant!$D$71:$O$71</definedName>
    <definedName name="_2__123Graph_ABUDG6_Dtons_inv" localSheetId="14" hidden="1">[3]Quant!#REF!</definedName>
    <definedName name="_2__123Graph_ABUDG6_Dtons_inv" hidden="1">[3]Quant!#REF!</definedName>
    <definedName name="_3__123Graph_ABUDG6_Dtons_inv" localSheetId="14" hidden="1">[4]Quant!#REF!</definedName>
    <definedName name="_3__123Graph_ABUDG6_Dtons_inv" hidden="1">[4]Quant!#REF!</definedName>
    <definedName name="_3__123Graph_BBUDG6_D_ESCRPR" hidden="1">[1]Quant!$D$72:$O$72</definedName>
    <definedName name="_4__123Graph_ABUDG6_Dtons_inv" localSheetId="14" hidden="1">'[5]Area D 2011'!#REF!</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localSheetId="14" hidden="1">'[6]2012 Area AB BudgetSummary'!#REF!</definedName>
    <definedName name="_6__123Graph_CBUDG6_D_ESCRPR" hidden="1">'[6]2012 Area AB BudgetSummary'!#REF!</definedName>
    <definedName name="_6__123Graph_DBUDG6_D_ESCRPR" hidden="1">[1]Quant!$D$88:$O$88</definedName>
    <definedName name="_7__123Graph_CBUDG6_D_ESCRPR" localSheetId="14" hidden="1">'[5]Area D 2011'!#REF!</definedName>
    <definedName name="_7__123Graph_CBUDG6_D_ESCRPR" hidden="1">'[5]Area D 2011'!#REF!</definedName>
    <definedName name="_7__123Graph_DBUDG6_D_ESCRPR" localSheetId="14" hidden="1">'[6]2012 Area AB BudgetSummary'!#REF!</definedName>
    <definedName name="_7__123Graph_DBUDG6_D_ESCRPR" hidden="1">'[6]2012 Area AB BudgetSummary'!#REF!</definedName>
    <definedName name="_7__123Graph_XBUDG6_D_ESCRPR" hidden="1">[1]Quant!$D$5:$O$5</definedName>
    <definedName name="_8__123Graph_DBUDG6_D_ESCRPR" localSheetId="14" hidden="1">'[5]Area D 2011'!#REF!</definedName>
    <definedName name="_8__123Graph_DBUDG6_D_ESCRPR" hidden="1">'[5]Area D 2011'!#REF!</definedName>
    <definedName name="_8__123Graph_XBUDG6_Dtons_inv" hidden="1">[1]Quant!$D$5:$O$5</definedName>
    <definedName name="_Fill" localSheetId="14" hidden="1">#REF!</definedName>
    <definedName name="_Fill" localSheetId="5" hidden="1">#REF!</definedName>
    <definedName name="_Fill" localSheetId="6" hidden="1">#REF!</definedName>
    <definedName name="_Fill" hidden="1">#REF!</definedName>
    <definedName name="_Key1" localSheetId="14" hidden="1">#REF!</definedName>
    <definedName name="_Key1" hidden="1">#REF!</definedName>
    <definedName name="_Key2" localSheetId="14" hidden="1">#REF!</definedName>
    <definedName name="_Key2" hidden="1">#REF!</definedName>
    <definedName name="_Order1" hidden="1">255</definedName>
    <definedName name="_Order2" hidden="1">255</definedName>
    <definedName name="_Parse_In" localSheetId="14" hidden="1">#REF!</definedName>
    <definedName name="_Parse_In" hidden="1">#REF!</definedName>
    <definedName name="_six6" localSheetId="6" hidden="1">{#N/A,#N/A,FALSE,"CRPT";#N/A,#N/A,FALSE,"TREND";#N/A,#N/A,FALSE,"%Curve"}</definedName>
    <definedName name="_six6" hidden="1">{#N/A,#N/A,FALSE,"CRPT";#N/A,#N/A,FALSE,"TREND";#N/A,#N/A,FALSE,"%Curve"}</definedName>
    <definedName name="_www1" localSheetId="6" hidden="1">{#N/A,#N/A,FALSE,"schA"}</definedName>
    <definedName name="_www1" hidden="1">{#N/A,#N/A,FALSE,"schA"}</definedName>
    <definedName name="a" localSheetId="6" hidden="1">{#N/A,#N/A,FALSE,"Coversheet";#N/A,#N/A,FALSE,"QA"}</definedName>
    <definedName name="a" hidden="1">{#N/A,#N/A,FALSE,"Coversheet";#N/A,#N/A,FALSE,"QA"}</definedName>
    <definedName name="AccessDatabase" hidden="1">"I:\COMTREL\FINICLE\TradeSummary.mdb"</definedName>
    <definedName name="b" localSheetId="5" hidden="1">{#N/A,#N/A,FALSE,"Coversheet";#N/A,#N/A,FALSE,"QA"}</definedName>
    <definedName name="b" localSheetId="6" hidden="1">{#N/A,#N/A,FALSE,"Coversheet";#N/A,#N/A,FALSE,"QA"}</definedName>
    <definedName name="b" localSheetId="7" hidden="1">{#N/A,#N/A,FALSE,"Coversheet";#N/A,#N/A,FALSE,"QA"}</definedName>
    <definedName name="b" hidden="1">{#N/A,#N/A,FALSE,"Coversheet";#N/A,#N/A,FALSE,"QA"}</definedName>
    <definedName name="CASE" localSheetId="10">[7]INPUTS!$C$11</definedName>
    <definedName name="CASE">[8]INPUTS!$C$11</definedName>
    <definedName name="Case_Name">'MCC-2 page 7-30'!$B$8</definedName>
    <definedName name="CBWorkbookPriority" hidden="1">-2060790043</definedName>
    <definedName name="ConversionFactor">'EXHIBIT MCC-3'!$P$21</definedName>
    <definedName name="ConversionFactorGas">'[9]EXHIBIT MCC-8'!$Q$23</definedName>
    <definedName name="DELETE01" localSheetId="5" hidden="1">{#N/A,#N/A,FALSE,"Coversheet";#N/A,#N/A,FALSE,"QA"}</definedName>
    <definedName name="DELETE01" localSheetId="6" hidden="1">{#N/A,#N/A,FALSE,"Coversheet";#N/A,#N/A,FALSE,"QA"}</definedName>
    <definedName name="DELETE01" localSheetId="7" hidden="1">{#N/A,#N/A,FALSE,"Coversheet";#N/A,#N/A,FALSE,"QA"}</definedName>
    <definedName name="DELETE01" hidden="1">{#N/A,#N/A,FALSE,"Coversheet";#N/A,#N/A,FALSE,"QA"}</definedName>
    <definedName name="DELETE02" localSheetId="5" hidden="1">{#N/A,#N/A,FALSE,"Schedule F";#N/A,#N/A,FALSE,"Schedule G"}</definedName>
    <definedName name="DELETE02" localSheetId="6" hidden="1">{#N/A,#N/A,FALSE,"Schedule F";#N/A,#N/A,FALSE,"Schedule G"}</definedName>
    <definedName name="DELETE02" localSheetId="7" hidden="1">{#N/A,#N/A,FALSE,"Schedule F";#N/A,#N/A,FALSE,"Schedule G"}</definedName>
    <definedName name="DELETE02" hidden="1">{#N/A,#N/A,FALSE,"Schedule F";#N/A,#N/A,FALSE,"Schedule G"}</definedName>
    <definedName name="Delete06" localSheetId="5" hidden="1">{#N/A,#N/A,FALSE,"Coversheet";#N/A,#N/A,FALSE,"QA"}</definedName>
    <definedName name="Delete06" localSheetId="6" hidden="1">{#N/A,#N/A,FALSE,"Coversheet";#N/A,#N/A,FALSE,"QA"}</definedName>
    <definedName name="Delete06" localSheetId="7" hidden="1">{#N/A,#N/A,FALSE,"Coversheet";#N/A,#N/A,FALSE,"QA"}</definedName>
    <definedName name="Delete06" hidden="1">{#N/A,#N/A,FALSE,"Coversheet";#N/A,#N/A,FALSE,"QA"}</definedName>
    <definedName name="Delete09" localSheetId="5" hidden="1">{#N/A,#N/A,FALSE,"Coversheet";#N/A,#N/A,FALSE,"QA"}</definedName>
    <definedName name="Delete09" localSheetId="6" hidden="1">{#N/A,#N/A,FALSE,"Coversheet";#N/A,#N/A,FALSE,"QA"}</definedName>
    <definedName name="Delete09" localSheetId="7" hidden="1">{#N/A,#N/A,FALSE,"Coversheet";#N/A,#N/A,FALSE,"QA"}</definedName>
    <definedName name="Delete09" hidden="1">{#N/A,#N/A,FALSE,"Coversheet";#N/A,#N/A,FALSE,"QA"}</definedName>
    <definedName name="Delete1" localSheetId="5" hidden="1">{#N/A,#N/A,FALSE,"Coversheet";#N/A,#N/A,FALSE,"QA"}</definedName>
    <definedName name="Delete1" localSheetId="6" hidden="1">{#N/A,#N/A,FALSE,"Coversheet";#N/A,#N/A,FALSE,"QA"}</definedName>
    <definedName name="Delete1" localSheetId="7" hidden="1">{#N/A,#N/A,FALSE,"Coversheet";#N/A,#N/A,FALSE,"QA"}</definedName>
    <definedName name="Delete1" hidden="1">{#N/A,#N/A,FALSE,"Coversheet";#N/A,#N/A,FALSE,"QA"}</definedName>
    <definedName name="Delete10" localSheetId="5" hidden="1">{#N/A,#N/A,FALSE,"Schedule F";#N/A,#N/A,FALSE,"Schedule G"}</definedName>
    <definedName name="Delete10" localSheetId="6" hidden="1">{#N/A,#N/A,FALSE,"Schedule F";#N/A,#N/A,FALSE,"Schedule G"}</definedName>
    <definedName name="Delete10" localSheetId="7" hidden="1">{#N/A,#N/A,FALSE,"Schedule F";#N/A,#N/A,FALSE,"Schedule G"}</definedName>
    <definedName name="Delete10" hidden="1">{#N/A,#N/A,FALSE,"Schedule F";#N/A,#N/A,FALSE,"Schedule G"}</definedName>
    <definedName name="Delete21" localSheetId="5" hidden="1">{#N/A,#N/A,FALSE,"Coversheet";#N/A,#N/A,FALSE,"QA"}</definedName>
    <definedName name="Delete21" localSheetId="6" hidden="1">{#N/A,#N/A,FALSE,"Coversheet";#N/A,#N/A,FALSE,"QA"}</definedName>
    <definedName name="Delete21" localSheetId="7" hidden="1">{#N/A,#N/A,FALSE,"Coversheet";#N/A,#N/A,FALSE,"QA"}</definedName>
    <definedName name="Delete21" hidden="1">{#N/A,#N/A,FALSE,"Coversheet";#N/A,#N/A,FALSE,"QA"}</definedName>
    <definedName name="DFIT" localSheetId="5" hidden="1">{#N/A,#N/A,FALSE,"Coversheet";#N/A,#N/A,FALSE,"QA"}</definedName>
    <definedName name="DFIT" localSheetId="6" hidden="1">{#N/A,#N/A,FALSE,"Coversheet";#N/A,#N/A,FALSE,"QA"}</definedName>
    <definedName name="DFIT" localSheetId="7" hidden="1">{#N/A,#N/A,FALSE,"Coversheet";#N/A,#N/A,FALSE,"QA"}</definedName>
    <definedName name="DFIT" hidden="1">{#N/A,#N/A,FALSE,"Coversheet";#N/A,#N/A,FALSE,"QA"}</definedName>
    <definedName name="DocketNumber">'[10] Page 1-5'!$AQ$2</definedName>
    <definedName name="ee" localSheetId="6" hidden="1">{#N/A,#N/A,FALSE,"Month ";#N/A,#N/A,FALSE,"YTD";#N/A,#N/A,FALSE,"12 mo ended"}</definedName>
    <definedName name="ee" hidden="1">{#N/A,#N/A,FALSE,"Month ";#N/A,#N/A,FALSE,"YTD";#N/A,#N/A,FALSE,"12 mo ended"}</definedName>
    <definedName name="EffTax" localSheetId="10">[7]INPUTS!$F$36</definedName>
    <definedName name="EffTax">[8]INPUTS!$F$36</definedName>
    <definedName name="Estimate" localSheetId="6" hidden="1">{#N/A,#N/A,FALSE,"Summ";#N/A,#N/A,FALSE,"General"}</definedName>
    <definedName name="Estimate" hidden="1">{#N/A,#N/A,FALSE,"Summ";#N/A,#N/A,FALSE,"General"}</definedName>
    <definedName name="ex" localSheetId="6" hidden="1">{#N/A,#N/A,FALSE,"Summ";#N/A,#N/A,FALSE,"General"}</definedName>
    <definedName name="ex" hidden="1">{#N/A,#N/A,FALSE,"Summ";#N/A,#N/A,FALSE,"General"}</definedName>
    <definedName name="Exhibit_No.______JHS_06">'[10] Page 17-37'!$G$3</definedName>
    <definedName name="Exhibit_No.______JHS_4">'[10] Page 1-5'!$AQ$3</definedName>
    <definedName name="Exhibit_No._____JHS_05">'[10] Page 6-15'!$E$3</definedName>
    <definedName name="fdasfda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6" hidden="1">{#N/A,#N/A,FALSE,"Month ";#N/A,#N/A,FALSE,"YTD";#N/A,#N/A,FALSE,"12 mo ended"}</definedName>
    <definedName name="fdsafdasfdsa" hidden="1">{#N/A,#N/A,FALSE,"Month ";#N/A,#N/A,FALSE,"YTD";#N/A,#N/A,FALSE,"12 mo ended"}</definedName>
    <definedName name="FIT">'[10]EXHIBIT (RCM-3)'!$L$20</definedName>
    <definedName name="FTAX" localSheetId="10">[7]INPUTS!$F$35</definedName>
    <definedName name="FTAX">[8]INPUTS!$F$35</definedName>
    <definedName name="HELP" localSheetId="6" hidden="1">{#N/A,#N/A,FALSE,"Coversheet";#N/A,#N/A,FALSE,"QA"}</definedName>
    <definedName name="HELP" hidden="1">{#N/A,#N/A,FALSE,"Coversheet";#N/A,#N/A,FALSE,"QA"}</definedName>
    <definedName name="Jane" localSheetId="6"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k"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3.01_Deficiency" localSheetId="4">'EXHIBIT MCC-3'!$A$2:$D$30</definedName>
    <definedName name="k_3.02_COC" localSheetId="4">'EXHIBIT MCC-3'!$G$2:$K$23</definedName>
    <definedName name="k_3.03_ConvFact">'EXHIBIT MCC-3'!$L$2:$P$22</definedName>
    <definedName name="k_6.01_RevAndExp">'MCC-2 page 7-30'!$A$2:$E$49</definedName>
    <definedName name="k_6.02_Temp_Norm">'MCC-2 page 7-30'!$F$2:$L$53</definedName>
    <definedName name="k_6.03_Pass_through_Rev_Exp">'MCC-2 page 7-30'!$M$2:$Q$51</definedName>
    <definedName name="k_6.04_Federal_Income_Tax">'MCC-2 page 7-30'!$R$2:$U$37</definedName>
    <definedName name="k_6.05_Tax_Benefit_Interest">'MCC-2 page 7-30'!$V$2:$Y$26</definedName>
    <definedName name="k_6.06_Depreciation_Study">'MCC-2 page 7-30'!$Z$2:$AD$42</definedName>
    <definedName name="k_6.07_Norm_Injuries_Damages">'MCC-2 page 7-30'!$AJ$2:$AN$20</definedName>
    <definedName name="k_6.08_Bad_Debts">'MCC-2 page 7-30'!$AO$2:$AW$29</definedName>
    <definedName name="k_6.09_Incentive_Pay">'MCC-2 page 7-30'!$AX$2:$BB$30</definedName>
    <definedName name="k_6.10_Directors_Officers_Insurance">'MCC-2 page 7-30'!$BC$2:$BG$21</definedName>
    <definedName name="k_6.11_Int_Customer_Deposits">'MCC-2 page 7-30'!$BH$2:$BK$15</definedName>
    <definedName name="k_6.12_Rate_Case_Expenses">'MCC-2 page 7-30'!$BL$2:$BO$31</definedName>
    <definedName name="k_6.13_Defferred_Gains_Losses">'MCC-2 page 7-30'!$BP$2:$BS$31</definedName>
    <definedName name="k_6.14_Property_Liability_Insurance">'MCC-2 page 7-30'!$BT$2:$BX$20</definedName>
    <definedName name="k_6.15_Pension_Plan">'MCC-2 page 7-30'!$BY$2:$CC$20</definedName>
    <definedName name="k_6.16_Wage_Increase">'MCC-2 page 7-30'!$CD$2:$CH$29</definedName>
    <definedName name="k_6.17_Investment_Plan">'MCC-2 page 7-30'!$CI$2:$CM$35</definedName>
    <definedName name="k_6.18_Employee_Insurance">'MCC-2 page 7-30'!$CN$2:$CR$24</definedName>
    <definedName name="k_6.19_EnvironmRemediation">'MCC-2 page 7-30'!$CS$2:$CW$28</definedName>
    <definedName name="k_6.20_PaymentProc_Cost">'MCC-2 page 7-30'!$CX$2:$DB$33</definedName>
    <definedName name="k_6.21_SoKservCent">'MCC-2 page 7-30'!$DC$2:$DG$36</definedName>
    <definedName name="k_6.22_ExcTax">'MCC-2 page 7-30'!$DH$2:$DL$23</definedName>
    <definedName name="k_7.01_Power_Costs">'MCC-2 page 31-45'!$A$2:$E$33</definedName>
    <definedName name="k_7.01_Power_Costs_p2">'Power Cost WP'!$A$2:$O$30</definedName>
    <definedName name="k_7.02_Montana">'MCC-2 page 31-45'!$F$2:$J$28</definedName>
    <definedName name="k_7.03_Wild_Hors_Sol">'MCC-2 page 31-45'!$K$2:$O$35</definedName>
    <definedName name="k_7.04_ASC_815">'MCC-2 page 31-45'!$P$2:$T$21</definedName>
    <definedName name="k_7.05_storm">'MCC-2 page 31-45'!$U$2:$Y$65</definedName>
    <definedName name="k_7.06_Reg_Asset">'MCC-2 page 31-45'!$Z$2:$AD$66</definedName>
    <definedName name="k_7.07_Glacier_Bat_St">'MCC-2 page 31-45'!$AE$2:$AI$31</definedName>
    <definedName name="k_7.08_EIM">'MCC-2 page 31-45'!$AJ$2:$AN$31</definedName>
    <definedName name="k_7.09_GoldendaleCU">'MCC-2 page 31-45'!$AO$2:$AS$42</definedName>
    <definedName name="k_7.10_MintFarm_CU">'MCC-2 page 31-45'!$AT$2:$AX$22</definedName>
    <definedName name="k_7.11_White_River">'MCC-2 page 31-45'!$AY$2:$BC$30</definedName>
    <definedName name="k_7.12_Hydro_Grants">'MCC-2 page 31-45'!$BD$2:$BH$25</definedName>
    <definedName name="k_7.13_Productn_Adj">'MCC-2 page 31-45'!$BI$2:$BM$97</definedName>
    <definedName name="k_A_1">'Exh.A-1'!$A$1:$G$45</definedName>
    <definedName name="k_Docket_Number">'MCC-2 page 1-6'!$BB$1</definedName>
    <definedName name="k_FITrate">'EXHIBIT MCC-3'!$O$20</definedName>
    <definedName name="keep_KJB_4_Electric_Summary">'MCC-2 page 1-6'!$BB$3</definedName>
    <definedName name="keep_STATE_UTILITY_TAX">'EXHIBIT MCC-3'!$P$15</definedName>
    <definedName name="keep_TESTYEAR">'MCC-2 page 7-30'!$B$7</definedName>
    <definedName name="keep_WUTC_FILING_FEE">'EXHIBIT MCC-3'!$P$14</definedName>
    <definedName name="kp_Summary">'MCC-2 page 1-6'!$AS$2:$AW$62</definedName>
    <definedName name="kp_SumPg1">'MCC-2 page 1-6'!$D$2:$J$62</definedName>
    <definedName name="kp_SumPg2">'MCC-2 page 1-6'!$L$2:$S$62</definedName>
    <definedName name="kp_SumPg3">'MCC-2 page 1-6'!$T$2:$AA$62</definedName>
    <definedName name="kp_SumPg4">'MCC-2 page 1-6'!$AD$2:$AK$63</definedName>
    <definedName name="kp_SumPg5">'MCC-2 page 1-6'!$AL$2:$AR$62</definedName>
    <definedName name="l"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6" hidden="1">{#N/A,#N/A,FALSE,"Coversheet";#N/A,#N/A,FALSE,"QA"}</definedName>
    <definedName name="lookup" hidden="1">{#N/A,#N/A,FALSE,"Coversheet";#N/A,#N/A,FALSE,"QA"}</definedName>
    <definedName name="Miller" localSheetId="6" hidden="1">{#N/A,#N/A,FALSE,"Expenditures";#N/A,#N/A,FALSE,"Property Placed In-Service";#N/A,#N/A,FALSE,"CWIP Balances"}</definedName>
    <definedName name="Miller" hidden="1">{#N/A,#N/A,FALSE,"Expenditures";#N/A,#N/A,FALSE,"Property Placed In-Service";#N/A,#N/A,FALSE,"CWIP Balances"}</definedName>
    <definedName name="new" localSheetId="6" hidden="1">{#N/A,#N/A,FALSE,"Summ";#N/A,#N/A,FALSE,"General"}</definedName>
    <definedName name="new" hidden="1">{#N/A,#N/A,FALSE,"Summ";#N/A,#N/A,FALSE,"General"}</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4">'Exh.A-1'!$A$1:$G$45</definedName>
    <definedName name="_xlnm.Print_Area" localSheetId="4">'EXHIBIT MCC-3'!$A$1:$F$28,'EXHIBIT MCC-3'!$G$1:$K$22,'EXHIBIT MCC-3'!$L$1:$P$21</definedName>
    <definedName name="_xlnm.Print_Area" localSheetId="5">'EXHIBIT MCC-4'!$A$1:$R$62</definedName>
    <definedName name="_xlnm.Print_Area" localSheetId="6">'EXHIBIT MCC-5'!$A$1:$F$47</definedName>
    <definedName name="_xlnm.Print_Area" localSheetId="7">'EXHIBIT MCC-6'!$A$1:$AX$64</definedName>
    <definedName name="_xlnm.Print_Area" localSheetId="10">FirmResale!$A$1:$S$55</definedName>
    <definedName name="_xlnm.Print_Area" localSheetId="11">'For Prod Adj Expense'!$A$1:$I$136</definedName>
    <definedName name="_xlnm.Print_Area" localSheetId="12">'For Prod Adj Ratebase'!$A$1:$I$20</definedName>
    <definedName name="_xlnm.Print_Area" localSheetId="1">'MCC-2 page 1-6'!$A$1:$BB$65</definedName>
    <definedName name="_xlnm.Print_Area" localSheetId="3">'MCC-2 page 31-45'!$A$1:$E$35,'MCC-2 page 31-45'!$F$1:$J$28,'MCC-2 page 31-45'!$K$1:$O$29,'MCC-2 page 31-45'!$P$1:$T$21,'MCC-2 page 31-45'!$U$1:$Y$68,'MCC-2 page 31-45'!$Z$1:$AD$66,'MCC-2 page 31-45'!$AE$1:$AI$29,'MCC-2 page 31-45'!$AJ$1:$AN$32,'MCC-2 page 31-45'!$AO$1:$AS$40,'MCC-2 page 31-45'!$AT$1:$AX$21,'MCC-2 page 31-45'!$AY$1:$BC$31,'MCC-2 page 31-45'!$BD$1:$BH$25,'MCC-2 page 31-45'!$BI$1:$BM$96</definedName>
    <definedName name="_xlnm.Print_Area" localSheetId="2">'MCC-2 page 7-30'!$A$1:$E$49,'MCC-2 page 7-30'!$F$1:$L$54,'MCC-2 page 7-30'!$M$1:$Q$51,'MCC-2 page 7-30'!$R$1:$U$33,'MCC-2 page 7-30'!$V$1:$Y$25,'MCC-2 page 7-30'!$Z$1:$AD$43,'MCC-2 page 7-30'!$AJ$1:$AN$21,'MCC-2 page 7-30'!$AO$1:$AW$31,'MCC-2 page 7-30'!$AX$1:$BB$33,'MCC-2 page 7-30'!$BC$1:$BG$20,'MCC-2 page 7-30'!$BH$1:$BK$17,'MCC-2 page 7-30'!$BL$1:$BO$32,'MCC-2 page 7-30'!$BP$1:$BS$31,'MCC-2 page 7-30'!$BT$1:$BX$20,'MCC-2 page 7-30'!$BY$1:$CC$18,'MCC-2 page 7-30'!$CD$1:$CH$31,'MCC-2 page 7-30'!$CI$1:$CM$37,'MCC-2 page 7-30'!$CN$1:$CR$25,'MCC-2 page 7-30'!$CS$1:$CW$22,'MCC-2 page 7-30'!$CX$1:$DB$27,'MCC-2 page 7-30'!$DC$1:$DG$35,'MCC-2 page 7-30'!$DH$1:$DL$19,'MCC-2 page 7-30'!$AE$1:$AI$30,'MCC-2 page 7-30'!$DM$1:$DP$20</definedName>
    <definedName name="_xlnm.Print_Area" localSheetId="13">'Power Cost WP'!$A$2:$O$30</definedName>
    <definedName name="_xlnm.Print_Titles" localSheetId="8">'EXHIBIT MCC-12'!$A:$B</definedName>
    <definedName name="_xlnm.Print_Titles" localSheetId="6">'EXHIBIT MCC-5'!$1:$12</definedName>
    <definedName name="_xlnm.Print_Titles" localSheetId="7">'EXHIBIT MCC-6'!$A:$B</definedName>
    <definedName name="_xlnm.Print_Titles" localSheetId="10">FirmResale!$A:$E</definedName>
    <definedName name="_xlnm.Print_Titles" localSheetId="1">'MCC-2 page 1-6'!$A:$B</definedName>
    <definedName name="_xlnm.Print_Titles" localSheetId="3">'MCC-2 page 31-45'!$1:$11</definedName>
    <definedName name="qqq" localSheetId="6" hidden="1">{#N/A,#N/A,FALSE,"schA"}</definedName>
    <definedName name="qqq" hidden="1">{#N/A,#N/A,FALSE,"schA"}</definedName>
    <definedName name="ResRCF" localSheetId="10">[7]INPUTS!$F$44</definedName>
    <definedName name="ResRCF">[8]INPUTS!$F$44</definedName>
    <definedName name="ResUnc" localSheetId="10">[7]INPUTS!$F$39</definedName>
    <definedName name="ResUnc">[8]INPUTS!$F$39</definedName>
    <definedName name="ROD" localSheetId="10">[7]INPUTS!$F$30</definedName>
    <definedName name="ROD">[8]INPUTS!$F$30</definedName>
    <definedName name="ROR" localSheetId="10">[7]INPUTS!$F$29</definedName>
    <definedName name="ROR">'EXHIBIT MCC-3'!$K$16</definedName>
    <definedName name="six" localSheetId="6" hidden="1">{#N/A,#N/A,FALSE,"Drill Sites";"WP 212",#N/A,FALSE,"MWAG EOR";"WP 213",#N/A,FALSE,"MWAG EOR";#N/A,#N/A,FALSE,"Misc. Facility";#N/A,#N/A,FALSE,"WWTP"}</definedName>
    <definedName name="six" hidden="1">{#N/A,#N/A,FALSE,"Drill Sites";"WP 212",#N/A,FALSE,"MWAG EOR";"WP 213",#N/A,FALSE,"MWAG EOR";#N/A,#N/A,FALSE,"Misc. Facility";#N/A,#N/A,FALSE,"WWTP"}</definedName>
    <definedName name="STAX" localSheetId="10">[7]INPUTS!$F$34</definedName>
    <definedName name="STAX">[8]INPUTS!$F$34</definedName>
    <definedName name="t" localSheetId="5" hidden="1">{#N/A,#N/A,FALSE,"CESTSUM";#N/A,#N/A,FALSE,"est sum A";#N/A,#N/A,FALSE,"est detail A"}</definedName>
    <definedName name="t" localSheetId="6" hidden="1">{#N/A,#N/A,FALSE,"CESTSUM";#N/A,#N/A,FALSE,"est sum A";#N/A,#N/A,FALSE,"est detail A"}</definedName>
    <definedName name="t" localSheetId="7" hidden="1">{#N/A,#N/A,FALSE,"CESTSUM";#N/A,#N/A,FALSE,"est sum A";#N/A,#N/A,FALSE,"est detail A"}</definedName>
    <definedName name="t" hidden="1">{#N/A,#N/A,FALSE,"CESTSUM";#N/A,#N/A,FALSE,"est sum A";#N/A,#N/A,FALSE,"est detail A"}</definedName>
    <definedName name="TEMP" localSheetId="6" hidden="1">{#N/A,#N/A,FALSE,"Summ";#N/A,#N/A,FALSE,"General"}</definedName>
    <definedName name="TEMP" hidden="1">{#N/A,#N/A,FALSE,"Summ";#N/A,#N/A,FALSE,"General"}</definedName>
    <definedName name="Temp1" localSheetId="6" hidden="1">{#N/A,#N/A,FALSE,"CESTSUM";#N/A,#N/A,FALSE,"est sum A";#N/A,#N/A,FALSE,"est detail A"}</definedName>
    <definedName name="Temp1" hidden="1">{#N/A,#N/A,FALSE,"CESTSUM";#N/A,#N/A,FALSE,"est sum A";#N/A,#N/A,FALSE,"est detail A"}</definedName>
    <definedName name="TESTYEAR">'[10] Page 17-37'!$A$7</definedName>
    <definedName name="u" localSheetId="6"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6" hidden="1">{#N/A,#N/A,FALSE,"Coversheet";#N/A,#N/A,FALSE,"QA"}</definedName>
    <definedName name="v" hidden="1">{#N/A,#N/A,FALSE,"Coversheet";#N/A,#N/A,FALSE,"QA"}</definedName>
    <definedName name="w" localSheetId="6" hidden="1">{#N/A,#N/A,FALSE,"Schedule F";#N/A,#N/A,FALSE,"Schedule G"}</definedName>
    <definedName name="w" hidden="1">{#N/A,#N/A,FALSE,"Schedule F";#N/A,#N/A,FALSE,"Schedule G"}</definedName>
    <definedName name="we" localSheetId="6" hidden="1">{#N/A,#N/A,FALSE,"Pg 6b CustCount_Gas";#N/A,#N/A,FALSE,"QA";#N/A,#N/A,FALSE,"Report";#N/A,#N/A,FALSE,"forecast"}</definedName>
    <definedName name="we" hidden="1">{#N/A,#N/A,FALSE,"Pg 6b CustCount_Gas";#N/A,#N/A,FALSE,"QA";#N/A,#N/A,FALSE,"Report";#N/A,#N/A,FALSE,"forecast"}</definedName>
    <definedName name="WH" localSheetId="6" hidden="1">{#N/A,#N/A,FALSE,"Coversheet";#N/A,#N/A,FALSE,"QA"}</definedName>
    <definedName name="WH" hidden="1">{#N/A,#N/A,FALSE,"Coversheet";#N/A,#N/A,FALSE,"QA"}</definedName>
    <definedName name="wrn.1._.Bi._.Monthly._.CR." localSheetId="6"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6" hidden="1">{#N/A,#N/A,FALSE,"CRPT";#N/A,#N/A,FALSE,"TREND";#N/A,#N/A,FALSE,"%Curve"}</definedName>
    <definedName name="wrn.AAI." hidden="1">{#N/A,#N/A,FALSE,"CRPT";#N/A,#N/A,FALSE,"TREND";#N/A,#N/A,FALSE,"%Curve"}</definedName>
    <definedName name="wrn.AAI._.Report." localSheetId="6" hidden="1">{#N/A,#N/A,FALSE,"CRPT";#N/A,#N/A,FALSE,"TREND";#N/A,#N/A,FALSE,"% CURVE"}</definedName>
    <definedName name="wrn.AAI._.Report." hidden="1">{#N/A,#N/A,FALSE,"CRPT";#N/A,#N/A,FALSE,"TREND";#N/A,#N/A,FALSE,"% CURVE"}</definedName>
    <definedName name="wrn.Anvil." localSheetId="6"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5" hidden="1">{#N/A,#N/A,FALSE,"Pg 6b CustCount_Gas";#N/A,#N/A,FALSE,"QA";#N/A,#N/A,FALSE,"Report";#N/A,#N/A,FALSE,"forecast"}</definedName>
    <definedName name="wrn.Customer._.Counts._.Gas." localSheetId="6" hidden="1">{#N/A,#N/A,FALSE,"Pg 6b CustCount_Gas";#N/A,#N/A,FALSE,"QA";#N/A,#N/A,FALSE,"Report";#N/A,#N/A,FALSE,"forecast"}</definedName>
    <definedName name="wrn.Customer._.Counts._.Gas." localSheetId="7" hidden="1">{#N/A,#N/A,FALSE,"Pg 6b CustCount_Gas";#N/A,#N/A,FALSE,"QA";#N/A,#N/A,FALSE,"Report";#N/A,#N/A,FALSE,"forecast"}</definedName>
    <definedName name="wrn.Customer._.Counts._.Gas." hidden="1">{#N/A,#N/A,FALSE,"Pg 6b CustCount_Gas";#N/A,#N/A,FALSE,"QA";#N/A,#N/A,FALSE,"Report";#N/A,#N/A,FALSE,"forecast"}</definedName>
    <definedName name="wrn.ECR." localSheetId="6" hidden="1">{#N/A,#N/A,FALSE,"schA"}</definedName>
    <definedName name="wrn.ECR." hidden="1">{#N/A,#N/A,FALSE,"schA"}</definedName>
    <definedName name="wrn.ESTIMATE." localSheetId="6" hidden="1">{#N/A,#N/A,FALSE,"CESTSUM";#N/A,#N/A,FALSE,"est sum A";#N/A,#N/A,FALSE,"est detail A"}</definedName>
    <definedName name="wrn.ESTIMATE." hidden="1">{#N/A,#N/A,FALSE,"CESTSUM";#N/A,#N/A,FALSE,"est sum A";#N/A,#N/A,FALSE,"est detail A"}</definedName>
    <definedName name="wrn.Fundamental." localSheetId="5" hidden="1">{#N/A,#N/A,TRUE,"CoverPage";#N/A,#N/A,TRUE,"Gas";#N/A,#N/A,TRUE,"Power";#N/A,#N/A,TRUE,"Historical DJ Mthly Prices"}</definedName>
    <definedName name="wrn.Fundamental." localSheetId="6" hidden="1">{#N/A,#N/A,TRUE,"CoverPage";#N/A,#N/A,TRUE,"Gas";#N/A,#N/A,TRUE,"Power";#N/A,#N/A,TRUE,"Historical DJ Mthly Prices"}</definedName>
    <definedName name="wrn.Fundamental." localSheetId="7" hidden="1">{#N/A,#N/A,TRUE,"CoverPage";#N/A,#N/A,TRUE,"Gas";#N/A,#N/A,TRUE,"Power";#N/A,#N/A,TRUE,"Historical DJ Mthly Prices"}</definedName>
    <definedName name="wrn.Fundamental." hidden="1">{#N/A,#N/A,TRUE,"CoverPage";#N/A,#N/A,TRUE,"Gas";#N/A,#N/A,TRUE,"Power";#N/A,#N/A,TRUE,"Historical DJ Mthly Prices"}</definedName>
    <definedName name="wrn.IEO." localSheetId="6" hidden="1">{#N/A,#N/A,FALSE,"SUMMARY";#N/A,#N/A,FALSE,"AE7616";#N/A,#N/A,FALSE,"AE7617";#N/A,#N/A,FALSE,"AE7618";#N/A,#N/A,FALSE,"AE7619"}</definedName>
    <definedName name="wrn.IEO." hidden="1">{#N/A,#N/A,FALSE,"SUMMARY";#N/A,#N/A,FALSE,"AE7616";#N/A,#N/A,FALSE,"AE7617";#N/A,#N/A,FALSE,"AE7618";#N/A,#N/A,FALSE,"AE7619"}</definedName>
    <definedName name="wrn.Incentive._.Overhead." localSheetId="5" hidden="1">{#N/A,#N/A,FALSE,"Coversheet";#N/A,#N/A,FALSE,"QA"}</definedName>
    <definedName name="wrn.Incentive._.Overhead." localSheetId="6" hidden="1">{#N/A,#N/A,FALSE,"Coversheet";#N/A,#N/A,FALSE,"QA"}</definedName>
    <definedName name="wrn.Incentive._.Overhead." localSheetId="7" hidden="1">{#N/A,#N/A,FALSE,"Coversheet";#N/A,#N/A,FALSE,"QA"}</definedName>
    <definedName name="wrn.Incentive._.Overhead." hidden="1">{#N/A,#N/A,FALSE,"Coversheet";#N/A,#N/A,FALSE,"QA"}</definedName>
    <definedName name="wrn.limit_reports." localSheetId="5" hidden="1">{#N/A,#N/A,FALSE,"Schedule F";#N/A,#N/A,FALSE,"Schedule G"}</definedName>
    <definedName name="wrn.limit_reports." localSheetId="6" hidden="1">{#N/A,#N/A,FALSE,"Schedule F";#N/A,#N/A,FALSE,"Schedule G"}</definedName>
    <definedName name="wrn.limit_reports." localSheetId="7" hidden="1">{#N/A,#N/A,FALSE,"Schedule F";#N/A,#N/A,FALSE,"Schedule G"}</definedName>
    <definedName name="wrn.limit_reports." hidden="1">{#N/A,#N/A,FALSE,"Schedule F";#N/A,#N/A,FALSE,"Schedule G"}</definedName>
    <definedName name="wrn.MARGIN_WO_QTR." localSheetId="5" hidden="1">{#N/A,#N/A,FALSE,"Month ";#N/A,#N/A,FALSE,"YTD";#N/A,#N/A,FALSE,"12 mo ended"}</definedName>
    <definedName name="wrn.MARGIN_WO_QTR." localSheetId="6" hidden="1">{#N/A,#N/A,FALSE,"Month ";#N/A,#N/A,FALSE,"YTD";#N/A,#N/A,FALSE,"12 mo ended"}</definedName>
    <definedName name="wrn.MARGIN_WO_QTR." localSheetId="7" hidden="1">{#N/A,#N/A,FALSE,"Month ";#N/A,#N/A,FALSE,"YTD";#N/A,#N/A,FALSE,"12 mo ended"}</definedName>
    <definedName name="wrn.MARGIN_WO_QTR." hidden="1">{#N/A,#N/A,FALSE,"Month ";#N/A,#N/A,FALSE,"YTD";#N/A,#N/A,FALSE,"12 mo ended"}</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6" hidden="1">{#N/A,#N/A,FALSE,"BASE";#N/A,#N/A,FALSE,"LOOPS";#N/A,#N/A,FALSE,"PLC"}</definedName>
    <definedName name="wrn.Project._.Services." hidden="1">{#N/A,#N/A,FALSE,"BASE";#N/A,#N/A,FALSE,"LOOPS";#N/A,#N/A,FALSE,"PLC"}</definedName>
    <definedName name="wrn.SCHEDULE." localSheetId="6" hidden="1">{#N/A,#N/A,FALSE,"7617 Fab";#N/A,#N/A,FALSE,"7617 NSK"}</definedName>
    <definedName name="wrn.SCHEDULE." hidden="1">{#N/A,#N/A,FALSE,"7617 Fab";#N/A,#N/A,FALSE,"7617 NSK"}</definedName>
    <definedName name="wrn.SLB." localSheetId="6"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5" hidden="1">{#N/A,#N/A,FALSE,"2002 Small Tool OH";#N/A,#N/A,FALSE,"QA"}</definedName>
    <definedName name="wrn.Small._.Tools._.Overhead." localSheetId="6" hidden="1">{#N/A,#N/A,FALSE,"2002 Small Tool OH";#N/A,#N/A,FALSE,"QA"}</definedName>
    <definedName name="wrn.Small._.Tools._.Overhead." localSheetId="7" hidden="1">{#N/A,#N/A,FALSE,"2002 Small Tool OH";#N/A,#N/A,FALSE,"QA"}</definedName>
    <definedName name="wrn.Small._.Tools._.Overhead." hidden="1">{#N/A,#N/A,FALSE,"2002 Small Tool OH";#N/A,#N/A,FALSE,"QA"}</definedName>
    <definedName name="wrn.Summary." localSheetId="6" hidden="1">{#N/A,#N/A,FALSE,"Summ";#N/A,#N/A,FALSE,"General"}</definedName>
    <definedName name="wrn.Summary." hidden="1">{#N/A,#N/A,FALSE,"Summ";#N/A,#N/A,FALSE,"General"}</definedName>
    <definedName name="wrn.USIM_Data." localSheetId="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6"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6" hidden="1">{#N/A,#N/A,FALSE,"Expenditures";#N/A,#N/A,FALSE,"Property Placed In-Service";#N/A,#N/A,FALSE,"CWIP Balances"}</definedName>
    <definedName name="wrn.USIM_Data_Abbrev3." hidden="1">{#N/A,#N/A,FALSE,"Expenditures";#N/A,#N/A,FALSE,"Property Placed In-Service";#N/A,#N/A,FALSE,"CWIP Balances"}</definedName>
    <definedName name="www" localSheetId="6" hidden="1">{#N/A,#N/A,FALSE,"schA"}</definedName>
    <definedName name="www" hidden="1">{#N/A,#N/A,FALSE,"schA"}</definedName>
    <definedName name="x" localSheetId="6" hidden="1">{#N/A,#N/A,FALSE,"Coversheet";#N/A,#N/A,FALSE,"QA"}</definedName>
    <definedName name="x" hidden="1">{#N/A,#N/A,FALSE,"Coversheet";#N/A,#N/A,FALSE,"QA"}</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z" localSheetId="6" hidden="1">{#N/A,#N/A,FALSE,"Coversheet";#N/A,#N/A,FALSE,"QA"}</definedName>
    <definedName name="z" hidden="1">{#N/A,#N/A,FALSE,"Coversheet";#N/A,#N/A,FALSE,"QA"}</definedName>
  </definedNames>
  <calcPr calcId="152511"/>
  <customWorkbookViews>
    <customWorkbookView name="Page 4.03" guid="{ACABE5FC-E604-45C9-ACB7-53C863CA19F6}" maximized="1" windowWidth="1020" windowHeight="606" tabRatio="588" activeSheetId="1"/>
    <customWorkbookView name="Page 2.02" guid="{D034A8AA-A968-4D12-B6AF-09F53E5CD513}" maximized="1" windowWidth="1020" windowHeight="606" tabRatio="588" activeSheetId="1"/>
    <customWorkbookView name="Page 2.01" guid="{FEFCE477-944B-4DAC-AD75-686CC83D0F0B}" maximized="1" windowWidth="1020" windowHeight="606" tabRatio="588" activeSheetId="1"/>
    <customWorkbookView name="Summary" guid="{067119CC-1C61-43DB-B4BB-54397DC63A91}" maximized="1" windowWidth="1020" windowHeight="606" tabRatio="588" activeSheetId="1"/>
    <customWorkbookView name="Page E3D" guid="{C3CE34FF-D7D7-4ECF-B6E1-4700E3130E94}" maximized="1" windowWidth="1020" windowHeight="606" tabRatio="588" activeSheetId="1"/>
    <customWorkbookView name="Page E3C" guid="{E2C26153-D457-4603-B564-60CFADB5026B}" maximized="1" windowWidth="1020" windowHeight="606" tabRatio="588" activeSheetId="1"/>
    <customWorkbookView name="Page E3B" guid="{423F2953-9177-4482-AE78-C7C47BA8995B}" maximized="1" windowWidth="1020" windowHeight="606" tabRatio="588" activeSheetId="1"/>
    <customWorkbookView name="Page E3A" guid="{2DBDF3D7-BA4D-404D-AE4B-DFD7008C0411}" maximized="1" windowWidth="1020" windowHeight="606" tabRatio="588" activeSheetId="1"/>
    <customWorkbookView name="Page 4.00" guid="{DF4E3B04-E442-43A1-A47D-E26F6CE7F11C}" maximized="1" windowWidth="1020" windowHeight="606" tabRatio="588" activeSheetId="1"/>
    <customWorkbookView name="Page 2.30" guid="{17768135-68BF-4539-94C0-50ED7816A698}" maximized="1" windowWidth="1020" windowHeight="606" tabRatio="588" activeSheetId="1"/>
    <customWorkbookView name="Page 2.29" guid="{990691EF-FF43-4000-BCD8-6862D2BAD44A}" maximized="1" windowWidth="1020" windowHeight="606" tabRatio="588" activeSheetId="1"/>
    <customWorkbookView name="Page 2.28" guid="{41713566-6DDC-4C14-8259-D9C15B9E45DD}" maximized="1" windowWidth="1020" windowHeight="606" tabRatio="588" activeSheetId="1"/>
    <customWorkbookView name="Page 2.27" guid="{E98B4028-3602-46AA-8C00-41FD8ABF8836}" maximized="1" windowWidth="1020" windowHeight="606" tabRatio="588" activeSheetId="1"/>
    <customWorkbookView name="Page 2.26" guid="{28C5A156-92F3-4234-9C7A-A32D75F798CC}" maximized="1" windowWidth="1020" windowHeight="606" tabRatio="588" activeSheetId="1"/>
    <customWorkbookView name="Page 2.25" guid="{813D7A4F-EDF6-49ED-B8FD-B74D0B9276AB}" maximized="1" windowWidth="1020" windowHeight="606" tabRatio="588" activeSheetId="1"/>
    <customWorkbookView name="Page 2.24" guid="{46E5C546-9AEA-4E06-B017-805B7E255C92}" maximized="1" windowWidth="1020" windowHeight="606" tabRatio="588" activeSheetId="1"/>
    <customWorkbookView name="Page 2.23" guid="{3797879C-3298-4122-A12D-3DFD0284FBDD}" maximized="1" windowWidth="1020" windowHeight="606" tabRatio="588" activeSheetId="1"/>
    <customWorkbookView name="Page 2.22" guid="{BA39091D-C7FC-45D0-82A3-5E4EAAFABA5A}" maximized="1" windowWidth="1020" windowHeight="606" tabRatio="588" activeSheetId="1"/>
    <customWorkbookView name="Page 2.21" guid="{D564613F-7CF3-40DE-8CDA-0C25C1F35855}" maximized="1" windowWidth="1020" windowHeight="606" tabRatio="588" activeSheetId="1"/>
    <customWorkbookView name="Page 2.20" guid="{3834E606-B28A-4696-9192-7BDA898195A1}" maximized="1" windowWidth="1020" windowHeight="606" tabRatio="588" activeSheetId="1"/>
    <customWorkbookView name="Page 2.19" guid="{88A240CE-F5A6-4995-A526-0E22BADCFF6D}" maximized="1" windowWidth="1020" windowHeight="606" tabRatio="588" activeSheetId="1"/>
    <customWorkbookView name="Page 2.18" guid="{BBEC464C-25F9-4835-BB05-13062D5DEAC1}" maximized="1" windowWidth="1020" windowHeight="606" tabRatio="588" activeSheetId="1"/>
    <customWorkbookView name="Page 2.17" guid="{62EE4FB2-B9F8-4C5D-BC5C-181361F6DD86}" maximized="1" windowWidth="1020" windowHeight="606" tabRatio="588" activeSheetId="1"/>
    <customWorkbookView name="Page 2.16" guid="{3DB8EC99-BD55-4ABF-B71E-F70797B0173C}" maximized="1" windowWidth="1020" windowHeight="606" tabRatio="588" activeSheetId="1"/>
    <customWorkbookView name="Page 2.15" guid="{605C023E-A5C7-400F-9AAA-827B8FDB13A8}" maximized="1" windowWidth="1020" windowHeight="606" tabRatio="588" activeSheetId="1"/>
    <customWorkbookView name="Page 2.14" guid="{EDF3DC03-FBB9-4397-9335-6FA548B9B5CD}" maximized="1" windowWidth="1020" windowHeight="606" tabRatio="588" activeSheetId="1"/>
    <customWorkbookView name="Page 2.13" guid="{A3FBC4C2-6ECB-480C-89DD-35506B048870}" maximized="1" windowWidth="1020" windowHeight="606" tabRatio="588" activeSheetId="1"/>
    <customWorkbookView name="Page 2.12" guid="{40B7FB48-DAE3-4682-852F-AC0650D2BE14}" maximized="1" windowWidth="1020" windowHeight="606" tabRatio="588" activeSheetId="1"/>
    <customWorkbookView name="Page 2.11" guid="{4840C72E-33E7-45CF-A897-030BC56F6B90}" maximized="1" windowWidth="1020" windowHeight="606" tabRatio="588" activeSheetId="1"/>
    <customWorkbookView name="Page 2.10" guid="{F531E925-9E0B-409C-9EAA-ADCDD51D6BA7}" maximized="1" windowWidth="1020" windowHeight="606" tabRatio="588" activeSheetId="1"/>
    <customWorkbookView name="Page 2.09" guid="{8E7EA697-A1C1-4FA5-9CC7-93304413A154}" maximized="1" windowWidth="1020" windowHeight="606" tabRatio="588" activeSheetId="1"/>
    <customWorkbookView name="Page 2.08" guid="{14262664-129C-4E9B-8245-4B43AF19E33A}" maximized="1" windowWidth="1020" windowHeight="606" tabRatio="588" activeSheetId="1"/>
    <customWorkbookView name="Page 2.07" guid="{CD5012F4-E6A6-495E-BF90-5F6D9EE7AF29}" maximized="1" windowWidth="1020" windowHeight="606" tabRatio="588" activeSheetId="1"/>
    <customWorkbookView name="Page 2.06" guid="{F985D028-064A-46CA-9D34-E4E9B88A9B3C}" maximized="1" windowWidth="1020" windowHeight="606" tabRatio="588" activeSheetId="1"/>
    <customWorkbookView name="Page 2.05" guid="{8920654A-B782-40BF-9A51-A43F20A27C02}" maximized="1" windowWidth="1020" windowHeight="606" tabRatio="588" activeSheetId="1"/>
    <customWorkbookView name="Page 2.04" guid="{1E64D771-8C52-4EFE-8F0D-67326F432767}" maximized="1" windowWidth="1020" windowHeight="606" tabRatio="588" activeSheetId="1"/>
    <customWorkbookView name="Page 2.03" guid="{DD70B4E1-CC64-4568-BFD6-83390A7B0268}" maximized="1" windowWidth="1020" windowHeight="606" tabRatio="588" activeSheetId="1"/>
    <customWorkbookView name="Page 4.02" guid="{D358E58B-5EA6-4EB2-8562-4D9FEBA8EA54}" maximized="1" windowWidth="1276" windowHeight="719" tabRatio="588" activeSheetId="1"/>
  </customWorkbookViews>
</workbook>
</file>

<file path=xl/calcChain.xml><?xml version="1.0" encoding="utf-8"?>
<calcChain xmlns="http://schemas.openxmlformats.org/spreadsheetml/2006/main">
  <c r="E43" i="202" l="1"/>
  <c r="E41" i="202"/>
  <c r="E39" i="202"/>
  <c r="E34" i="202"/>
  <c r="E32" i="202"/>
  <c r="E30" i="202"/>
  <c r="E19" i="202"/>
  <c r="E13" i="202"/>
  <c r="AD40" i="126" l="1"/>
  <c r="AC26" i="126"/>
  <c r="AC19" i="126"/>
  <c r="AC16" i="126"/>
  <c r="AC15" i="126"/>
  <c r="AC14" i="126"/>
  <c r="AC13" i="126"/>
  <c r="Y30" i="87" l="1"/>
  <c r="BM51" i="87"/>
  <c r="W55" i="87" l="1"/>
  <c r="W48" i="87"/>
  <c r="W47" i="87"/>
  <c r="W46" i="87"/>
  <c r="W42" i="87"/>
  <c r="W41" i="87"/>
  <c r="W39" i="87"/>
  <c r="W34" i="87"/>
  <c r="W35" i="87"/>
  <c r="W36" i="87"/>
  <c r="W37" i="87"/>
  <c r="W33" i="87"/>
  <c r="X26" i="87"/>
  <c r="W26" i="87"/>
  <c r="W16" i="87"/>
  <c r="X16" i="87"/>
  <c r="W17" i="87"/>
  <c r="X17" i="87"/>
  <c r="W18" i="87"/>
  <c r="X18" i="87"/>
  <c r="W19" i="87"/>
  <c r="X19" i="87"/>
  <c r="W20" i="87"/>
  <c r="X20" i="87"/>
  <c r="W15" i="87"/>
  <c r="X15" i="87"/>
  <c r="C380" i="127"/>
  <c r="C378" i="127"/>
  <c r="C377" i="127"/>
  <c r="C376" i="127"/>
  <c r="C374" i="127"/>
  <c r="C373" i="127"/>
  <c r="C371" i="127"/>
  <c r="C369" i="127"/>
  <c r="C368" i="127"/>
  <c r="Y15" i="87" l="1"/>
  <c r="AW16" i="87" l="1"/>
  <c r="AX16" i="87"/>
  <c r="AW17" i="87"/>
  <c r="AX17" i="87"/>
  <c r="AV17" i="87"/>
  <c r="AV16" i="87"/>
  <c r="AW15" i="87"/>
  <c r="AX15" i="87"/>
  <c r="AV15" i="87"/>
  <c r="C364" i="127" l="1"/>
  <c r="C362" i="127"/>
  <c r="C361" i="127"/>
  <c r="C360" i="127"/>
  <c r="C358" i="127"/>
  <c r="C357" i="127"/>
  <c r="C355" i="127"/>
  <c r="C353" i="127"/>
  <c r="C352" i="127"/>
  <c r="J22" i="207" l="1"/>
  <c r="E23" i="207"/>
  <c r="E22" i="207"/>
  <c r="J23" i="207"/>
  <c r="F1" i="207" l="1"/>
  <c r="D19" i="207"/>
  <c r="C19" i="207"/>
  <c r="C27" i="207" l="1"/>
  <c r="C26" i="207"/>
  <c r="BL13" i="87" l="1"/>
  <c r="C348" i="127" l="1"/>
  <c r="C346" i="127"/>
  <c r="C345" i="127"/>
  <c r="C344" i="127"/>
  <c r="C342" i="127"/>
  <c r="C341" i="127"/>
  <c r="C339" i="127"/>
  <c r="C337" i="127"/>
  <c r="C336" i="127"/>
  <c r="AH16" i="126" l="1"/>
  <c r="N13" i="200" l="1"/>
  <c r="N14" i="200"/>
  <c r="N15" i="200"/>
  <c r="N17" i="200"/>
  <c r="AB17" i="200" s="1"/>
  <c r="N19" i="200"/>
  <c r="N20" i="200"/>
  <c r="N21" i="200"/>
  <c r="N24" i="200"/>
  <c r="N25" i="200"/>
  <c r="N26" i="200"/>
  <c r="N27" i="200"/>
  <c r="N28" i="200"/>
  <c r="N29" i="200"/>
  <c r="N30" i="200"/>
  <c r="N32" i="200"/>
  <c r="N36" i="200"/>
  <c r="N37" i="200"/>
  <c r="N39" i="200"/>
  <c r="AN1" i="206" l="1"/>
  <c r="AG1" i="206" s="1"/>
  <c r="Y1" i="206" s="1"/>
  <c r="Q1" i="206" s="1"/>
  <c r="I1" i="206" s="1"/>
  <c r="AX2" i="206"/>
  <c r="R2" i="200"/>
  <c r="C332" i="127"/>
  <c r="C330" i="127"/>
  <c r="C329" i="127"/>
  <c r="C328" i="127"/>
  <c r="C326" i="127"/>
  <c r="C325" i="127"/>
  <c r="C323" i="127"/>
  <c r="C321" i="127"/>
  <c r="C320" i="127"/>
  <c r="AN2" i="206" l="1"/>
  <c r="AG2" i="206" s="1"/>
  <c r="Y2" i="206" s="1"/>
  <c r="Q2" i="206" s="1"/>
  <c r="I2" i="206" s="1"/>
  <c r="K2" i="207"/>
  <c r="F2" i="207" s="1"/>
  <c r="C316" i="127"/>
  <c r="C314" i="127"/>
  <c r="C313" i="127"/>
  <c r="C312" i="127"/>
  <c r="C310" i="127"/>
  <c r="C309" i="127"/>
  <c r="C307" i="127"/>
  <c r="C305" i="127"/>
  <c r="C304" i="127"/>
  <c r="C396" i="204" l="1"/>
  <c r="C395" i="204"/>
  <c r="C394" i="204"/>
  <c r="E180" i="204"/>
  <c r="E179" i="204"/>
  <c r="E178" i="204"/>
  <c r="E177" i="204"/>
  <c r="E176" i="204"/>
  <c r="S271" i="204"/>
  <c r="R271" i="204"/>
  <c r="Q271" i="204"/>
  <c r="P271" i="204"/>
  <c r="O271" i="204"/>
  <c r="N271" i="204"/>
  <c r="M271" i="204"/>
  <c r="L271" i="204"/>
  <c r="K271" i="204"/>
  <c r="J271" i="204"/>
  <c r="I271" i="204"/>
  <c r="H271" i="204"/>
  <c r="G271" i="204"/>
  <c r="E271" i="204"/>
  <c r="S270" i="204"/>
  <c r="R270" i="204"/>
  <c r="Q270" i="204"/>
  <c r="P270" i="204"/>
  <c r="O270" i="204"/>
  <c r="N270" i="204"/>
  <c r="M270" i="204"/>
  <c r="L270" i="204"/>
  <c r="K270" i="204"/>
  <c r="J270" i="204"/>
  <c r="I270" i="204"/>
  <c r="H270" i="204"/>
  <c r="G270" i="204"/>
  <c r="E270" i="204"/>
  <c r="S269" i="204"/>
  <c r="R269" i="204"/>
  <c r="Q269" i="204"/>
  <c r="P269" i="204"/>
  <c r="O269" i="204"/>
  <c r="N269" i="204"/>
  <c r="M269" i="204"/>
  <c r="L269" i="204"/>
  <c r="K269" i="204"/>
  <c r="J269" i="204"/>
  <c r="I269" i="204"/>
  <c r="H269" i="204"/>
  <c r="G269" i="204"/>
  <c r="E269" i="204"/>
  <c r="S268" i="204"/>
  <c r="R268" i="204"/>
  <c r="Q268" i="204"/>
  <c r="P268" i="204"/>
  <c r="O268" i="204"/>
  <c r="N268" i="204"/>
  <c r="M268" i="204"/>
  <c r="L268" i="204"/>
  <c r="K268" i="204"/>
  <c r="J268" i="204"/>
  <c r="I268" i="204"/>
  <c r="H268" i="204"/>
  <c r="G268" i="204"/>
  <c r="E268" i="204"/>
  <c r="S267" i="204"/>
  <c r="R267" i="204"/>
  <c r="Q267" i="204"/>
  <c r="P267" i="204"/>
  <c r="O267" i="204"/>
  <c r="N267" i="204"/>
  <c r="M267" i="204"/>
  <c r="L267" i="204"/>
  <c r="K267" i="204"/>
  <c r="J267" i="204"/>
  <c r="I267" i="204"/>
  <c r="H267" i="204"/>
  <c r="G267" i="204"/>
  <c r="E267" i="204"/>
  <c r="S266" i="204"/>
  <c r="R266" i="204"/>
  <c r="Q266" i="204"/>
  <c r="P266" i="204"/>
  <c r="O266" i="204"/>
  <c r="N266" i="204"/>
  <c r="M266" i="204"/>
  <c r="L266" i="204"/>
  <c r="K266" i="204"/>
  <c r="J266" i="204"/>
  <c r="I266" i="204"/>
  <c r="H266" i="204"/>
  <c r="G266" i="204"/>
  <c r="E266" i="204"/>
  <c r="S261" i="204"/>
  <c r="R261" i="204"/>
  <c r="Q261" i="204"/>
  <c r="P261" i="204"/>
  <c r="O261" i="204"/>
  <c r="N261" i="204"/>
  <c r="M261" i="204"/>
  <c r="L261" i="204"/>
  <c r="K261" i="204"/>
  <c r="J261" i="204"/>
  <c r="I261" i="204"/>
  <c r="H261" i="204"/>
  <c r="G261" i="204"/>
  <c r="E261" i="204"/>
  <c r="S260" i="204"/>
  <c r="R260" i="204"/>
  <c r="Q260" i="204"/>
  <c r="P260" i="204"/>
  <c r="O260" i="204"/>
  <c r="N260" i="204"/>
  <c r="M260" i="204"/>
  <c r="L260" i="204"/>
  <c r="K260" i="204"/>
  <c r="J260" i="204"/>
  <c r="I260" i="204"/>
  <c r="H260" i="204"/>
  <c r="G260" i="204"/>
  <c r="E260" i="204"/>
  <c r="S259" i="204"/>
  <c r="R259" i="204"/>
  <c r="Q259" i="204"/>
  <c r="P259" i="204"/>
  <c r="O259" i="204"/>
  <c r="N259" i="204"/>
  <c r="M259" i="204"/>
  <c r="L259" i="204"/>
  <c r="K259" i="204"/>
  <c r="J259" i="204"/>
  <c r="I259" i="204"/>
  <c r="H259" i="204"/>
  <c r="G259" i="204"/>
  <c r="E259" i="204"/>
  <c r="S258" i="204"/>
  <c r="R258" i="204"/>
  <c r="Q258" i="204"/>
  <c r="P258" i="204"/>
  <c r="O258" i="204"/>
  <c r="N258" i="204"/>
  <c r="M258" i="204"/>
  <c r="L258" i="204"/>
  <c r="K258" i="204"/>
  <c r="J258" i="204"/>
  <c r="I258" i="204"/>
  <c r="H258" i="204"/>
  <c r="G258" i="204"/>
  <c r="E258" i="204"/>
  <c r="S257" i="204"/>
  <c r="R257" i="204"/>
  <c r="Q257" i="204"/>
  <c r="P257" i="204"/>
  <c r="O257" i="204"/>
  <c r="N257" i="204"/>
  <c r="M257" i="204"/>
  <c r="L257" i="204"/>
  <c r="K257" i="204"/>
  <c r="J257" i="204"/>
  <c r="I257" i="204"/>
  <c r="H257" i="204"/>
  <c r="G257" i="204"/>
  <c r="E257" i="204"/>
  <c r="S256" i="204"/>
  <c r="R256" i="204"/>
  <c r="Q256" i="204"/>
  <c r="P256" i="204"/>
  <c r="O256" i="204"/>
  <c r="N256" i="204"/>
  <c r="M256" i="204"/>
  <c r="L256" i="204"/>
  <c r="K256" i="204"/>
  <c r="J256" i="204"/>
  <c r="I256" i="204"/>
  <c r="H256" i="204"/>
  <c r="G256" i="204"/>
  <c r="E256" i="204"/>
  <c r="S252" i="204"/>
  <c r="R252" i="204"/>
  <c r="Q252" i="204"/>
  <c r="P252" i="204"/>
  <c r="O252" i="204"/>
  <c r="N252" i="204"/>
  <c r="M252" i="204"/>
  <c r="L252" i="204"/>
  <c r="K252" i="204"/>
  <c r="J252" i="204"/>
  <c r="I252" i="204"/>
  <c r="H252" i="204"/>
  <c r="G252" i="204"/>
  <c r="E252" i="204"/>
  <c r="S251" i="204"/>
  <c r="R251" i="204"/>
  <c r="Q251" i="204"/>
  <c r="P251" i="204"/>
  <c r="O251" i="204"/>
  <c r="N251" i="204"/>
  <c r="M251" i="204"/>
  <c r="L251" i="204"/>
  <c r="K251" i="204"/>
  <c r="J251" i="204"/>
  <c r="I251" i="204"/>
  <c r="H251" i="204"/>
  <c r="G251" i="204"/>
  <c r="E251" i="204"/>
  <c r="S250" i="204"/>
  <c r="R250" i="204"/>
  <c r="Q250" i="204"/>
  <c r="P250" i="204"/>
  <c r="O250" i="204"/>
  <c r="N250" i="204"/>
  <c r="M250" i="204"/>
  <c r="L250" i="204"/>
  <c r="K250" i="204"/>
  <c r="J250" i="204"/>
  <c r="I250" i="204"/>
  <c r="H250" i="204"/>
  <c r="G250" i="204"/>
  <c r="E250" i="204"/>
  <c r="S249" i="204"/>
  <c r="R249" i="204"/>
  <c r="Q249" i="204"/>
  <c r="P249" i="204"/>
  <c r="O249" i="204"/>
  <c r="N249" i="204"/>
  <c r="M249" i="204"/>
  <c r="L249" i="204"/>
  <c r="K249" i="204"/>
  <c r="J249" i="204"/>
  <c r="I249" i="204"/>
  <c r="H249" i="204"/>
  <c r="G249" i="204"/>
  <c r="E249" i="204"/>
  <c r="S248" i="204"/>
  <c r="R248" i="204"/>
  <c r="Q248" i="204"/>
  <c r="P248" i="204"/>
  <c r="O248" i="204"/>
  <c r="N248" i="204"/>
  <c r="M248" i="204"/>
  <c r="L248" i="204"/>
  <c r="K248" i="204"/>
  <c r="J248" i="204"/>
  <c r="I248" i="204"/>
  <c r="H248" i="204"/>
  <c r="G248" i="204"/>
  <c r="E248" i="204"/>
  <c r="S247" i="204"/>
  <c r="R247" i="204"/>
  <c r="Q247" i="204"/>
  <c r="P247" i="204"/>
  <c r="O247" i="204"/>
  <c r="N247" i="204"/>
  <c r="M247" i="204"/>
  <c r="L247" i="204"/>
  <c r="K247" i="204"/>
  <c r="J247" i="204"/>
  <c r="I247" i="204"/>
  <c r="H247" i="204"/>
  <c r="G247" i="204"/>
  <c r="E247" i="204"/>
  <c r="S243" i="204"/>
  <c r="R243" i="204"/>
  <c r="Q243" i="204"/>
  <c r="P243" i="204"/>
  <c r="O243" i="204"/>
  <c r="N243" i="204"/>
  <c r="M243" i="204"/>
  <c r="L243" i="204"/>
  <c r="K243" i="204"/>
  <c r="J243" i="204"/>
  <c r="I243" i="204"/>
  <c r="H243" i="204"/>
  <c r="G243" i="204"/>
  <c r="E243" i="204"/>
  <c r="S242" i="204"/>
  <c r="R242" i="204"/>
  <c r="Q242" i="204"/>
  <c r="P242" i="204"/>
  <c r="O242" i="204"/>
  <c r="N242" i="204"/>
  <c r="M242" i="204"/>
  <c r="L242" i="204"/>
  <c r="K242" i="204"/>
  <c r="J242" i="204"/>
  <c r="I242" i="204"/>
  <c r="H242" i="204"/>
  <c r="G242" i="204"/>
  <c r="E242" i="204"/>
  <c r="S241" i="204"/>
  <c r="R241" i="204"/>
  <c r="Q241" i="204"/>
  <c r="P241" i="204"/>
  <c r="O241" i="204"/>
  <c r="N241" i="204"/>
  <c r="M241" i="204"/>
  <c r="L241" i="204"/>
  <c r="K241" i="204"/>
  <c r="J241" i="204"/>
  <c r="I241" i="204"/>
  <c r="H241" i="204"/>
  <c r="G241" i="204"/>
  <c r="E241" i="204"/>
  <c r="S240" i="204"/>
  <c r="R240" i="204"/>
  <c r="Q240" i="204"/>
  <c r="P240" i="204"/>
  <c r="O240" i="204"/>
  <c r="N240" i="204"/>
  <c r="M240" i="204"/>
  <c r="L240" i="204"/>
  <c r="K240" i="204"/>
  <c r="J240" i="204"/>
  <c r="I240" i="204"/>
  <c r="H240" i="204"/>
  <c r="G240" i="204"/>
  <c r="E240" i="204"/>
  <c r="S239" i="204"/>
  <c r="R239" i="204"/>
  <c r="Q239" i="204"/>
  <c r="P239" i="204"/>
  <c r="O239" i="204"/>
  <c r="N239" i="204"/>
  <c r="M239" i="204"/>
  <c r="L239" i="204"/>
  <c r="K239" i="204"/>
  <c r="J239" i="204"/>
  <c r="I239" i="204"/>
  <c r="H239" i="204"/>
  <c r="G239" i="204"/>
  <c r="E239" i="204"/>
  <c r="S238" i="204"/>
  <c r="R238" i="204"/>
  <c r="Q238" i="204"/>
  <c r="P238" i="204"/>
  <c r="O238" i="204"/>
  <c r="N238" i="204"/>
  <c r="M238" i="204"/>
  <c r="L238" i="204"/>
  <c r="K238" i="204"/>
  <c r="J238" i="204"/>
  <c r="I238" i="204"/>
  <c r="H238" i="204"/>
  <c r="G238" i="204"/>
  <c r="E238" i="204"/>
  <c r="S234" i="204"/>
  <c r="R234" i="204"/>
  <c r="Q234" i="204"/>
  <c r="P234" i="204"/>
  <c r="O234" i="204"/>
  <c r="N234" i="204"/>
  <c r="M234" i="204"/>
  <c r="L234" i="204"/>
  <c r="K234" i="204"/>
  <c r="J234" i="204"/>
  <c r="I234" i="204"/>
  <c r="H234" i="204"/>
  <c r="G234" i="204"/>
  <c r="E234" i="204"/>
  <c r="S233" i="204"/>
  <c r="R233" i="204"/>
  <c r="Q233" i="204"/>
  <c r="P233" i="204"/>
  <c r="O233" i="204"/>
  <c r="N233" i="204"/>
  <c r="M233" i="204"/>
  <c r="L233" i="204"/>
  <c r="K233" i="204"/>
  <c r="J233" i="204"/>
  <c r="I233" i="204"/>
  <c r="H233" i="204"/>
  <c r="G233" i="204"/>
  <c r="E233" i="204"/>
  <c r="S232" i="204"/>
  <c r="R232" i="204"/>
  <c r="Q232" i="204"/>
  <c r="P232" i="204"/>
  <c r="O232" i="204"/>
  <c r="N232" i="204"/>
  <c r="M232" i="204"/>
  <c r="L232" i="204"/>
  <c r="K232" i="204"/>
  <c r="J232" i="204"/>
  <c r="I232" i="204"/>
  <c r="H232" i="204"/>
  <c r="G232" i="204"/>
  <c r="E232" i="204"/>
  <c r="S231" i="204"/>
  <c r="R231" i="204"/>
  <c r="Q231" i="204"/>
  <c r="P231" i="204"/>
  <c r="O231" i="204"/>
  <c r="N231" i="204"/>
  <c r="M231" i="204"/>
  <c r="L231" i="204"/>
  <c r="K231" i="204"/>
  <c r="J231" i="204"/>
  <c r="I231" i="204"/>
  <c r="H231" i="204"/>
  <c r="G231" i="204"/>
  <c r="E231" i="204"/>
  <c r="S230" i="204"/>
  <c r="R230" i="204"/>
  <c r="Q230" i="204"/>
  <c r="P230" i="204"/>
  <c r="O230" i="204"/>
  <c r="N230" i="204"/>
  <c r="M230" i="204"/>
  <c r="L230" i="204"/>
  <c r="K230" i="204"/>
  <c r="J230" i="204"/>
  <c r="I230" i="204"/>
  <c r="H230" i="204"/>
  <c r="G230" i="204"/>
  <c r="E230" i="204"/>
  <c r="S229" i="204"/>
  <c r="R229" i="204"/>
  <c r="Q229" i="204"/>
  <c r="P229" i="204"/>
  <c r="O229" i="204"/>
  <c r="N229" i="204"/>
  <c r="M229" i="204"/>
  <c r="L229" i="204"/>
  <c r="K229" i="204"/>
  <c r="J229" i="204"/>
  <c r="I229" i="204"/>
  <c r="H229" i="204"/>
  <c r="G229" i="204"/>
  <c r="E229" i="204"/>
  <c r="S225" i="204"/>
  <c r="R225" i="204"/>
  <c r="Q225" i="204"/>
  <c r="P225" i="204"/>
  <c r="O225" i="204"/>
  <c r="N225" i="204"/>
  <c r="M225" i="204"/>
  <c r="L225" i="204"/>
  <c r="K225" i="204"/>
  <c r="J225" i="204"/>
  <c r="I225" i="204"/>
  <c r="H225" i="204"/>
  <c r="G225" i="204"/>
  <c r="E225" i="204"/>
  <c r="S224" i="204"/>
  <c r="R224" i="204"/>
  <c r="Q224" i="204"/>
  <c r="P224" i="204"/>
  <c r="O224" i="204"/>
  <c r="N224" i="204"/>
  <c r="M224" i="204"/>
  <c r="L224" i="204"/>
  <c r="K224" i="204"/>
  <c r="J224" i="204"/>
  <c r="I224" i="204"/>
  <c r="H224" i="204"/>
  <c r="G224" i="204"/>
  <c r="E224" i="204"/>
  <c r="S223" i="204"/>
  <c r="R223" i="204"/>
  <c r="Q223" i="204"/>
  <c r="P223" i="204"/>
  <c r="O223" i="204"/>
  <c r="N223" i="204"/>
  <c r="M223" i="204"/>
  <c r="L223" i="204"/>
  <c r="K223" i="204"/>
  <c r="J223" i="204"/>
  <c r="I223" i="204"/>
  <c r="H223" i="204"/>
  <c r="G223" i="204"/>
  <c r="E223" i="204"/>
  <c r="S222" i="204"/>
  <c r="R222" i="204"/>
  <c r="Q222" i="204"/>
  <c r="P222" i="204"/>
  <c r="O222" i="204"/>
  <c r="N222" i="204"/>
  <c r="M222" i="204"/>
  <c r="L222" i="204"/>
  <c r="K222" i="204"/>
  <c r="J222" i="204"/>
  <c r="I222" i="204"/>
  <c r="H222" i="204"/>
  <c r="G222" i="204"/>
  <c r="E222" i="204"/>
  <c r="S221" i="204"/>
  <c r="R221" i="204"/>
  <c r="Q221" i="204"/>
  <c r="P221" i="204"/>
  <c r="O221" i="204"/>
  <c r="N221" i="204"/>
  <c r="M221" i="204"/>
  <c r="L221" i="204"/>
  <c r="K221" i="204"/>
  <c r="J221" i="204"/>
  <c r="I221" i="204"/>
  <c r="H221" i="204"/>
  <c r="G221" i="204"/>
  <c r="E221" i="204"/>
  <c r="S220" i="204"/>
  <c r="R220" i="204"/>
  <c r="Q220" i="204"/>
  <c r="P220" i="204"/>
  <c r="O220" i="204"/>
  <c r="N220" i="204"/>
  <c r="M220" i="204"/>
  <c r="L220" i="204"/>
  <c r="K220" i="204"/>
  <c r="J220" i="204"/>
  <c r="I220" i="204"/>
  <c r="H220" i="204"/>
  <c r="G220" i="204"/>
  <c r="E220" i="204"/>
  <c r="S216" i="204"/>
  <c r="R216" i="204"/>
  <c r="Q216" i="204"/>
  <c r="P216" i="204"/>
  <c r="O216" i="204"/>
  <c r="N216" i="204"/>
  <c r="M216" i="204"/>
  <c r="L216" i="204"/>
  <c r="K216" i="204"/>
  <c r="J216" i="204"/>
  <c r="I216" i="204"/>
  <c r="H216" i="204"/>
  <c r="G216" i="204"/>
  <c r="E216" i="204"/>
  <c r="S215" i="204"/>
  <c r="R215" i="204"/>
  <c r="Q215" i="204"/>
  <c r="P215" i="204"/>
  <c r="O215" i="204"/>
  <c r="N215" i="204"/>
  <c r="M215" i="204"/>
  <c r="L215" i="204"/>
  <c r="K215" i="204"/>
  <c r="J215" i="204"/>
  <c r="I215" i="204"/>
  <c r="H215" i="204"/>
  <c r="G215" i="204"/>
  <c r="E215" i="204"/>
  <c r="S214" i="204"/>
  <c r="R214" i="204"/>
  <c r="Q214" i="204"/>
  <c r="P214" i="204"/>
  <c r="O214" i="204"/>
  <c r="N214" i="204"/>
  <c r="M214" i="204"/>
  <c r="L214" i="204"/>
  <c r="K214" i="204"/>
  <c r="J214" i="204"/>
  <c r="I214" i="204"/>
  <c r="H214" i="204"/>
  <c r="G214" i="204"/>
  <c r="E214" i="204"/>
  <c r="S213" i="204"/>
  <c r="R213" i="204"/>
  <c r="Q213" i="204"/>
  <c r="P213" i="204"/>
  <c r="O213" i="204"/>
  <c r="N213" i="204"/>
  <c r="M213" i="204"/>
  <c r="L213" i="204"/>
  <c r="K213" i="204"/>
  <c r="J213" i="204"/>
  <c r="I213" i="204"/>
  <c r="H213" i="204"/>
  <c r="G213" i="204"/>
  <c r="E213" i="204"/>
  <c r="S212" i="204"/>
  <c r="R212" i="204"/>
  <c r="Q212" i="204"/>
  <c r="P212" i="204"/>
  <c r="O212" i="204"/>
  <c r="N212" i="204"/>
  <c r="M212" i="204"/>
  <c r="L212" i="204"/>
  <c r="K212" i="204"/>
  <c r="J212" i="204"/>
  <c r="I212" i="204"/>
  <c r="H212" i="204"/>
  <c r="G212" i="204"/>
  <c r="E212" i="204"/>
  <c r="S211" i="204"/>
  <c r="R211" i="204"/>
  <c r="Q211" i="204"/>
  <c r="P211" i="204"/>
  <c r="O211" i="204"/>
  <c r="N211" i="204"/>
  <c r="M211" i="204"/>
  <c r="L211" i="204"/>
  <c r="K211" i="204"/>
  <c r="J211" i="204"/>
  <c r="I211" i="204"/>
  <c r="H211" i="204"/>
  <c r="G211" i="204"/>
  <c r="E211" i="204"/>
  <c r="S207" i="204"/>
  <c r="R207" i="204"/>
  <c r="Q207" i="204"/>
  <c r="P207" i="204"/>
  <c r="O207" i="204"/>
  <c r="N207" i="204"/>
  <c r="M207" i="204"/>
  <c r="L207" i="204"/>
  <c r="K207" i="204"/>
  <c r="J207" i="204"/>
  <c r="I207" i="204"/>
  <c r="H207" i="204"/>
  <c r="G207" i="204"/>
  <c r="E207" i="204"/>
  <c r="S206" i="204"/>
  <c r="R206" i="204"/>
  <c r="Q206" i="204"/>
  <c r="P206" i="204"/>
  <c r="O206" i="204"/>
  <c r="N206" i="204"/>
  <c r="M206" i="204"/>
  <c r="L206" i="204"/>
  <c r="K206" i="204"/>
  <c r="J206" i="204"/>
  <c r="I206" i="204"/>
  <c r="H206" i="204"/>
  <c r="G206" i="204"/>
  <c r="E206" i="204"/>
  <c r="S205" i="204"/>
  <c r="R205" i="204"/>
  <c r="Q205" i="204"/>
  <c r="P205" i="204"/>
  <c r="O205" i="204"/>
  <c r="N205" i="204"/>
  <c r="M205" i="204"/>
  <c r="L205" i="204"/>
  <c r="K205" i="204"/>
  <c r="J205" i="204"/>
  <c r="I205" i="204"/>
  <c r="H205" i="204"/>
  <c r="G205" i="204"/>
  <c r="E205" i="204"/>
  <c r="S204" i="204"/>
  <c r="R204" i="204"/>
  <c r="Q204" i="204"/>
  <c r="P204" i="204"/>
  <c r="O204" i="204"/>
  <c r="N204" i="204"/>
  <c r="M204" i="204"/>
  <c r="L204" i="204"/>
  <c r="K204" i="204"/>
  <c r="J204" i="204"/>
  <c r="I204" i="204"/>
  <c r="H204" i="204"/>
  <c r="G204" i="204"/>
  <c r="E204" i="204"/>
  <c r="S203" i="204"/>
  <c r="R203" i="204"/>
  <c r="Q203" i="204"/>
  <c r="P203" i="204"/>
  <c r="O203" i="204"/>
  <c r="N203" i="204"/>
  <c r="M203" i="204"/>
  <c r="L203" i="204"/>
  <c r="K203" i="204"/>
  <c r="J203" i="204"/>
  <c r="I203" i="204"/>
  <c r="H203" i="204"/>
  <c r="G203" i="204"/>
  <c r="E203" i="204"/>
  <c r="S202" i="204"/>
  <c r="R202" i="204"/>
  <c r="Q202" i="204"/>
  <c r="P202" i="204"/>
  <c r="O202" i="204"/>
  <c r="N202" i="204"/>
  <c r="M202" i="204"/>
  <c r="L202" i="204"/>
  <c r="K202" i="204"/>
  <c r="J202" i="204"/>
  <c r="I202" i="204"/>
  <c r="H202" i="204"/>
  <c r="G202" i="204"/>
  <c r="E202" i="204"/>
  <c r="S198" i="204"/>
  <c r="R198" i="204"/>
  <c r="Q198" i="204"/>
  <c r="P198" i="204"/>
  <c r="O198" i="204"/>
  <c r="N198" i="204"/>
  <c r="M198" i="204"/>
  <c r="L198" i="204"/>
  <c r="K198" i="204"/>
  <c r="J198" i="204"/>
  <c r="I198" i="204"/>
  <c r="H198" i="204"/>
  <c r="G198" i="204"/>
  <c r="E198" i="204"/>
  <c r="S197" i="204"/>
  <c r="R197" i="204"/>
  <c r="Q197" i="204"/>
  <c r="P197" i="204"/>
  <c r="O197" i="204"/>
  <c r="N197" i="204"/>
  <c r="M197" i="204"/>
  <c r="L197" i="204"/>
  <c r="K197" i="204"/>
  <c r="J197" i="204"/>
  <c r="I197" i="204"/>
  <c r="H197" i="204"/>
  <c r="G197" i="204"/>
  <c r="E197" i="204"/>
  <c r="S196" i="204"/>
  <c r="R196" i="204"/>
  <c r="Q196" i="204"/>
  <c r="P196" i="204"/>
  <c r="O196" i="204"/>
  <c r="N196" i="204"/>
  <c r="M196" i="204"/>
  <c r="L196" i="204"/>
  <c r="K196" i="204"/>
  <c r="J196" i="204"/>
  <c r="I196" i="204"/>
  <c r="H196" i="204"/>
  <c r="G196" i="204"/>
  <c r="E196" i="204"/>
  <c r="S195" i="204"/>
  <c r="R195" i="204"/>
  <c r="Q195" i="204"/>
  <c r="P195" i="204"/>
  <c r="O195" i="204"/>
  <c r="N195" i="204"/>
  <c r="M195" i="204"/>
  <c r="L195" i="204"/>
  <c r="K195" i="204"/>
  <c r="J195" i="204"/>
  <c r="I195" i="204"/>
  <c r="H195" i="204"/>
  <c r="G195" i="204"/>
  <c r="E195" i="204"/>
  <c r="S194" i="204"/>
  <c r="R194" i="204"/>
  <c r="Q194" i="204"/>
  <c r="P194" i="204"/>
  <c r="O194" i="204"/>
  <c r="N194" i="204"/>
  <c r="M194" i="204"/>
  <c r="L194" i="204"/>
  <c r="K194" i="204"/>
  <c r="J194" i="204"/>
  <c r="I194" i="204"/>
  <c r="H194" i="204"/>
  <c r="G194" i="204"/>
  <c r="E194" i="204"/>
  <c r="S193" i="204"/>
  <c r="R193" i="204"/>
  <c r="Q193" i="204"/>
  <c r="P193" i="204"/>
  <c r="O193" i="204"/>
  <c r="N193" i="204"/>
  <c r="M193" i="204"/>
  <c r="L193" i="204"/>
  <c r="K193" i="204"/>
  <c r="J193" i="204"/>
  <c r="I193" i="204"/>
  <c r="H193" i="204"/>
  <c r="G193" i="204"/>
  <c r="E193" i="204"/>
  <c r="S189" i="204"/>
  <c r="R189" i="204"/>
  <c r="Q189" i="204"/>
  <c r="P189" i="204"/>
  <c r="O189" i="204"/>
  <c r="N189" i="204"/>
  <c r="M189" i="204"/>
  <c r="L189" i="204"/>
  <c r="K189" i="204"/>
  <c r="J189" i="204"/>
  <c r="I189" i="204"/>
  <c r="H189" i="204"/>
  <c r="G189" i="204"/>
  <c r="E189" i="204"/>
  <c r="S188" i="204"/>
  <c r="R188" i="204"/>
  <c r="Q188" i="204"/>
  <c r="P188" i="204"/>
  <c r="O188" i="204"/>
  <c r="N188" i="204"/>
  <c r="M188" i="204"/>
  <c r="L188" i="204"/>
  <c r="K188" i="204"/>
  <c r="J188" i="204"/>
  <c r="I188" i="204"/>
  <c r="H188" i="204"/>
  <c r="G188" i="204"/>
  <c r="E188" i="204"/>
  <c r="S187" i="204"/>
  <c r="R187" i="204"/>
  <c r="Q187" i="204"/>
  <c r="P187" i="204"/>
  <c r="O187" i="204"/>
  <c r="N187" i="204"/>
  <c r="M187" i="204"/>
  <c r="L187" i="204"/>
  <c r="K187" i="204"/>
  <c r="J187" i="204"/>
  <c r="I187" i="204"/>
  <c r="H187" i="204"/>
  <c r="G187" i="204"/>
  <c r="E187" i="204"/>
  <c r="S186" i="204"/>
  <c r="R186" i="204"/>
  <c r="Q186" i="204"/>
  <c r="P186" i="204"/>
  <c r="O186" i="204"/>
  <c r="N186" i="204"/>
  <c r="M186" i="204"/>
  <c r="L186" i="204"/>
  <c r="K186" i="204"/>
  <c r="J186" i="204"/>
  <c r="I186" i="204"/>
  <c r="H186" i="204"/>
  <c r="G186" i="204"/>
  <c r="E186" i="204"/>
  <c r="S185" i="204"/>
  <c r="R185" i="204"/>
  <c r="Q185" i="204"/>
  <c r="P185" i="204"/>
  <c r="O185" i="204"/>
  <c r="N185" i="204"/>
  <c r="M185" i="204"/>
  <c r="L185" i="204"/>
  <c r="K185" i="204"/>
  <c r="J185" i="204"/>
  <c r="I185" i="204"/>
  <c r="H185" i="204"/>
  <c r="G185" i="204"/>
  <c r="E185" i="204"/>
  <c r="S184" i="204"/>
  <c r="R184" i="204"/>
  <c r="Q184" i="204"/>
  <c r="P184" i="204"/>
  <c r="O184" i="204"/>
  <c r="N184" i="204"/>
  <c r="M184" i="204"/>
  <c r="L184" i="204"/>
  <c r="K184" i="204"/>
  <c r="J184" i="204"/>
  <c r="I184" i="204"/>
  <c r="H184" i="204"/>
  <c r="G184" i="204"/>
  <c r="E184" i="204"/>
  <c r="S180" i="204"/>
  <c r="R180" i="204"/>
  <c r="Q180" i="204"/>
  <c r="P180" i="204"/>
  <c r="O180" i="204"/>
  <c r="N180" i="204"/>
  <c r="M180" i="204"/>
  <c r="L180" i="204"/>
  <c r="K180" i="204"/>
  <c r="J180" i="204"/>
  <c r="I180" i="204"/>
  <c r="H180" i="204"/>
  <c r="G180" i="204"/>
  <c r="S179" i="204"/>
  <c r="R179" i="204"/>
  <c r="Q179" i="204"/>
  <c r="P179" i="204"/>
  <c r="O179" i="204"/>
  <c r="N179" i="204"/>
  <c r="M179" i="204"/>
  <c r="L179" i="204"/>
  <c r="K179" i="204"/>
  <c r="J179" i="204"/>
  <c r="I179" i="204"/>
  <c r="H179" i="204"/>
  <c r="G179" i="204"/>
  <c r="S178" i="204"/>
  <c r="R178" i="204"/>
  <c r="Q178" i="204"/>
  <c r="P178" i="204"/>
  <c r="O178" i="204"/>
  <c r="N178" i="204"/>
  <c r="M178" i="204"/>
  <c r="L178" i="204"/>
  <c r="K178" i="204"/>
  <c r="J178" i="204"/>
  <c r="I178" i="204"/>
  <c r="H178" i="204"/>
  <c r="G178" i="204"/>
  <c r="S177" i="204"/>
  <c r="R177" i="204"/>
  <c r="Q177" i="204"/>
  <c r="P177" i="204"/>
  <c r="O177" i="204"/>
  <c r="N177" i="204"/>
  <c r="M177" i="204"/>
  <c r="L177" i="204"/>
  <c r="K177" i="204"/>
  <c r="J177" i="204"/>
  <c r="I177" i="204"/>
  <c r="H177" i="204"/>
  <c r="G177" i="204"/>
  <c r="S176" i="204"/>
  <c r="R176" i="204"/>
  <c r="Q176" i="204"/>
  <c r="P176" i="204"/>
  <c r="O176" i="204"/>
  <c r="N176" i="204"/>
  <c r="M176" i="204"/>
  <c r="L176" i="204"/>
  <c r="K176" i="204"/>
  <c r="J176" i="204"/>
  <c r="I176" i="204"/>
  <c r="H176" i="204"/>
  <c r="G176" i="204"/>
  <c r="S175" i="204"/>
  <c r="R175" i="204"/>
  <c r="Q175" i="204"/>
  <c r="P175" i="204"/>
  <c r="O175" i="204"/>
  <c r="N175" i="204"/>
  <c r="M175" i="204"/>
  <c r="L175" i="204"/>
  <c r="K175" i="204"/>
  <c r="J175" i="204"/>
  <c r="I175" i="204"/>
  <c r="H175" i="204"/>
  <c r="G175" i="204"/>
  <c r="E20" i="204"/>
  <c r="S396" i="204"/>
  <c r="R396" i="204"/>
  <c r="Q396" i="204"/>
  <c r="P396" i="204"/>
  <c r="O396" i="204"/>
  <c r="N396" i="204"/>
  <c r="M396" i="204"/>
  <c r="L396" i="204"/>
  <c r="K396" i="204"/>
  <c r="J396" i="204"/>
  <c r="I396" i="204"/>
  <c r="H396" i="204"/>
  <c r="G396" i="204"/>
  <c r="S395" i="204"/>
  <c r="R395" i="204"/>
  <c r="Q395" i="204"/>
  <c r="P395" i="204"/>
  <c r="O395" i="204"/>
  <c r="N395" i="204"/>
  <c r="M395" i="204"/>
  <c r="L395" i="204"/>
  <c r="K395" i="204"/>
  <c r="J395" i="204"/>
  <c r="I395" i="204"/>
  <c r="H395" i="204"/>
  <c r="G395" i="204"/>
  <c r="S394" i="204"/>
  <c r="R394" i="204"/>
  <c r="Q394" i="204"/>
  <c r="P394" i="204"/>
  <c r="O394" i="204"/>
  <c r="N394" i="204"/>
  <c r="M394" i="204"/>
  <c r="L394" i="204"/>
  <c r="K394" i="204"/>
  <c r="J394" i="204"/>
  <c r="I394" i="204"/>
  <c r="H394" i="204"/>
  <c r="G394" i="204"/>
  <c r="S393" i="204"/>
  <c r="R393" i="204"/>
  <c r="Q393" i="204"/>
  <c r="P393" i="204"/>
  <c r="O393" i="204"/>
  <c r="N393" i="204"/>
  <c r="M393" i="204"/>
  <c r="L393" i="204"/>
  <c r="K393" i="204"/>
  <c r="J393" i="204"/>
  <c r="I393" i="204"/>
  <c r="H393" i="204"/>
  <c r="G393" i="204"/>
  <c r="S20" i="204"/>
  <c r="R20" i="204"/>
  <c r="Q20" i="204"/>
  <c r="P20" i="204"/>
  <c r="O20" i="204"/>
  <c r="N20" i="204"/>
  <c r="M20" i="204"/>
  <c r="L20" i="204"/>
  <c r="K20" i="204"/>
  <c r="J20" i="204"/>
  <c r="I20" i="204"/>
  <c r="H20" i="204"/>
  <c r="G20" i="204"/>
  <c r="S19" i="204"/>
  <c r="R19" i="204"/>
  <c r="Q19" i="204"/>
  <c r="P19" i="204"/>
  <c r="O19" i="204"/>
  <c r="N19" i="204"/>
  <c r="M19" i="204"/>
  <c r="L19" i="204"/>
  <c r="K19" i="204"/>
  <c r="J19" i="204"/>
  <c r="I19" i="204"/>
  <c r="H19" i="204"/>
  <c r="G19" i="204"/>
  <c r="E14" i="204"/>
  <c r="E13" i="204"/>
  <c r="E12" i="204"/>
  <c r="E11" i="204"/>
  <c r="S162" i="204"/>
  <c r="R162" i="204"/>
  <c r="Q162" i="204"/>
  <c r="P162" i="204"/>
  <c r="O162" i="204"/>
  <c r="N162" i="204"/>
  <c r="M162" i="204"/>
  <c r="L162" i="204"/>
  <c r="K162" i="204"/>
  <c r="J162" i="204"/>
  <c r="I162" i="204"/>
  <c r="H162" i="204"/>
  <c r="G162" i="204"/>
  <c r="S161" i="204"/>
  <c r="R161" i="204"/>
  <c r="Q161" i="204"/>
  <c r="P161" i="204"/>
  <c r="O161" i="204"/>
  <c r="N161" i="204"/>
  <c r="M161" i="204"/>
  <c r="L161" i="204"/>
  <c r="K161" i="204"/>
  <c r="J161" i="204"/>
  <c r="I161" i="204"/>
  <c r="H161" i="204"/>
  <c r="G161" i="204"/>
  <c r="S160" i="204"/>
  <c r="R160" i="204"/>
  <c r="Q160" i="204"/>
  <c r="P160" i="204"/>
  <c r="O160" i="204"/>
  <c r="N160" i="204"/>
  <c r="M160" i="204"/>
  <c r="L160" i="204"/>
  <c r="K160" i="204"/>
  <c r="J160" i="204"/>
  <c r="I160" i="204"/>
  <c r="H160" i="204"/>
  <c r="G160" i="204"/>
  <c r="S159" i="204"/>
  <c r="R159" i="204"/>
  <c r="Q159" i="204"/>
  <c r="P159" i="204"/>
  <c r="O159" i="204"/>
  <c r="N159" i="204"/>
  <c r="M159" i="204"/>
  <c r="L159" i="204"/>
  <c r="K159" i="204"/>
  <c r="J159" i="204"/>
  <c r="I159" i="204"/>
  <c r="H159" i="204"/>
  <c r="G159" i="204"/>
  <c r="S158" i="204"/>
  <c r="R158" i="204"/>
  <c r="Q158" i="204"/>
  <c r="P158" i="204"/>
  <c r="O158" i="204"/>
  <c r="N158" i="204"/>
  <c r="M158" i="204"/>
  <c r="L158" i="204"/>
  <c r="K158" i="204"/>
  <c r="J158" i="204"/>
  <c r="I158" i="204"/>
  <c r="H158" i="204"/>
  <c r="G158" i="204"/>
  <c r="S157" i="204"/>
  <c r="R157" i="204"/>
  <c r="Q157" i="204"/>
  <c r="P157" i="204"/>
  <c r="O157" i="204"/>
  <c r="N157" i="204"/>
  <c r="M157" i="204"/>
  <c r="L157" i="204"/>
  <c r="K157" i="204"/>
  <c r="J157" i="204"/>
  <c r="I157" i="204"/>
  <c r="H157" i="204"/>
  <c r="G157" i="204"/>
  <c r="S152" i="204"/>
  <c r="R152" i="204"/>
  <c r="Q152" i="204"/>
  <c r="P152" i="204"/>
  <c r="O152" i="204"/>
  <c r="N152" i="204"/>
  <c r="M152" i="204"/>
  <c r="L152" i="204"/>
  <c r="K152" i="204"/>
  <c r="J152" i="204"/>
  <c r="I152" i="204"/>
  <c r="H152" i="204"/>
  <c r="G152" i="204"/>
  <c r="S151" i="204"/>
  <c r="R151" i="204"/>
  <c r="Q151" i="204"/>
  <c r="P151" i="204"/>
  <c r="O151" i="204"/>
  <c r="N151" i="204"/>
  <c r="M151" i="204"/>
  <c r="L151" i="204"/>
  <c r="K151" i="204"/>
  <c r="J151" i="204"/>
  <c r="I151" i="204"/>
  <c r="H151" i="204"/>
  <c r="G151" i="204"/>
  <c r="S150" i="204"/>
  <c r="R150" i="204"/>
  <c r="Q150" i="204"/>
  <c r="P150" i="204"/>
  <c r="O150" i="204"/>
  <c r="N150" i="204"/>
  <c r="M150" i="204"/>
  <c r="L150" i="204"/>
  <c r="K150" i="204"/>
  <c r="J150" i="204"/>
  <c r="I150" i="204"/>
  <c r="H150" i="204"/>
  <c r="G150" i="204"/>
  <c r="S149" i="204"/>
  <c r="R149" i="204"/>
  <c r="Q149" i="204"/>
  <c r="P149" i="204"/>
  <c r="O149" i="204"/>
  <c r="N149" i="204"/>
  <c r="M149" i="204"/>
  <c r="L149" i="204"/>
  <c r="K149" i="204"/>
  <c r="J149" i="204"/>
  <c r="I149" i="204"/>
  <c r="H149" i="204"/>
  <c r="G149" i="204"/>
  <c r="S148" i="204"/>
  <c r="R148" i="204"/>
  <c r="Q148" i="204"/>
  <c r="P148" i="204"/>
  <c r="O148" i="204"/>
  <c r="N148" i="204"/>
  <c r="M148" i="204"/>
  <c r="L148" i="204"/>
  <c r="K148" i="204"/>
  <c r="J148" i="204"/>
  <c r="I148" i="204"/>
  <c r="H148" i="204"/>
  <c r="G148" i="204"/>
  <c r="S147" i="204"/>
  <c r="R147" i="204"/>
  <c r="Q147" i="204"/>
  <c r="P147" i="204"/>
  <c r="O147" i="204"/>
  <c r="N147" i="204"/>
  <c r="M147" i="204"/>
  <c r="L147" i="204"/>
  <c r="K147" i="204"/>
  <c r="J147" i="204"/>
  <c r="I147" i="204"/>
  <c r="H147" i="204"/>
  <c r="G147" i="204"/>
  <c r="S143" i="204"/>
  <c r="R143" i="204"/>
  <c r="Q143" i="204"/>
  <c r="P143" i="204"/>
  <c r="O143" i="204"/>
  <c r="N143" i="204"/>
  <c r="M143" i="204"/>
  <c r="L143" i="204"/>
  <c r="K143" i="204"/>
  <c r="J143" i="204"/>
  <c r="I143" i="204"/>
  <c r="H143" i="204"/>
  <c r="G143" i="204"/>
  <c r="S142" i="204"/>
  <c r="R142" i="204"/>
  <c r="Q142" i="204"/>
  <c r="P142" i="204"/>
  <c r="O142" i="204"/>
  <c r="N142" i="204"/>
  <c r="M142" i="204"/>
  <c r="L142" i="204"/>
  <c r="K142" i="204"/>
  <c r="J142" i="204"/>
  <c r="I142" i="204"/>
  <c r="H142" i="204"/>
  <c r="G142" i="204"/>
  <c r="S141" i="204"/>
  <c r="R141" i="204"/>
  <c r="Q141" i="204"/>
  <c r="P141" i="204"/>
  <c r="O141" i="204"/>
  <c r="N141" i="204"/>
  <c r="M141" i="204"/>
  <c r="L141" i="204"/>
  <c r="K141" i="204"/>
  <c r="J141" i="204"/>
  <c r="I141" i="204"/>
  <c r="H141" i="204"/>
  <c r="G141" i="204"/>
  <c r="S140" i="204"/>
  <c r="R140" i="204"/>
  <c r="Q140" i="204"/>
  <c r="P140" i="204"/>
  <c r="O140" i="204"/>
  <c r="N140" i="204"/>
  <c r="M140" i="204"/>
  <c r="L140" i="204"/>
  <c r="K140" i="204"/>
  <c r="J140" i="204"/>
  <c r="I140" i="204"/>
  <c r="H140" i="204"/>
  <c r="G140" i="204"/>
  <c r="S139" i="204"/>
  <c r="R139" i="204"/>
  <c r="Q139" i="204"/>
  <c r="P139" i="204"/>
  <c r="O139" i="204"/>
  <c r="N139" i="204"/>
  <c r="M139" i="204"/>
  <c r="L139" i="204"/>
  <c r="K139" i="204"/>
  <c r="J139" i="204"/>
  <c r="I139" i="204"/>
  <c r="H139" i="204"/>
  <c r="G139" i="204"/>
  <c r="S138" i="204"/>
  <c r="R138" i="204"/>
  <c r="Q138" i="204"/>
  <c r="P138" i="204"/>
  <c r="O138" i="204"/>
  <c r="N138" i="204"/>
  <c r="M138" i="204"/>
  <c r="L138" i="204"/>
  <c r="K138" i="204"/>
  <c r="J138" i="204"/>
  <c r="I138" i="204"/>
  <c r="H138" i="204"/>
  <c r="G138" i="204"/>
  <c r="S134" i="204"/>
  <c r="R134" i="204"/>
  <c r="Q134" i="204"/>
  <c r="P134" i="204"/>
  <c r="O134" i="204"/>
  <c r="N134" i="204"/>
  <c r="M134" i="204"/>
  <c r="L134" i="204"/>
  <c r="K134" i="204"/>
  <c r="J134" i="204"/>
  <c r="I134" i="204"/>
  <c r="H134" i="204"/>
  <c r="G134" i="204"/>
  <c r="S133" i="204"/>
  <c r="R133" i="204"/>
  <c r="Q133" i="204"/>
  <c r="P133" i="204"/>
  <c r="O133" i="204"/>
  <c r="N133" i="204"/>
  <c r="M133" i="204"/>
  <c r="L133" i="204"/>
  <c r="K133" i="204"/>
  <c r="J133" i="204"/>
  <c r="I133" i="204"/>
  <c r="H133" i="204"/>
  <c r="G133" i="204"/>
  <c r="S132" i="204"/>
  <c r="R132" i="204"/>
  <c r="Q132" i="204"/>
  <c r="P132" i="204"/>
  <c r="O132" i="204"/>
  <c r="N132" i="204"/>
  <c r="M132" i="204"/>
  <c r="L132" i="204"/>
  <c r="K132" i="204"/>
  <c r="J132" i="204"/>
  <c r="I132" i="204"/>
  <c r="H132" i="204"/>
  <c r="G132" i="204"/>
  <c r="S131" i="204"/>
  <c r="R131" i="204"/>
  <c r="Q131" i="204"/>
  <c r="P131" i="204"/>
  <c r="O131" i="204"/>
  <c r="N131" i="204"/>
  <c r="M131" i="204"/>
  <c r="L131" i="204"/>
  <c r="K131" i="204"/>
  <c r="J131" i="204"/>
  <c r="I131" i="204"/>
  <c r="H131" i="204"/>
  <c r="G131" i="204"/>
  <c r="S130" i="204"/>
  <c r="R130" i="204"/>
  <c r="Q130" i="204"/>
  <c r="P130" i="204"/>
  <c r="O130" i="204"/>
  <c r="N130" i="204"/>
  <c r="M130" i="204"/>
  <c r="L130" i="204"/>
  <c r="K130" i="204"/>
  <c r="J130" i="204"/>
  <c r="I130" i="204"/>
  <c r="H130" i="204"/>
  <c r="G130" i="204"/>
  <c r="S129" i="204"/>
  <c r="R129" i="204"/>
  <c r="Q129" i="204"/>
  <c r="P129" i="204"/>
  <c r="O129" i="204"/>
  <c r="N129" i="204"/>
  <c r="M129" i="204"/>
  <c r="L129" i="204"/>
  <c r="K129" i="204"/>
  <c r="J129" i="204"/>
  <c r="I129" i="204"/>
  <c r="H129" i="204"/>
  <c r="G129" i="204"/>
  <c r="S125" i="204"/>
  <c r="R125" i="204"/>
  <c r="Q125" i="204"/>
  <c r="P125" i="204"/>
  <c r="O125" i="204"/>
  <c r="N125" i="204"/>
  <c r="M125" i="204"/>
  <c r="L125" i="204"/>
  <c r="K125" i="204"/>
  <c r="J125" i="204"/>
  <c r="I125" i="204"/>
  <c r="H125" i="204"/>
  <c r="G125" i="204"/>
  <c r="S124" i="204"/>
  <c r="R124" i="204"/>
  <c r="Q124" i="204"/>
  <c r="P124" i="204"/>
  <c r="O124" i="204"/>
  <c r="N124" i="204"/>
  <c r="M124" i="204"/>
  <c r="L124" i="204"/>
  <c r="K124" i="204"/>
  <c r="J124" i="204"/>
  <c r="I124" i="204"/>
  <c r="H124" i="204"/>
  <c r="G124" i="204"/>
  <c r="S123" i="204"/>
  <c r="R123" i="204"/>
  <c r="Q123" i="204"/>
  <c r="P123" i="204"/>
  <c r="O123" i="204"/>
  <c r="N123" i="204"/>
  <c r="M123" i="204"/>
  <c r="L123" i="204"/>
  <c r="K123" i="204"/>
  <c r="J123" i="204"/>
  <c r="I123" i="204"/>
  <c r="H123" i="204"/>
  <c r="G123" i="204"/>
  <c r="S122" i="204"/>
  <c r="R122" i="204"/>
  <c r="Q122" i="204"/>
  <c r="P122" i="204"/>
  <c r="O122" i="204"/>
  <c r="N122" i="204"/>
  <c r="M122" i="204"/>
  <c r="L122" i="204"/>
  <c r="K122" i="204"/>
  <c r="J122" i="204"/>
  <c r="I122" i="204"/>
  <c r="H122" i="204"/>
  <c r="G122" i="204"/>
  <c r="S121" i="204"/>
  <c r="R121" i="204"/>
  <c r="Q121" i="204"/>
  <c r="P121" i="204"/>
  <c r="O121" i="204"/>
  <c r="N121" i="204"/>
  <c r="M121" i="204"/>
  <c r="L121" i="204"/>
  <c r="K121" i="204"/>
  <c r="J121" i="204"/>
  <c r="I121" i="204"/>
  <c r="H121" i="204"/>
  <c r="G121" i="204"/>
  <c r="S120" i="204"/>
  <c r="R120" i="204"/>
  <c r="Q120" i="204"/>
  <c r="P120" i="204"/>
  <c r="O120" i="204"/>
  <c r="N120" i="204"/>
  <c r="M120" i="204"/>
  <c r="L120" i="204"/>
  <c r="K120" i="204"/>
  <c r="J120" i="204"/>
  <c r="I120" i="204"/>
  <c r="H120" i="204"/>
  <c r="G120" i="204"/>
  <c r="S116" i="204"/>
  <c r="R116" i="204"/>
  <c r="Q116" i="204"/>
  <c r="P116" i="204"/>
  <c r="O116" i="204"/>
  <c r="N116" i="204"/>
  <c r="M116" i="204"/>
  <c r="L116" i="204"/>
  <c r="K116" i="204"/>
  <c r="J116" i="204"/>
  <c r="I116" i="204"/>
  <c r="H116" i="204"/>
  <c r="G116" i="204"/>
  <c r="S115" i="204"/>
  <c r="R115" i="204"/>
  <c r="Q115" i="204"/>
  <c r="P115" i="204"/>
  <c r="O115" i="204"/>
  <c r="N115" i="204"/>
  <c r="M115" i="204"/>
  <c r="L115" i="204"/>
  <c r="K115" i="204"/>
  <c r="J115" i="204"/>
  <c r="I115" i="204"/>
  <c r="H115" i="204"/>
  <c r="G115" i="204"/>
  <c r="S114" i="204"/>
  <c r="R114" i="204"/>
  <c r="Q114" i="204"/>
  <c r="P114" i="204"/>
  <c r="O114" i="204"/>
  <c r="N114" i="204"/>
  <c r="M114" i="204"/>
  <c r="L114" i="204"/>
  <c r="K114" i="204"/>
  <c r="J114" i="204"/>
  <c r="I114" i="204"/>
  <c r="H114" i="204"/>
  <c r="G114" i="204"/>
  <c r="S113" i="204"/>
  <c r="R113" i="204"/>
  <c r="Q113" i="204"/>
  <c r="P113" i="204"/>
  <c r="O113" i="204"/>
  <c r="N113" i="204"/>
  <c r="M113" i="204"/>
  <c r="L113" i="204"/>
  <c r="K113" i="204"/>
  <c r="J113" i="204"/>
  <c r="I113" i="204"/>
  <c r="H113" i="204"/>
  <c r="G113" i="204"/>
  <c r="S112" i="204"/>
  <c r="R112" i="204"/>
  <c r="Q112" i="204"/>
  <c r="P112" i="204"/>
  <c r="O112" i="204"/>
  <c r="N112" i="204"/>
  <c r="M112" i="204"/>
  <c r="L112" i="204"/>
  <c r="K112" i="204"/>
  <c r="J112" i="204"/>
  <c r="I112" i="204"/>
  <c r="H112" i="204"/>
  <c r="G112" i="204"/>
  <c r="S111" i="204"/>
  <c r="R111" i="204"/>
  <c r="Q111" i="204"/>
  <c r="P111" i="204"/>
  <c r="O111" i="204"/>
  <c r="N111" i="204"/>
  <c r="M111" i="204"/>
  <c r="L111" i="204"/>
  <c r="K111" i="204"/>
  <c r="J111" i="204"/>
  <c r="I111" i="204"/>
  <c r="H111" i="204"/>
  <c r="G111" i="204"/>
  <c r="S107" i="204"/>
  <c r="R107" i="204"/>
  <c r="Q107" i="204"/>
  <c r="P107" i="204"/>
  <c r="O107" i="204"/>
  <c r="N107" i="204"/>
  <c r="M107" i="204"/>
  <c r="L107" i="204"/>
  <c r="K107" i="204"/>
  <c r="J107" i="204"/>
  <c r="I107" i="204"/>
  <c r="H107" i="204"/>
  <c r="G107" i="204"/>
  <c r="S106" i="204"/>
  <c r="R106" i="204"/>
  <c r="Q106" i="204"/>
  <c r="P106" i="204"/>
  <c r="O106" i="204"/>
  <c r="N106" i="204"/>
  <c r="M106" i="204"/>
  <c r="L106" i="204"/>
  <c r="K106" i="204"/>
  <c r="J106" i="204"/>
  <c r="I106" i="204"/>
  <c r="H106" i="204"/>
  <c r="G106" i="204"/>
  <c r="S105" i="204"/>
  <c r="R105" i="204"/>
  <c r="Q105" i="204"/>
  <c r="P105" i="204"/>
  <c r="O105" i="204"/>
  <c r="N105" i="204"/>
  <c r="M105" i="204"/>
  <c r="L105" i="204"/>
  <c r="K105" i="204"/>
  <c r="J105" i="204"/>
  <c r="I105" i="204"/>
  <c r="H105" i="204"/>
  <c r="G105" i="204"/>
  <c r="S104" i="204"/>
  <c r="R104" i="204"/>
  <c r="Q104" i="204"/>
  <c r="P104" i="204"/>
  <c r="O104" i="204"/>
  <c r="N104" i="204"/>
  <c r="M104" i="204"/>
  <c r="L104" i="204"/>
  <c r="K104" i="204"/>
  <c r="J104" i="204"/>
  <c r="I104" i="204"/>
  <c r="H104" i="204"/>
  <c r="G104" i="204"/>
  <c r="S103" i="204"/>
  <c r="R103" i="204"/>
  <c r="Q103" i="204"/>
  <c r="P103" i="204"/>
  <c r="O103" i="204"/>
  <c r="N103" i="204"/>
  <c r="M103" i="204"/>
  <c r="L103" i="204"/>
  <c r="K103" i="204"/>
  <c r="J103" i="204"/>
  <c r="I103" i="204"/>
  <c r="H103" i="204"/>
  <c r="G103" i="204"/>
  <c r="S102" i="204"/>
  <c r="R102" i="204"/>
  <c r="Q102" i="204"/>
  <c r="P102" i="204"/>
  <c r="O102" i="204"/>
  <c r="N102" i="204"/>
  <c r="M102" i="204"/>
  <c r="L102" i="204"/>
  <c r="K102" i="204"/>
  <c r="J102" i="204"/>
  <c r="I102" i="204"/>
  <c r="H102" i="204"/>
  <c r="G102" i="204"/>
  <c r="S98" i="204"/>
  <c r="R98" i="204"/>
  <c r="Q98" i="204"/>
  <c r="P98" i="204"/>
  <c r="O98" i="204"/>
  <c r="N98" i="204"/>
  <c r="M98" i="204"/>
  <c r="L98" i="204"/>
  <c r="K98" i="204"/>
  <c r="J98" i="204"/>
  <c r="I98" i="204"/>
  <c r="H98" i="204"/>
  <c r="G98" i="204"/>
  <c r="S97" i="204"/>
  <c r="R97" i="204"/>
  <c r="Q97" i="204"/>
  <c r="P97" i="204"/>
  <c r="O97" i="204"/>
  <c r="N97" i="204"/>
  <c r="M97" i="204"/>
  <c r="L97" i="204"/>
  <c r="K97" i="204"/>
  <c r="J97" i="204"/>
  <c r="I97" i="204"/>
  <c r="H97" i="204"/>
  <c r="G97" i="204"/>
  <c r="S96" i="204"/>
  <c r="R96" i="204"/>
  <c r="Q96" i="204"/>
  <c r="P96" i="204"/>
  <c r="O96" i="204"/>
  <c r="N96" i="204"/>
  <c r="M96" i="204"/>
  <c r="L96" i="204"/>
  <c r="K96" i="204"/>
  <c r="J96" i="204"/>
  <c r="I96" i="204"/>
  <c r="H96" i="204"/>
  <c r="G96" i="204"/>
  <c r="S95" i="204"/>
  <c r="R95" i="204"/>
  <c r="Q95" i="204"/>
  <c r="P95" i="204"/>
  <c r="O95" i="204"/>
  <c r="N95" i="204"/>
  <c r="M95" i="204"/>
  <c r="L95" i="204"/>
  <c r="K95" i="204"/>
  <c r="J95" i="204"/>
  <c r="I95" i="204"/>
  <c r="H95" i="204"/>
  <c r="G95" i="204"/>
  <c r="S94" i="204"/>
  <c r="R94" i="204"/>
  <c r="Q94" i="204"/>
  <c r="P94" i="204"/>
  <c r="O94" i="204"/>
  <c r="N94" i="204"/>
  <c r="M94" i="204"/>
  <c r="L94" i="204"/>
  <c r="K94" i="204"/>
  <c r="J94" i="204"/>
  <c r="I94" i="204"/>
  <c r="H94" i="204"/>
  <c r="G94" i="204"/>
  <c r="S93" i="204"/>
  <c r="R93" i="204"/>
  <c r="Q93" i="204"/>
  <c r="P93" i="204"/>
  <c r="O93" i="204"/>
  <c r="N93" i="204"/>
  <c r="M93" i="204"/>
  <c r="L93" i="204"/>
  <c r="K93" i="204"/>
  <c r="J93" i="204"/>
  <c r="I93" i="204"/>
  <c r="H93" i="204"/>
  <c r="G93" i="204"/>
  <c r="S89" i="204"/>
  <c r="R89" i="204"/>
  <c r="Q89" i="204"/>
  <c r="P89" i="204"/>
  <c r="O89" i="204"/>
  <c r="N89" i="204"/>
  <c r="M89" i="204"/>
  <c r="L89" i="204"/>
  <c r="K89" i="204"/>
  <c r="J89" i="204"/>
  <c r="I89" i="204"/>
  <c r="H89" i="204"/>
  <c r="G89" i="204"/>
  <c r="S88" i="204"/>
  <c r="R88" i="204"/>
  <c r="Q88" i="204"/>
  <c r="P88" i="204"/>
  <c r="O88" i="204"/>
  <c r="N88" i="204"/>
  <c r="M88" i="204"/>
  <c r="L88" i="204"/>
  <c r="K88" i="204"/>
  <c r="J88" i="204"/>
  <c r="I88" i="204"/>
  <c r="H88" i="204"/>
  <c r="G88" i="204"/>
  <c r="S87" i="204"/>
  <c r="R87" i="204"/>
  <c r="Q87" i="204"/>
  <c r="P87" i="204"/>
  <c r="O87" i="204"/>
  <c r="N87" i="204"/>
  <c r="M87" i="204"/>
  <c r="L87" i="204"/>
  <c r="K87" i="204"/>
  <c r="J87" i="204"/>
  <c r="I87" i="204"/>
  <c r="H87" i="204"/>
  <c r="G87" i="204"/>
  <c r="S86" i="204"/>
  <c r="R86" i="204"/>
  <c r="Q86" i="204"/>
  <c r="P86" i="204"/>
  <c r="O86" i="204"/>
  <c r="N86" i="204"/>
  <c r="M86" i="204"/>
  <c r="L86" i="204"/>
  <c r="K86" i="204"/>
  <c r="J86" i="204"/>
  <c r="I86" i="204"/>
  <c r="H86" i="204"/>
  <c r="G86" i="204"/>
  <c r="S85" i="204"/>
  <c r="R85" i="204"/>
  <c r="Q85" i="204"/>
  <c r="P85" i="204"/>
  <c r="O85" i="204"/>
  <c r="N85" i="204"/>
  <c r="M85" i="204"/>
  <c r="L85" i="204"/>
  <c r="K85" i="204"/>
  <c r="J85" i="204"/>
  <c r="I85" i="204"/>
  <c r="H85" i="204"/>
  <c r="G85" i="204"/>
  <c r="S84" i="204"/>
  <c r="R84" i="204"/>
  <c r="Q84" i="204"/>
  <c r="P84" i="204"/>
  <c r="O84" i="204"/>
  <c r="N84" i="204"/>
  <c r="M84" i="204"/>
  <c r="L84" i="204"/>
  <c r="K84" i="204"/>
  <c r="J84" i="204"/>
  <c r="I84" i="204"/>
  <c r="H84" i="204"/>
  <c r="G84" i="204"/>
  <c r="S80" i="204"/>
  <c r="R80" i="204"/>
  <c r="Q80" i="204"/>
  <c r="P80" i="204"/>
  <c r="O80" i="204"/>
  <c r="N80" i="204"/>
  <c r="M80" i="204"/>
  <c r="L80" i="204"/>
  <c r="K80" i="204"/>
  <c r="J80" i="204"/>
  <c r="I80" i="204"/>
  <c r="H80" i="204"/>
  <c r="G80" i="204"/>
  <c r="S79" i="204"/>
  <c r="R79" i="204"/>
  <c r="Q79" i="204"/>
  <c r="P79" i="204"/>
  <c r="O79" i="204"/>
  <c r="N79" i="204"/>
  <c r="M79" i="204"/>
  <c r="L79" i="204"/>
  <c r="K79" i="204"/>
  <c r="J79" i="204"/>
  <c r="I79" i="204"/>
  <c r="H79" i="204"/>
  <c r="G79" i="204"/>
  <c r="S78" i="204"/>
  <c r="R78" i="204"/>
  <c r="Q78" i="204"/>
  <c r="P78" i="204"/>
  <c r="O78" i="204"/>
  <c r="N78" i="204"/>
  <c r="M78" i="204"/>
  <c r="L78" i="204"/>
  <c r="K78" i="204"/>
  <c r="J78" i="204"/>
  <c r="I78" i="204"/>
  <c r="H78" i="204"/>
  <c r="G78" i="204"/>
  <c r="S77" i="204"/>
  <c r="R77" i="204"/>
  <c r="Q77" i="204"/>
  <c r="P77" i="204"/>
  <c r="O77" i="204"/>
  <c r="N77" i="204"/>
  <c r="M77" i="204"/>
  <c r="L77" i="204"/>
  <c r="K77" i="204"/>
  <c r="J77" i="204"/>
  <c r="I77" i="204"/>
  <c r="H77" i="204"/>
  <c r="G77" i="204"/>
  <c r="S76" i="204"/>
  <c r="R76" i="204"/>
  <c r="Q76" i="204"/>
  <c r="P76" i="204"/>
  <c r="O76" i="204"/>
  <c r="N76" i="204"/>
  <c r="M76" i="204"/>
  <c r="L76" i="204"/>
  <c r="K76" i="204"/>
  <c r="J76" i="204"/>
  <c r="I76" i="204"/>
  <c r="H76" i="204"/>
  <c r="G76" i="204"/>
  <c r="S75" i="204"/>
  <c r="R75" i="204"/>
  <c r="Q75" i="204"/>
  <c r="P75" i="204"/>
  <c r="O75" i="204"/>
  <c r="N75" i="204"/>
  <c r="M75" i="204"/>
  <c r="L75" i="204"/>
  <c r="K75" i="204"/>
  <c r="J75" i="204"/>
  <c r="I75" i="204"/>
  <c r="H75" i="204"/>
  <c r="G75" i="204"/>
  <c r="S71" i="204"/>
  <c r="R71" i="204"/>
  <c r="Q71" i="204"/>
  <c r="P71" i="204"/>
  <c r="O71" i="204"/>
  <c r="N71" i="204"/>
  <c r="M71" i="204"/>
  <c r="L71" i="204"/>
  <c r="K71" i="204"/>
  <c r="J71" i="204"/>
  <c r="I71" i="204"/>
  <c r="H71" i="204"/>
  <c r="G71" i="204"/>
  <c r="S70" i="204"/>
  <c r="R70" i="204"/>
  <c r="Q70" i="204"/>
  <c r="P70" i="204"/>
  <c r="O70" i="204"/>
  <c r="N70" i="204"/>
  <c r="M70" i="204"/>
  <c r="L70" i="204"/>
  <c r="K70" i="204"/>
  <c r="J70" i="204"/>
  <c r="I70" i="204"/>
  <c r="H70" i="204"/>
  <c r="G70" i="204"/>
  <c r="S69" i="204"/>
  <c r="R69" i="204"/>
  <c r="Q69" i="204"/>
  <c r="P69" i="204"/>
  <c r="O69" i="204"/>
  <c r="N69" i="204"/>
  <c r="M69" i="204"/>
  <c r="L69" i="204"/>
  <c r="K69" i="204"/>
  <c r="J69" i="204"/>
  <c r="I69" i="204"/>
  <c r="H69" i="204"/>
  <c r="G69" i="204"/>
  <c r="S68" i="204"/>
  <c r="R68" i="204"/>
  <c r="Q68" i="204"/>
  <c r="P68" i="204"/>
  <c r="O68" i="204"/>
  <c r="N68" i="204"/>
  <c r="M68" i="204"/>
  <c r="L68" i="204"/>
  <c r="K68" i="204"/>
  <c r="J68" i="204"/>
  <c r="I68" i="204"/>
  <c r="H68" i="204"/>
  <c r="G68" i="204"/>
  <c r="S67" i="204"/>
  <c r="R67" i="204"/>
  <c r="Q67" i="204"/>
  <c r="P67" i="204"/>
  <c r="O67" i="204"/>
  <c r="N67" i="204"/>
  <c r="M67" i="204"/>
  <c r="L67" i="204"/>
  <c r="K67" i="204"/>
  <c r="J67" i="204"/>
  <c r="I67" i="204"/>
  <c r="H67" i="204"/>
  <c r="G67" i="204"/>
  <c r="S66" i="204"/>
  <c r="R66" i="204"/>
  <c r="Q66" i="204"/>
  <c r="P66" i="204"/>
  <c r="O66" i="204"/>
  <c r="N66" i="204"/>
  <c r="M66" i="204"/>
  <c r="L66" i="204"/>
  <c r="K66" i="204"/>
  <c r="J66" i="204"/>
  <c r="I66" i="204"/>
  <c r="H66" i="204"/>
  <c r="G66" i="204"/>
  <c r="S27" i="204"/>
  <c r="R27" i="204"/>
  <c r="Q27" i="204"/>
  <c r="P27" i="204"/>
  <c r="O27" i="204"/>
  <c r="N27" i="204"/>
  <c r="M27" i="204"/>
  <c r="L27" i="204"/>
  <c r="K27" i="204"/>
  <c r="J27" i="204"/>
  <c r="I27" i="204"/>
  <c r="H27" i="204"/>
  <c r="G27" i="204"/>
  <c r="E27" i="204"/>
  <c r="S26" i="204"/>
  <c r="R26" i="204"/>
  <c r="Q26" i="204"/>
  <c r="P26" i="204"/>
  <c r="O26" i="204"/>
  <c r="N26" i="204"/>
  <c r="M26" i="204"/>
  <c r="L26" i="204"/>
  <c r="K26" i="204"/>
  <c r="J26" i="204"/>
  <c r="I26" i="204"/>
  <c r="H26" i="204"/>
  <c r="G26" i="204"/>
  <c r="E26" i="204"/>
  <c r="S25" i="204"/>
  <c r="R25" i="204"/>
  <c r="Q25" i="204"/>
  <c r="P25" i="204"/>
  <c r="O25" i="204"/>
  <c r="N25" i="204"/>
  <c r="M25" i="204"/>
  <c r="L25" i="204"/>
  <c r="K25" i="204"/>
  <c r="J25" i="204"/>
  <c r="I25" i="204"/>
  <c r="H25" i="204"/>
  <c r="G25" i="204"/>
  <c r="E25" i="204"/>
  <c r="S24" i="204"/>
  <c r="R24" i="204"/>
  <c r="Q24" i="204"/>
  <c r="P24" i="204"/>
  <c r="O24" i="204"/>
  <c r="N24" i="204"/>
  <c r="M24" i="204"/>
  <c r="L24" i="204"/>
  <c r="K24" i="204"/>
  <c r="J24" i="204"/>
  <c r="I24" i="204"/>
  <c r="H24" i="204"/>
  <c r="G24" i="204"/>
  <c r="E24" i="204"/>
  <c r="S18" i="204"/>
  <c r="R18" i="204"/>
  <c r="Q18" i="204"/>
  <c r="P18" i="204"/>
  <c r="O18" i="204"/>
  <c r="N18" i="204"/>
  <c r="M18" i="204"/>
  <c r="L18" i="204"/>
  <c r="K18" i="204"/>
  <c r="J18" i="204"/>
  <c r="I18" i="204"/>
  <c r="H18" i="204"/>
  <c r="G18" i="204"/>
  <c r="E18" i="204"/>
  <c r="S14" i="204"/>
  <c r="R14" i="204"/>
  <c r="Q14" i="204"/>
  <c r="P14" i="204"/>
  <c r="O14" i="204"/>
  <c r="N14" i="204"/>
  <c r="M14" i="204"/>
  <c r="L14" i="204"/>
  <c r="K14" i="204"/>
  <c r="J14" i="204"/>
  <c r="I14" i="204"/>
  <c r="H14" i="204"/>
  <c r="G14" i="204"/>
  <c r="S13" i="204"/>
  <c r="R13" i="204"/>
  <c r="Q13" i="204"/>
  <c r="P13" i="204"/>
  <c r="O13" i="204"/>
  <c r="N13" i="204"/>
  <c r="M13" i="204"/>
  <c r="L13" i="204"/>
  <c r="K13" i="204"/>
  <c r="J13" i="204"/>
  <c r="I13" i="204"/>
  <c r="H13" i="204"/>
  <c r="G13" i="204"/>
  <c r="S12" i="204"/>
  <c r="R12" i="204"/>
  <c r="Q12" i="204"/>
  <c r="P12" i="204"/>
  <c r="O12" i="204"/>
  <c r="N12" i="204"/>
  <c r="M12" i="204"/>
  <c r="L12" i="204"/>
  <c r="K12" i="204"/>
  <c r="J12" i="204"/>
  <c r="I12" i="204"/>
  <c r="H12" i="204"/>
  <c r="G12" i="204"/>
  <c r="S11" i="204"/>
  <c r="R11" i="204"/>
  <c r="Q11" i="204"/>
  <c r="P11" i="204"/>
  <c r="O11" i="204"/>
  <c r="N11" i="204"/>
  <c r="M11" i="204"/>
  <c r="L11" i="204"/>
  <c r="K11" i="204"/>
  <c r="J11" i="204"/>
  <c r="I11" i="204"/>
  <c r="H11" i="204"/>
  <c r="G11" i="204"/>
  <c r="S10" i="204"/>
  <c r="R10" i="204"/>
  <c r="Q10" i="204"/>
  <c r="P10" i="204"/>
  <c r="O10" i="204"/>
  <c r="N10" i="204"/>
  <c r="M10" i="204"/>
  <c r="L10" i="204"/>
  <c r="K10" i="204"/>
  <c r="J10" i="204"/>
  <c r="I10" i="204"/>
  <c r="H10" i="204"/>
  <c r="G10" i="204"/>
  <c r="C380" i="204"/>
  <c r="C379" i="204"/>
  <c r="C378" i="204"/>
  <c r="C377" i="204"/>
  <c r="C376" i="204"/>
  <c r="C375" i="204"/>
  <c r="C367" i="204"/>
  <c r="B364" i="204"/>
  <c r="C368" i="204" s="1"/>
  <c r="B355" i="204"/>
  <c r="C358" i="204" s="1"/>
  <c r="B346" i="204"/>
  <c r="C350" i="204" s="1"/>
  <c r="B337" i="204"/>
  <c r="C342" i="204" s="1"/>
  <c r="B328" i="204"/>
  <c r="C332" i="204" s="1"/>
  <c r="B319" i="204"/>
  <c r="C322" i="204" s="1"/>
  <c r="C312" i="204"/>
  <c r="B310" i="204"/>
  <c r="C314" i="204" s="1"/>
  <c r="B301" i="204"/>
  <c r="C306" i="204" s="1"/>
  <c r="C297" i="204"/>
  <c r="B292" i="204"/>
  <c r="C296" i="204" s="1"/>
  <c r="B283" i="204"/>
  <c r="C286" i="204" s="1"/>
  <c r="S281" i="204"/>
  <c r="R281" i="204"/>
  <c r="Q281" i="204"/>
  <c r="P281" i="204"/>
  <c r="O281" i="204"/>
  <c r="N281" i="204"/>
  <c r="M281" i="204"/>
  <c r="L281" i="204"/>
  <c r="K281" i="204"/>
  <c r="J281" i="204"/>
  <c r="I281" i="204"/>
  <c r="H281" i="204"/>
  <c r="G281" i="204"/>
  <c r="C271" i="204"/>
  <c r="C270" i="204"/>
  <c r="C269" i="204"/>
  <c r="C268" i="204"/>
  <c r="C267" i="204"/>
  <c r="C266" i="204"/>
  <c r="B255" i="204"/>
  <c r="C260" i="204" s="1"/>
  <c r="B246" i="204"/>
  <c r="C250" i="204" s="1"/>
  <c r="B237" i="204"/>
  <c r="C240" i="204" s="1"/>
  <c r="B228" i="204"/>
  <c r="C232" i="204" s="1"/>
  <c r="B219" i="204"/>
  <c r="C224" i="204" s="1"/>
  <c r="B210" i="204"/>
  <c r="C214" i="204" s="1"/>
  <c r="B201" i="204"/>
  <c r="C204" i="204" s="1"/>
  <c r="B192" i="204"/>
  <c r="C196" i="204" s="1"/>
  <c r="B183" i="204"/>
  <c r="C188" i="204" s="1"/>
  <c r="B174" i="204"/>
  <c r="C178" i="204" s="1"/>
  <c r="S172" i="204"/>
  <c r="R172" i="204"/>
  <c r="Q172" i="204"/>
  <c r="P172" i="204"/>
  <c r="O172" i="204"/>
  <c r="N172" i="204"/>
  <c r="M172" i="204"/>
  <c r="L172" i="204"/>
  <c r="K172" i="204"/>
  <c r="J172" i="204"/>
  <c r="I172" i="204"/>
  <c r="H172" i="204"/>
  <c r="G172" i="204"/>
  <c r="C162" i="204"/>
  <c r="C161" i="204"/>
  <c r="C160" i="204"/>
  <c r="C159" i="204"/>
  <c r="C158" i="204"/>
  <c r="C157" i="204"/>
  <c r="B146" i="204"/>
  <c r="C150" i="204" s="1"/>
  <c r="B137" i="204"/>
  <c r="C142" i="204" s="1"/>
  <c r="B128" i="204"/>
  <c r="C132" i="204" s="1"/>
  <c r="B119" i="204"/>
  <c r="C122" i="204" s="1"/>
  <c r="B110" i="204"/>
  <c r="C114" i="204" s="1"/>
  <c r="B101" i="204"/>
  <c r="C106" i="204" s="1"/>
  <c r="B92" i="204"/>
  <c r="C96" i="204" s="1"/>
  <c r="C89" i="204"/>
  <c r="B83" i="204"/>
  <c r="C86" i="204" s="1"/>
  <c r="B74" i="204"/>
  <c r="C78" i="204" s="1"/>
  <c r="B65" i="204"/>
  <c r="C70" i="204" s="1"/>
  <c r="S63" i="204"/>
  <c r="R63" i="204"/>
  <c r="Q63" i="204"/>
  <c r="P63" i="204"/>
  <c r="O63" i="204"/>
  <c r="N63" i="204"/>
  <c r="M63" i="204"/>
  <c r="L63" i="204"/>
  <c r="K63" i="204"/>
  <c r="J63" i="204"/>
  <c r="I63" i="204"/>
  <c r="H63" i="204"/>
  <c r="G63" i="204"/>
  <c r="S6" i="204"/>
  <c r="R6" i="204"/>
  <c r="Q6" i="204"/>
  <c r="P6" i="204"/>
  <c r="O6" i="204"/>
  <c r="N6" i="204"/>
  <c r="M6" i="204"/>
  <c r="L6" i="204"/>
  <c r="K6" i="204"/>
  <c r="J6" i="204"/>
  <c r="I6" i="204"/>
  <c r="H6" i="204"/>
  <c r="G6" i="204"/>
  <c r="C393" i="204"/>
  <c r="E19" i="204"/>
  <c r="A3" i="204"/>
  <c r="M24" i="87"/>
  <c r="M23" i="87"/>
  <c r="M19" i="87"/>
  <c r="M18" i="87"/>
  <c r="M17" i="87"/>
  <c r="M16" i="87"/>
  <c r="M15" i="87"/>
  <c r="DF28" i="126"/>
  <c r="DE28" i="126"/>
  <c r="DF27" i="126"/>
  <c r="DE27" i="126"/>
  <c r="DF26" i="126"/>
  <c r="DE26" i="126"/>
  <c r="DF25" i="126"/>
  <c r="DE25" i="126"/>
  <c r="DE21" i="126"/>
  <c r="DF20" i="126"/>
  <c r="DE20" i="126"/>
  <c r="DF19" i="126"/>
  <c r="DE19" i="126"/>
  <c r="DF18" i="126"/>
  <c r="DE18" i="126"/>
  <c r="DF17" i="126"/>
  <c r="DE17" i="126"/>
  <c r="DF16" i="126"/>
  <c r="DE16" i="126"/>
  <c r="DF15" i="126"/>
  <c r="DE15" i="126"/>
  <c r="DK14" i="126"/>
  <c r="DJ14" i="126"/>
  <c r="DK13" i="126"/>
  <c r="DJ13" i="126"/>
  <c r="CB13" i="126"/>
  <c r="CA13" i="126"/>
  <c r="H27" i="21"/>
  <c r="BW14" i="126"/>
  <c r="BV14" i="126"/>
  <c r="BW13" i="126"/>
  <c r="BV13" i="126"/>
  <c r="BF13" i="126"/>
  <c r="BE13" i="126"/>
  <c r="AM14" i="126"/>
  <c r="AL14" i="126"/>
  <c r="AM13" i="126"/>
  <c r="AL13" i="126"/>
  <c r="C6" i="183"/>
  <c r="F38" i="21"/>
  <c r="AC30" i="126"/>
  <c r="AB30" i="126"/>
  <c r="AC27" i="126"/>
  <c r="AB27" i="126"/>
  <c r="AB26" i="126"/>
  <c r="AC20" i="126"/>
  <c r="AB20" i="126"/>
  <c r="AB19" i="126"/>
  <c r="AB16" i="126"/>
  <c r="AB15" i="126"/>
  <c r="AB14" i="126"/>
  <c r="AB13" i="126"/>
  <c r="U26" i="126"/>
  <c r="U25" i="126"/>
  <c r="U18" i="126"/>
  <c r="U13" i="126"/>
  <c r="Q45" i="126"/>
  <c r="Q44" i="126"/>
  <c r="Q43" i="126"/>
  <c r="Q42" i="126"/>
  <c r="Q41" i="126"/>
  <c r="Q40" i="126"/>
  <c r="Q39" i="126"/>
  <c r="Q38" i="126"/>
  <c r="Q37" i="126"/>
  <c r="Q36" i="126"/>
  <c r="Q26" i="126"/>
  <c r="Q25" i="126"/>
  <c r="Q24" i="126"/>
  <c r="Q21" i="126"/>
  <c r="Q20" i="126"/>
  <c r="Q19" i="126"/>
  <c r="Q18" i="126"/>
  <c r="Q17" i="126"/>
  <c r="Q16" i="126"/>
  <c r="Q15" i="126"/>
  <c r="Q14" i="126"/>
  <c r="D37" i="126"/>
  <c r="D35" i="126"/>
  <c r="D31" i="126"/>
  <c r="D30" i="126"/>
  <c r="D29" i="126"/>
  <c r="D28" i="126"/>
  <c r="D22" i="126"/>
  <c r="D21" i="126"/>
  <c r="D20" i="126"/>
  <c r="D19" i="126"/>
  <c r="D18" i="126"/>
  <c r="D17" i="126"/>
  <c r="D16" i="126"/>
  <c r="D15" i="126"/>
  <c r="AG5" i="206"/>
  <c r="Y5" i="206"/>
  <c r="Q5" i="206"/>
  <c r="I5" i="206"/>
  <c r="AN5" i="206"/>
  <c r="X60" i="87"/>
  <c r="AC52" i="87"/>
  <c r="AB52" i="87"/>
  <c r="AA52" i="87"/>
  <c r="AC51" i="87"/>
  <c r="AB51" i="87"/>
  <c r="AA51" i="87"/>
  <c r="AC50" i="87"/>
  <c r="AB50" i="87"/>
  <c r="AA50" i="87"/>
  <c r="AC49" i="87"/>
  <c r="AB49" i="87"/>
  <c r="AA49" i="87"/>
  <c r="AC48" i="87"/>
  <c r="AB48" i="87"/>
  <c r="AA48" i="87"/>
  <c r="AC47" i="87"/>
  <c r="AB47" i="87"/>
  <c r="AA47" i="87"/>
  <c r="AC46" i="87"/>
  <c r="AB46" i="87"/>
  <c r="AA46" i="87"/>
  <c r="AC45" i="87"/>
  <c r="AB45" i="87"/>
  <c r="AA45" i="87"/>
  <c r="AA44" i="87"/>
  <c r="AC43" i="87"/>
  <c r="AB43" i="87"/>
  <c r="AA43" i="87"/>
  <c r="AA42" i="87"/>
  <c r="AA41" i="87"/>
  <c r="AC40" i="87"/>
  <c r="AB40" i="87"/>
  <c r="AA40" i="87"/>
  <c r="AA39" i="87"/>
  <c r="AA38" i="87"/>
  <c r="AA37" i="87"/>
  <c r="AC30" i="87"/>
  <c r="AB30" i="87"/>
  <c r="AA30" i="87"/>
  <c r="AC29" i="87"/>
  <c r="AB29" i="87"/>
  <c r="AA29" i="87"/>
  <c r="AC28" i="87"/>
  <c r="AB28" i="87"/>
  <c r="AA28" i="87"/>
  <c r="AC27" i="87"/>
  <c r="AB27" i="87"/>
  <c r="AA27" i="87"/>
  <c r="AC26" i="87"/>
  <c r="AB26" i="87"/>
  <c r="AA26" i="87"/>
  <c r="AC25" i="87"/>
  <c r="AB25" i="87"/>
  <c r="AA25" i="87"/>
  <c r="AC24" i="87"/>
  <c r="AB24" i="87"/>
  <c r="AA24" i="87"/>
  <c r="AC23" i="87"/>
  <c r="AB23" i="87"/>
  <c r="AA23" i="87"/>
  <c r="AC22" i="87"/>
  <c r="AB22" i="87"/>
  <c r="AA22" i="87"/>
  <c r="AC21" i="87"/>
  <c r="AB21" i="87"/>
  <c r="AA21" i="87"/>
  <c r="AC20" i="87"/>
  <c r="AB20" i="87"/>
  <c r="AA20" i="87"/>
  <c r="AC19" i="87"/>
  <c r="AB19" i="87"/>
  <c r="AA19" i="87"/>
  <c r="AC18" i="87"/>
  <c r="AB18" i="87"/>
  <c r="AA18" i="87"/>
  <c r="AC17" i="87"/>
  <c r="AB17" i="87"/>
  <c r="AA17" i="87"/>
  <c r="AC16" i="87"/>
  <c r="AB16" i="87"/>
  <c r="AA16" i="87"/>
  <c r="AC15" i="87"/>
  <c r="AB15" i="87"/>
  <c r="AA15" i="87"/>
  <c r="AC14" i="87"/>
  <c r="AB14" i="87"/>
  <c r="AA14" i="87"/>
  <c r="AI59" i="86"/>
  <c r="AI58" i="86"/>
  <c r="D61" i="86"/>
  <c r="D60" i="86"/>
  <c r="D59" i="86"/>
  <c r="D58" i="86"/>
  <c r="D57" i="86"/>
  <c r="D56" i="86"/>
  <c r="D46" i="86"/>
  <c r="D45" i="86"/>
  <c r="D44" i="86"/>
  <c r="D43" i="86"/>
  <c r="D42" i="86"/>
  <c r="D41" i="86"/>
  <c r="D40" i="86"/>
  <c r="D39" i="86"/>
  <c r="D38" i="86"/>
  <c r="D37" i="86"/>
  <c r="D36" i="86"/>
  <c r="D35" i="86"/>
  <c r="D34" i="86"/>
  <c r="D33" i="86"/>
  <c r="D32" i="86"/>
  <c r="D29" i="86"/>
  <c r="D28" i="86"/>
  <c r="D27" i="86"/>
  <c r="D26" i="86"/>
  <c r="D20" i="86"/>
  <c r="D19" i="86"/>
  <c r="D18" i="86"/>
  <c r="D17" i="86"/>
  <c r="I18" i="183"/>
  <c r="I17" i="183"/>
  <c r="I16" i="183"/>
  <c r="H5" i="183"/>
  <c r="G5" i="183"/>
  <c r="F5" i="183"/>
  <c r="E5" i="183"/>
  <c r="D5" i="183"/>
  <c r="C5" i="183"/>
  <c r="B5" i="183"/>
  <c r="F54" i="21"/>
  <c r="F53" i="21"/>
  <c r="F52" i="21"/>
  <c r="F51" i="21"/>
  <c r="F50" i="21"/>
  <c r="F49" i="21"/>
  <c r="F48" i="21"/>
  <c r="F37" i="21"/>
  <c r="D101" i="21"/>
  <c r="C26" i="21"/>
  <c r="C25" i="21"/>
  <c r="C24" i="21"/>
  <c r="C21" i="21"/>
  <c r="C20" i="21"/>
  <c r="C19" i="21"/>
  <c r="O15" i="127"/>
  <c r="P14" i="127"/>
  <c r="E20" i="174"/>
  <c r="E28" i="174"/>
  <c r="E27" i="174"/>
  <c r="H26" i="174"/>
  <c r="G26" i="174"/>
  <c r="E26" i="174"/>
  <c r="E23" i="174"/>
  <c r="F22" i="174"/>
  <c r="E22" i="174"/>
  <c r="E21" i="174"/>
  <c r="H19" i="174"/>
  <c r="G19" i="174"/>
  <c r="E19" i="174"/>
  <c r="F18" i="174"/>
  <c r="E18" i="174"/>
  <c r="E17" i="174"/>
  <c r="E16" i="174"/>
  <c r="BF19" i="87"/>
  <c r="BF14" i="87"/>
  <c r="BA23" i="87"/>
  <c r="BA19" i="87"/>
  <c r="BA18" i="87"/>
  <c r="BB16" i="87"/>
  <c r="BA16" i="87"/>
  <c r="BB15" i="87"/>
  <c r="BA15" i="87"/>
  <c r="BB14" i="87"/>
  <c r="BA14" i="87"/>
  <c r="AR33" i="87"/>
  <c r="AQ33" i="87"/>
  <c r="AR32" i="87"/>
  <c r="AQ32" i="87"/>
  <c r="AR31" i="87"/>
  <c r="AQ31" i="87"/>
  <c r="AR30" i="87"/>
  <c r="AQ30" i="87"/>
  <c r="AR26" i="87"/>
  <c r="AQ26" i="87"/>
  <c r="AR25" i="87"/>
  <c r="AQ25" i="87"/>
  <c r="AR24" i="87"/>
  <c r="AQ24" i="87"/>
  <c r="AR23" i="87"/>
  <c r="AQ23" i="87"/>
  <c r="AR22" i="87"/>
  <c r="AQ22" i="87"/>
  <c r="AR18" i="87"/>
  <c r="AQ18" i="87"/>
  <c r="AR17" i="87"/>
  <c r="AQ17" i="87"/>
  <c r="AR16" i="87"/>
  <c r="AQ16" i="87"/>
  <c r="AR15" i="87"/>
  <c r="AQ15" i="87"/>
  <c r="AR14" i="87"/>
  <c r="AQ14" i="87"/>
  <c r="H8" i="183"/>
  <c r="C8" i="183"/>
  <c r="B8" i="183"/>
  <c r="F42" i="21"/>
  <c r="AH23" i="87"/>
  <c r="AG23" i="87"/>
  <c r="AH22" i="87"/>
  <c r="AG22" i="87"/>
  <c r="AH18" i="87"/>
  <c r="AG18" i="87"/>
  <c r="AH17" i="87"/>
  <c r="AG17" i="87"/>
  <c r="AH16" i="87"/>
  <c r="AG16" i="87"/>
  <c r="AH15" i="87"/>
  <c r="AG15" i="87"/>
  <c r="AH14" i="87"/>
  <c r="AG14" i="87"/>
  <c r="C39" i="192"/>
  <c r="J22" i="87"/>
  <c r="I18" i="87"/>
  <c r="I15" i="87"/>
  <c r="I14" i="87"/>
  <c r="I13" i="87"/>
  <c r="H26" i="126"/>
  <c r="H25" i="126"/>
  <c r="H24" i="126"/>
  <c r="H23" i="126"/>
  <c r="H22" i="126"/>
  <c r="H21" i="126"/>
  <c r="H20" i="126"/>
  <c r="H19" i="126"/>
  <c r="H18" i="126"/>
  <c r="H17" i="126"/>
  <c r="H16" i="126"/>
  <c r="H15" i="126"/>
  <c r="BS25" i="126"/>
  <c r="BS18" i="126"/>
  <c r="BS17" i="126"/>
  <c r="BS14" i="126"/>
  <c r="BS13" i="126"/>
  <c r="BK13" i="126"/>
  <c r="CZ20" i="126"/>
  <c r="DA19" i="126"/>
  <c r="DA14" i="126"/>
  <c r="CZ14" i="126"/>
  <c r="CR19" i="126"/>
  <c r="CP18" i="126"/>
  <c r="CR15" i="126"/>
  <c r="CR14" i="126"/>
  <c r="CK30" i="126"/>
  <c r="CL25" i="126"/>
  <c r="CK25" i="126"/>
  <c r="CL24" i="126"/>
  <c r="CL20" i="126"/>
  <c r="CK20" i="126"/>
  <c r="CL19" i="126"/>
  <c r="CL15" i="126"/>
  <c r="CK15" i="126"/>
  <c r="CL14" i="126"/>
  <c r="CH24" i="126"/>
  <c r="CG24" i="126"/>
  <c r="CF24" i="126"/>
  <c r="CG21" i="126"/>
  <c r="CF21" i="126"/>
  <c r="CG20" i="126"/>
  <c r="CF20" i="126"/>
  <c r="CG19" i="126"/>
  <c r="CF19" i="126"/>
  <c r="CG18" i="126"/>
  <c r="CF18" i="126"/>
  <c r="CG17" i="126"/>
  <c r="CF17" i="126"/>
  <c r="CG16" i="126"/>
  <c r="CF16" i="126"/>
  <c r="CG15" i="126"/>
  <c r="CF15" i="126"/>
  <c r="CG14" i="126"/>
  <c r="CF14" i="126"/>
  <c r="AZ24" i="126"/>
  <c r="BA21" i="126"/>
  <c r="AZ21" i="126"/>
  <c r="BA20" i="126"/>
  <c r="AZ20" i="126"/>
  <c r="BA19" i="126"/>
  <c r="AZ19" i="126"/>
  <c r="BA18" i="126"/>
  <c r="AZ18" i="126"/>
  <c r="BA17" i="126"/>
  <c r="AZ17" i="126"/>
  <c r="BA16" i="126"/>
  <c r="AZ16" i="126"/>
  <c r="BA15" i="126"/>
  <c r="AZ15" i="126"/>
  <c r="BA14" i="126"/>
  <c r="AZ14" i="126"/>
  <c r="AV25" i="126"/>
  <c r="AU19" i="126"/>
  <c r="AT19" i="126"/>
  <c r="AS19" i="126"/>
  <c r="AR19" i="126"/>
  <c r="AU16" i="126"/>
  <c r="AT16" i="126"/>
  <c r="AS16" i="126"/>
  <c r="AR16" i="126"/>
  <c r="AQ16" i="126"/>
  <c r="AP16" i="126"/>
  <c r="AU15" i="126"/>
  <c r="AT15" i="126"/>
  <c r="AS15" i="126"/>
  <c r="AR15" i="126"/>
  <c r="AQ15" i="126"/>
  <c r="AP15" i="126"/>
  <c r="AU14" i="126"/>
  <c r="AT14" i="126"/>
  <c r="AS14" i="126"/>
  <c r="AR14" i="126"/>
  <c r="AQ14" i="126"/>
  <c r="AP14" i="126"/>
  <c r="J71" i="200"/>
  <c r="J69" i="200"/>
  <c r="J72" i="200" s="1"/>
  <c r="AA12" i="200"/>
  <c r="AB12" i="200"/>
  <c r="AA35" i="200"/>
  <c r="AB35" i="200"/>
  <c r="AA49" i="200"/>
  <c r="AB49" i="200"/>
  <c r="AA53" i="200"/>
  <c r="AB53" i="200"/>
  <c r="AC53" i="200"/>
  <c r="O383" i="204"/>
  <c r="S383" i="204"/>
  <c r="R383" i="204"/>
  <c r="E383" i="204"/>
  <c r="J383" i="204"/>
  <c r="L383" i="204"/>
  <c r="G383" i="204"/>
  <c r="K383" i="204"/>
  <c r="H383" i="204"/>
  <c r="N383" i="204"/>
  <c r="P383" i="204"/>
  <c r="M383" i="204"/>
  <c r="I383" i="204"/>
  <c r="Q383" i="204"/>
  <c r="C243" i="204" l="1"/>
  <c r="C295" i="204"/>
  <c r="C311" i="204"/>
  <c r="C349" i="204"/>
  <c r="C369" i="204"/>
  <c r="C112" i="204"/>
  <c r="C129" i="204"/>
  <c r="C194" i="204"/>
  <c r="C211" i="204"/>
  <c r="C352" i="204"/>
  <c r="C97" i="204"/>
  <c r="C113" i="204"/>
  <c r="C131" i="204"/>
  <c r="C179" i="204"/>
  <c r="C195" i="204"/>
  <c r="C213" i="204"/>
  <c r="C313" i="204"/>
  <c r="C331" i="204"/>
  <c r="C347" i="204"/>
  <c r="C251" i="204"/>
  <c r="C133" i="204"/>
  <c r="C215" i="204"/>
  <c r="C316" i="204"/>
  <c r="C333" i="204"/>
  <c r="C348" i="204"/>
  <c r="C76" i="204"/>
  <c r="C93" i="204"/>
  <c r="C115" i="204"/>
  <c r="C125" i="204"/>
  <c r="C148" i="204"/>
  <c r="C175" i="204"/>
  <c r="C197" i="204"/>
  <c r="C207" i="204"/>
  <c r="C230" i="204"/>
  <c r="C247" i="204"/>
  <c r="C151" i="204"/>
  <c r="C152" i="204"/>
  <c r="C234" i="204"/>
  <c r="C77" i="204"/>
  <c r="C85" i="204"/>
  <c r="C95" i="204"/>
  <c r="C111" i="204"/>
  <c r="C116" i="204"/>
  <c r="C149" i="204"/>
  <c r="C177" i="204"/>
  <c r="C193" i="204"/>
  <c r="C198" i="204"/>
  <c r="C231" i="204"/>
  <c r="C239" i="204"/>
  <c r="C249" i="204"/>
  <c r="C293" i="204"/>
  <c r="C315" i="204"/>
  <c r="C329" i="204"/>
  <c r="C351" i="204"/>
  <c r="C365" i="204"/>
  <c r="C79" i="204"/>
  <c r="C233" i="204"/>
  <c r="C75" i="204"/>
  <c r="C80" i="204"/>
  <c r="C121" i="204"/>
  <c r="C147" i="204"/>
  <c r="C203" i="204"/>
  <c r="C229" i="204"/>
  <c r="C67" i="204"/>
  <c r="C71" i="204"/>
  <c r="C87" i="204"/>
  <c r="C103" i="204"/>
  <c r="C107" i="204"/>
  <c r="C123" i="204"/>
  <c r="C139" i="204"/>
  <c r="C143" i="204"/>
  <c r="C185" i="204"/>
  <c r="C189" i="204"/>
  <c r="C205" i="204"/>
  <c r="C221" i="204"/>
  <c r="C225" i="204"/>
  <c r="C241" i="204"/>
  <c r="C257" i="204"/>
  <c r="C261" i="204"/>
  <c r="C287" i="204"/>
  <c r="C303" i="204"/>
  <c r="C307" i="204"/>
  <c r="C323" i="204"/>
  <c r="C339" i="204"/>
  <c r="C343" i="204"/>
  <c r="C359" i="204"/>
  <c r="C68" i="204"/>
  <c r="C84" i="204"/>
  <c r="C88" i="204"/>
  <c r="C94" i="204"/>
  <c r="C98" i="204"/>
  <c r="C104" i="204"/>
  <c r="C120" i="204"/>
  <c r="C124" i="204"/>
  <c r="C130" i="204"/>
  <c r="C134" i="204"/>
  <c r="C140" i="204"/>
  <c r="C176" i="204"/>
  <c r="C180" i="204"/>
  <c r="C186" i="204"/>
  <c r="C202" i="204"/>
  <c r="C206" i="204"/>
  <c r="C212" i="204"/>
  <c r="C216" i="204"/>
  <c r="C222" i="204"/>
  <c r="C238" i="204"/>
  <c r="C242" i="204"/>
  <c r="C248" i="204"/>
  <c r="C252" i="204"/>
  <c r="C258" i="204"/>
  <c r="C284" i="204"/>
  <c r="C288" i="204"/>
  <c r="C294" i="204"/>
  <c r="C298" i="204"/>
  <c r="C304" i="204"/>
  <c r="C320" i="204"/>
  <c r="C324" i="204"/>
  <c r="C330" i="204"/>
  <c r="C334" i="204"/>
  <c r="C340" i="204"/>
  <c r="C356" i="204"/>
  <c r="C360" i="204"/>
  <c r="C366" i="204"/>
  <c r="C370" i="204"/>
  <c r="C69" i="204"/>
  <c r="C105" i="204"/>
  <c r="C141" i="204"/>
  <c r="C187" i="204"/>
  <c r="C223" i="204"/>
  <c r="C259" i="204"/>
  <c r="C285" i="204"/>
  <c r="C289" i="204"/>
  <c r="C305" i="204"/>
  <c r="C321" i="204"/>
  <c r="C325" i="204"/>
  <c r="C341" i="204"/>
  <c r="C357" i="204"/>
  <c r="C361" i="204"/>
  <c r="C66" i="204"/>
  <c r="C102" i="204"/>
  <c r="C138" i="204"/>
  <c r="C184" i="204"/>
  <c r="C220" i="204"/>
  <c r="C256" i="204"/>
  <c r="C302" i="204"/>
  <c r="C338" i="204"/>
  <c r="E10" i="204" l="1"/>
  <c r="E175" i="204" l="1"/>
  <c r="C300" i="127" l="1"/>
  <c r="C298" i="127"/>
  <c r="C297" i="127"/>
  <c r="C296" i="127"/>
  <c r="C294" i="127"/>
  <c r="C293" i="127"/>
  <c r="C291" i="127"/>
  <c r="C289" i="127"/>
  <c r="C288" i="127"/>
  <c r="K14" i="127"/>
  <c r="J19" i="127"/>
  <c r="I19" i="127"/>
  <c r="K13" i="127"/>
  <c r="K15" i="127"/>
  <c r="X17" i="126" l="1"/>
  <c r="K16" i="127"/>
  <c r="AQ61" i="86"/>
  <c r="AC62" i="86"/>
  <c r="AC51" i="86" s="1"/>
  <c r="N52" i="200" s="1"/>
  <c r="AB52" i="200" s="1"/>
  <c r="C28" i="207" l="1"/>
  <c r="DP14" i="126" l="1"/>
  <c r="AC38" i="86" s="1"/>
  <c r="DC30" i="126"/>
  <c r="DC31" i="126" s="1"/>
  <c r="DC32" i="126" s="1"/>
  <c r="DC33" i="126" s="1"/>
  <c r="DC34" i="126" s="1"/>
  <c r="DC35" i="126" s="1"/>
  <c r="DP16" i="126" l="1"/>
  <c r="AC45" i="86" s="1"/>
  <c r="AC47" i="86" s="1"/>
  <c r="AC49" i="86" s="1"/>
  <c r="DP1" i="126"/>
  <c r="M52" i="200" l="1"/>
  <c r="AA52" i="200" s="1"/>
  <c r="DP18" i="126"/>
  <c r="BL14" i="87"/>
  <c r="J30" i="126"/>
  <c r="J31" i="126"/>
  <c r="J32" i="126"/>
  <c r="J33" i="126"/>
  <c r="J34" i="126"/>
  <c r="J35" i="126"/>
  <c r="J36" i="126"/>
  <c r="J37" i="126"/>
  <c r="J38" i="126"/>
  <c r="J39" i="126"/>
  <c r="F18" i="86" s="1"/>
  <c r="J29" i="126"/>
  <c r="I16" i="126"/>
  <c r="I17" i="126"/>
  <c r="I18" i="126"/>
  <c r="I19" i="126"/>
  <c r="I20" i="126"/>
  <c r="I21" i="126"/>
  <c r="I22" i="126"/>
  <c r="I23" i="126"/>
  <c r="I24" i="126"/>
  <c r="I25" i="126"/>
  <c r="I26" i="126"/>
  <c r="I15" i="126"/>
  <c r="BG19" i="87" l="1"/>
  <c r="BG14" i="87"/>
  <c r="CV15" i="126" l="1"/>
  <c r="AC66" i="86"/>
  <c r="AW27" i="206" l="1"/>
  <c r="D43" i="202" l="1"/>
  <c r="D41" i="202"/>
  <c r="D39" i="202"/>
  <c r="D30" i="202"/>
  <c r="E23" i="202"/>
  <c r="D23" i="202" s="1"/>
  <c r="D13" i="202"/>
  <c r="E25" i="202" l="1"/>
  <c r="D25" i="202" s="1"/>
  <c r="C181" i="127"/>
  <c r="AH59" i="86" l="1"/>
  <c r="W50" i="87" l="1"/>
  <c r="W56" i="87" s="1"/>
  <c r="W57" i="87" s="1"/>
  <c r="X57" i="87" s="1"/>
  <c r="X59" i="87" s="1"/>
  <c r="W38" i="87"/>
  <c r="AH60" i="86" s="1"/>
  <c r="AH62" i="86" s="1"/>
  <c r="AH51" i="86" s="1"/>
  <c r="N40" i="200" s="1"/>
  <c r="C42" i="202" l="1"/>
  <c r="C40" i="202"/>
  <c r="C44" i="202"/>
  <c r="D26" i="207"/>
  <c r="E26" i="207"/>
  <c r="F26" i="207" s="1"/>
  <c r="D24" i="207"/>
  <c r="D27" i="207" s="1"/>
  <c r="D28" i="207" s="1"/>
  <c r="C24" i="207"/>
  <c r="E21" i="207"/>
  <c r="I17" i="207"/>
  <c r="H17" i="207"/>
  <c r="D17" i="207"/>
  <c r="C17" i="207"/>
  <c r="J16" i="207"/>
  <c r="E16" i="207"/>
  <c r="J15" i="207"/>
  <c r="E15" i="207"/>
  <c r="J14" i="207"/>
  <c r="E14" i="207"/>
  <c r="E13" i="207"/>
  <c r="E12" i="207"/>
  <c r="AE63" i="206"/>
  <c r="AD63" i="206"/>
  <c r="AC63" i="206"/>
  <c r="AA63" i="206"/>
  <c r="Z63" i="206"/>
  <c r="Y63" i="206"/>
  <c r="W63" i="206"/>
  <c r="V63" i="206"/>
  <c r="U63" i="206"/>
  <c r="T63" i="206"/>
  <c r="S63" i="206"/>
  <c r="R63" i="206"/>
  <c r="Q63" i="206"/>
  <c r="O63" i="206"/>
  <c r="L63" i="206"/>
  <c r="K63" i="206"/>
  <c r="J63" i="206"/>
  <c r="H63" i="206"/>
  <c r="F63" i="206"/>
  <c r="E63" i="206"/>
  <c r="D63" i="206"/>
  <c r="C63" i="206"/>
  <c r="AP62" i="206"/>
  <c r="AQ62" i="206" s="1"/>
  <c r="AS62" i="206" s="1"/>
  <c r="AO62" i="206"/>
  <c r="AM62" i="206"/>
  <c r="AN62" i="206" s="1"/>
  <c r="AO61" i="206"/>
  <c r="N63" i="206"/>
  <c r="AO60" i="206"/>
  <c r="AO59" i="206"/>
  <c r="AO58" i="206"/>
  <c r="AO57" i="206"/>
  <c r="AO63" i="206" s="1"/>
  <c r="P57" i="206"/>
  <c r="P63" i="206" s="1"/>
  <c r="AE52" i="206"/>
  <c r="Y52" i="206"/>
  <c r="C52" i="206"/>
  <c r="AO52" i="206" s="1"/>
  <c r="AW47" i="206"/>
  <c r="AO47" i="206"/>
  <c r="AO46" i="206"/>
  <c r="AO45" i="206"/>
  <c r="AW44" i="206"/>
  <c r="AO44" i="206"/>
  <c r="AM44" i="206"/>
  <c r="AN44" i="206" s="1"/>
  <c r="AW43" i="206"/>
  <c r="AO43" i="206"/>
  <c r="AW42" i="206"/>
  <c r="AO42" i="206"/>
  <c r="AW41" i="206"/>
  <c r="AO41" i="206"/>
  <c r="AW40" i="206"/>
  <c r="AO40" i="206"/>
  <c r="AO39" i="206"/>
  <c r="AW38" i="206"/>
  <c r="AO38" i="206"/>
  <c r="AM38" i="206"/>
  <c r="AW37" i="206"/>
  <c r="AO37" i="206"/>
  <c r="AO36" i="206"/>
  <c r="AW35" i="206"/>
  <c r="AO35" i="206"/>
  <c r="AW34" i="206"/>
  <c r="AO34" i="206"/>
  <c r="AW33" i="206"/>
  <c r="AO33" i="206"/>
  <c r="AR31" i="206"/>
  <c r="AK31" i="206"/>
  <c r="AJ31" i="206"/>
  <c r="AI31" i="206"/>
  <c r="AH31" i="206"/>
  <c r="AG31" i="206"/>
  <c r="AF31" i="206"/>
  <c r="AD31" i="206"/>
  <c r="AC31" i="206"/>
  <c r="AB31" i="206"/>
  <c r="AA31" i="206"/>
  <c r="Y31" i="206"/>
  <c r="X31" i="206"/>
  <c r="W31" i="206"/>
  <c r="V31" i="206"/>
  <c r="V48" i="206" s="1"/>
  <c r="U31" i="206"/>
  <c r="T31" i="206"/>
  <c r="R31" i="206"/>
  <c r="Q31" i="206"/>
  <c r="P31" i="206"/>
  <c r="O31" i="206"/>
  <c r="N31" i="206"/>
  <c r="N48" i="206" s="1"/>
  <c r="M31" i="206"/>
  <c r="K31" i="206"/>
  <c r="J31" i="206"/>
  <c r="I31" i="206"/>
  <c r="H31" i="206"/>
  <c r="G31" i="206"/>
  <c r="E31" i="206"/>
  <c r="D31" i="206"/>
  <c r="C31" i="206"/>
  <c r="C48" i="206" s="1"/>
  <c r="AW30" i="206"/>
  <c r="AO30" i="206"/>
  <c r="F31" i="206"/>
  <c r="AW29" i="206"/>
  <c r="AO29" i="206"/>
  <c r="AE31" i="206"/>
  <c r="AW28" i="206"/>
  <c r="AO28" i="206"/>
  <c r="AL31" i="206"/>
  <c r="S31" i="206"/>
  <c r="L31" i="206"/>
  <c r="AW31" i="206"/>
  <c r="AO27" i="206"/>
  <c r="AO31" i="206" s="1"/>
  <c r="AO48" i="206" s="1"/>
  <c r="AL22" i="206"/>
  <c r="AK22" i="206"/>
  <c r="AJ22" i="206"/>
  <c r="AI22" i="206"/>
  <c r="AH22" i="206"/>
  <c r="AG22" i="206"/>
  <c r="AF22" i="206"/>
  <c r="AE22" i="206"/>
  <c r="AD22" i="206"/>
  <c r="AC22" i="206"/>
  <c r="AA22" i="206"/>
  <c r="Y22" i="206"/>
  <c r="X22" i="206"/>
  <c r="W22" i="206"/>
  <c r="V22" i="206"/>
  <c r="U22" i="206"/>
  <c r="T22" i="206"/>
  <c r="S22" i="206"/>
  <c r="R22" i="206"/>
  <c r="Q22" i="206"/>
  <c r="P22" i="206"/>
  <c r="O22" i="206"/>
  <c r="N22" i="206"/>
  <c r="M22" i="206"/>
  <c r="L22" i="206"/>
  <c r="K22" i="206"/>
  <c r="I22" i="206"/>
  <c r="H22" i="206"/>
  <c r="G22" i="206"/>
  <c r="C22" i="206"/>
  <c r="C50" i="206" s="1"/>
  <c r="C54" i="206" s="1"/>
  <c r="AW21" i="206"/>
  <c r="AO21" i="206"/>
  <c r="AW20" i="206"/>
  <c r="AO20" i="206"/>
  <c r="AV19" i="206"/>
  <c r="AO19" i="206"/>
  <c r="AO18" i="206"/>
  <c r="AO22" i="206" s="1"/>
  <c r="AO50" i="206" s="1"/>
  <c r="AO54" i="206" s="1"/>
  <c r="A18" i="206"/>
  <c r="A19" i="206" s="1"/>
  <c r="A20" i="206" s="1"/>
  <c r="A21" i="206" s="1"/>
  <c r="A22" i="206" s="1"/>
  <c r="A23" i="206" s="1"/>
  <c r="A24" i="206" s="1"/>
  <c r="A25" i="206" s="1"/>
  <c r="A26" i="206" s="1"/>
  <c r="A27" i="206" s="1"/>
  <c r="A28" i="206" s="1"/>
  <c r="A29" i="206" s="1"/>
  <c r="A30" i="206" s="1"/>
  <c r="A31" i="206" s="1"/>
  <c r="A32" i="206" s="1"/>
  <c r="A33" i="206" s="1"/>
  <c r="A34" i="206" s="1"/>
  <c r="A35" i="206" s="1"/>
  <c r="A36" i="206" s="1"/>
  <c r="A37" i="206" s="1"/>
  <c r="A38" i="206" s="1"/>
  <c r="A39" i="206" s="1"/>
  <c r="A40" i="206" s="1"/>
  <c r="A41" i="206" s="1"/>
  <c r="A42" i="206" s="1"/>
  <c r="A43" i="206" s="1"/>
  <c r="A44" i="206" s="1"/>
  <c r="A45" i="206" s="1"/>
  <c r="A46" i="206" s="1"/>
  <c r="A47" i="206" s="1"/>
  <c r="A48" i="206" s="1"/>
  <c r="A49" i="206" s="1"/>
  <c r="A50" i="206" s="1"/>
  <c r="A51" i="206" s="1"/>
  <c r="A52" i="206" s="1"/>
  <c r="A53" i="206" s="1"/>
  <c r="A54" i="206" s="1"/>
  <c r="A55" i="206" s="1"/>
  <c r="A56" i="206" s="1"/>
  <c r="A57" i="206" s="1"/>
  <c r="A58" i="206" s="1"/>
  <c r="A59" i="206" s="1"/>
  <c r="A60" i="206" s="1"/>
  <c r="A61" i="206" s="1"/>
  <c r="A62" i="206" s="1"/>
  <c r="A63" i="206" s="1"/>
  <c r="AQ8" i="206"/>
  <c r="AH8" i="206"/>
  <c r="Z8" i="206"/>
  <c r="R8" i="206"/>
  <c r="J8" i="206"/>
  <c r="E8" i="206"/>
  <c r="BA46" i="86"/>
  <c r="BA43" i="86"/>
  <c r="BA42" i="86"/>
  <c r="BA41" i="86"/>
  <c r="BA40" i="86"/>
  <c r="BA39" i="86"/>
  <c r="BA37" i="86"/>
  <c r="BA36" i="86"/>
  <c r="BA34" i="86"/>
  <c r="BA33" i="86"/>
  <c r="BA32" i="86"/>
  <c r="BA29" i="86"/>
  <c r="BA28" i="86"/>
  <c r="BA27" i="86"/>
  <c r="BA26" i="86"/>
  <c r="BA20" i="86"/>
  <c r="BA19" i="86"/>
  <c r="AW19" i="206" l="1"/>
  <c r="M48" i="206"/>
  <c r="AF48" i="206"/>
  <c r="AF50" i="206" s="1"/>
  <c r="AJ48" i="206"/>
  <c r="G48" i="206"/>
  <c r="K48" i="206"/>
  <c r="V50" i="206"/>
  <c r="AJ50" i="206"/>
  <c r="AL57" i="206"/>
  <c r="AL63" i="206" s="1"/>
  <c r="BA30" i="86"/>
  <c r="AE48" i="206"/>
  <c r="AM30" i="206"/>
  <c r="AP30" i="206" s="1"/>
  <c r="AQ30" i="206" s="1"/>
  <c r="AS30" i="206" s="1"/>
  <c r="I48" i="206"/>
  <c r="R48" i="206"/>
  <c r="AK48" i="206"/>
  <c r="AM43" i="206"/>
  <c r="AN43" i="206" s="1"/>
  <c r="AM46" i="206"/>
  <c r="AN46" i="206" s="1"/>
  <c r="AH63" i="206"/>
  <c r="AH52" i="206" s="1"/>
  <c r="AF63" i="206"/>
  <c r="AF52" i="206" s="1"/>
  <c r="S48" i="206"/>
  <c r="S50" i="206" s="1"/>
  <c r="AI48" i="206"/>
  <c r="AI50" i="206" s="1"/>
  <c r="E48" i="206"/>
  <c r="O48" i="206"/>
  <c r="T48" i="206"/>
  <c r="T50" i="206" s="1"/>
  <c r="X48" i="206"/>
  <c r="X50" i="206" s="1"/>
  <c r="AR48" i="206"/>
  <c r="E22" i="206"/>
  <c r="AM19" i="206"/>
  <c r="AP19" i="206" s="1"/>
  <c r="AQ19" i="206" s="1"/>
  <c r="AS19" i="206" s="1"/>
  <c r="AE50" i="206"/>
  <c r="Z31" i="206"/>
  <c r="Z48" i="206" s="1"/>
  <c r="P48" i="206"/>
  <c r="U48" i="206"/>
  <c r="U50" i="206" s="1"/>
  <c r="Y48" i="206"/>
  <c r="AD48" i="206"/>
  <c r="AD50" i="206" s="1"/>
  <c r="AM33" i="206"/>
  <c r="AG63" i="206"/>
  <c r="AG52" i="206" s="1"/>
  <c r="N50" i="206"/>
  <c r="R50" i="206"/>
  <c r="AP38" i="206"/>
  <c r="AN38" i="206"/>
  <c r="Z22" i="206"/>
  <c r="AM21" i="206"/>
  <c r="AP21" i="206" s="1"/>
  <c r="AQ21" i="206" s="1"/>
  <c r="AS21" i="206" s="1"/>
  <c r="K50" i="206"/>
  <c r="O50" i="206"/>
  <c r="W50" i="206"/>
  <c r="AL48" i="206"/>
  <c r="D48" i="206"/>
  <c r="W48" i="206"/>
  <c r="AB48" i="206"/>
  <c r="AB50" i="206" s="1"/>
  <c r="AG48" i="206"/>
  <c r="AM34" i="206"/>
  <c r="AP34" i="206" s="1"/>
  <c r="AQ34" i="206" s="1"/>
  <c r="AS34" i="206" s="1"/>
  <c r="AM35" i="206"/>
  <c r="AP35" i="206" s="1"/>
  <c r="AQ35" i="206" s="1"/>
  <c r="AS35" i="206" s="1"/>
  <c r="AB63" i="206"/>
  <c r="I63" i="206"/>
  <c r="I52" i="206" s="1"/>
  <c r="AI63" i="206"/>
  <c r="AI52" i="206" s="1"/>
  <c r="D22" i="206"/>
  <c r="G50" i="206"/>
  <c r="P50" i="206"/>
  <c r="L48" i="206"/>
  <c r="L50" i="206" s="1"/>
  <c r="J48" i="206"/>
  <c r="J50" i="206" s="1"/>
  <c r="AC48" i="206"/>
  <c r="AC50" i="206" s="1"/>
  <c r="AH48" i="206"/>
  <c r="AH50" i="206" s="1"/>
  <c r="AQ38" i="206"/>
  <c r="AS38" i="206" s="1"/>
  <c r="AM41" i="206"/>
  <c r="AN41" i="206" s="1"/>
  <c r="AM47" i="206"/>
  <c r="AN47" i="206" s="1"/>
  <c r="AJ63" i="206"/>
  <c r="AJ52" i="206" s="1"/>
  <c r="AM58" i="206"/>
  <c r="AN58" i="206" s="1"/>
  <c r="AM60" i="206"/>
  <c r="AN60" i="206" s="1"/>
  <c r="F22" i="206"/>
  <c r="AM29" i="206"/>
  <c r="AP29" i="206" s="1"/>
  <c r="AQ29" i="206" s="1"/>
  <c r="AS29" i="206" s="1"/>
  <c r="F48" i="206"/>
  <c r="H48" i="206"/>
  <c r="H50" i="206" s="1"/>
  <c r="Q48" i="206"/>
  <c r="Q50" i="206" s="1"/>
  <c r="AA48" i="206"/>
  <c r="AA50" i="206" s="1"/>
  <c r="AM36" i="206"/>
  <c r="AP36" i="206" s="1"/>
  <c r="AQ36" i="206" s="1"/>
  <c r="AS36" i="206" s="1"/>
  <c r="AN19" i="206"/>
  <c r="AN33" i="206"/>
  <c r="AP33" i="206"/>
  <c r="AQ33" i="206" s="1"/>
  <c r="AS33" i="206" s="1"/>
  <c r="AP43" i="206"/>
  <c r="AQ43" i="206" s="1"/>
  <c r="AS43" i="206" s="1"/>
  <c r="AN35" i="206"/>
  <c r="AL50" i="206"/>
  <c r="AM18" i="206"/>
  <c r="AR22" i="206"/>
  <c r="AM27" i="206"/>
  <c r="AM28" i="206"/>
  <c r="AM39" i="206"/>
  <c r="AM40" i="206"/>
  <c r="AP44" i="206"/>
  <c r="AQ44" i="206" s="1"/>
  <c r="AS44" i="206" s="1"/>
  <c r="X63" i="206"/>
  <c r="X52" i="206" s="1"/>
  <c r="AM57" i="206"/>
  <c r="G63" i="206"/>
  <c r="G52" i="206" s="1"/>
  <c r="E17" i="207"/>
  <c r="AG50" i="206"/>
  <c r="AK50" i="206"/>
  <c r="AM59" i="206"/>
  <c r="AM20" i="206"/>
  <c r="M50" i="206"/>
  <c r="Y50" i="206"/>
  <c r="AM42" i="206"/>
  <c r="M63" i="206"/>
  <c r="AM61" i="206"/>
  <c r="J17" i="207"/>
  <c r="I50" i="206"/>
  <c r="AM37" i="206"/>
  <c r="AM45" i="206"/>
  <c r="AP46" i="206"/>
  <c r="AQ46" i="206" s="1"/>
  <c r="AS46" i="206" s="1"/>
  <c r="AK63" i="206"/>
  <c r="AK52" i="206" s="1"/>
  <c r="E24" i="207"/>
  <c r="AN30" i="206" l="1"/>
  <c r="AM22" i="206"/>
  <c r="AN22" i="206" s="1"/>
  <c r="AP47" i="206"/>
  <c r="AQ47" i="206" s="1"/>
  <c r="AS47" i="206" s="1"/>
  <c r="AN36" i="206"/>
  <c r="AN21" i="206"/>
  <c r="Z50" i="206"/>
  <c r="AP41" i="206"/>
  <c r="AQ41" i="206" s="1"/>
  <c r="AS41" i="206" s="1"/>
  <c r="AP60" i="206"/>
  <c r="AQ60" i="206" s="1"/>
  <c r="AS60" i="206" s="1"/>
  <c r="D50" i="206"/>
  <c r="AN29" i="206"/>
  <c r="E50" i="206"/>
  <c r="AM31" i="206"/>
  <c r="AN31" i="206" s="1"/>
  <c r="AP58" i="206"/>
  <c r="AQ58" i="206" s="1"/>
  <c r="AS58" i="206" s="1"/>
  <c r="AN34" i="206"/>
  <c r="F50" i="206"/>
  <c r="E19" i="207"/>
  <c r="AP40" i="206"/>
  <c r="AQ40" i="206" s="1"/>
  <c r="AS40" i="206" s="1"/>
  <c r="AN40" i="206"/>
  <c r="AP27" i="206"/>
  <c r="AN27" i="206"/>
  <c r="AM63" i="206"/>
  <c r="AP45" i="206"/>
  <c r="AQ45" i="206" s="1"/>
  <c r="AS45" i="206" s="1"/>
  <c r="AN45" i="206"/>
  <c r="AM48" i="206"/>
  <c r="AP61" i="206"/>
  <c r="AQ61" i="206" s="1"/>
  <c r="AS61" i="206" s="1"/>
  <c r="AN61" i="206"/>
  <c r="AN59" i="206"/>
  <c r="AP59" i="206"/>
  <c r="AQ59" i="206" s="1"/>
  <c r="AS59" i="206" s="1"/>
  <c r="AM52" i="206"/>
  <c r="AN39" i="206"/>
  <c r="AP39" i="206"/>
  <c r="AQ39" i="206" s="1"/>
  <c r="AS39" i="206" s="1"/>
  <c r="AR50" i="206"/>
  <c r="AS15" i="206"/>
  <c r="AR15" i="206"/>
  <c r="AP18" i="206"/>
  <c r="AN18" i="206"/>
  <c r="AN37" i="206"/>
  <c r="AP37" i="206"/>
  <c r="AQ37" i="206" s="1"/>
  <c r="AS37" i="206" s="1"/>
  <c r="AN42" i="206"/>
  <c r="AP42" i="206"/>
  <c r="AQ42" i="206" s="1"/>
  <c r="AS42" i="206" s="1"/>
  <c r="AN20" i="206"/>
  <c r="AP20" i="206"/>
  <c r="AQ20" i="206" s="1"/>
  <c r="AS20" i="206" s="1"/>
  <c r="AN57" i="206"/>
  <c r="AP57" i="206"/>
  <c r="AP28" i="206"/>
  <c r="AQ28" i="206" s="1"/>
  <c r="AS28" i="206" s="1"/>
  <c r="AN28" i="206"/>
  <c r="K30" i="86"/>
  <c r="K21" i="86"/>
  <c r="AB21" i="86"/>
  <c r="AB30" i="86"/>
  <c r="AB47" i="86" s="1"/>
  <c r="AM50" i="206" l="1"/>
  <c r="AB49" i="86"/>
  <c r="M51" i="200" s="1"/>
  <c r="AA51" i="200" s="1"/>
  <c r="AN63" i="206"/>
  <c r="AP31" i="206"/>
  <c r="AP48" i="206" s="1"/>
  <c r="AQ27" i="206"/>
  <c r="E27" i="207"/>
  <c r="AV18" i="206"/>
  <c r="AP52" i="206"/>
  <c r="AN52" i="206"/>
  <c r="AQ52" i="206" s="1"/>
  <c r="AS52" i="206" s="1"/>
  <c r="AQ57" i="206"/>
  <c r="AP63" i="206"/>
  <c r="AP22" i="206"/>
  <c r="AP50" i="206" s="1"/>
  <c r="AQ18" i="206"/>
  <c r="AN48" i="206"/>
  <c r="AN50" i="206" s="1"/>
  <c r="AN54" i="206" s="1"/>
  <c r="C117" i="127"/>
  <c r="AS57" i="206" l="1"/>
  <c r="AS63" i="206" s="1"/>
  <c r="AQ63" i="206"/>
  <c r="E28" i="207"/>
  <c r="F27" i="207"/>
  <c r="AQ31" i="206"/>
  <c r="AQ48" i="206" s="1"/>
  <c r="AS27" i="206"/>
  <c r="AS31" i="206" s="1"/>
  <c r="AS48" i="206" s="1"/>
  <c r="AQ22" i="206"/>
  <c r="AS18" i="206"/>
  <c r="AS22" i="206" s="1"/>
  <c r="AU18" i="206"/>
  <c r="AV22" i="206"/>
  <c r="AW18" i="206"/>
  <c r="BB23" i="87"/>
  <c r="BB19" i="87"/>
  <c r="BB18" i="87"/>
  <c r="AS50" i="206" l="1"/>
  <c r="AS54" i="206" s="1"/>
  <c r="AQ50" i="206"/>
  <c r="AQ54" i="206" s="1"/>
  <c r="AU22" i="206"/>
  <c r="AZ35" i="86"/>
  <c r="AX18" i="206"/>
  <c r="AW22" i="206"/>
  <c r="AW46" i="206" l="1"/>
  <c r="AZ45" i="86"/>
  <c r="AW36" i="206"/>
  <c r="AW15" i="206"/>
  <c r="AX22" i="206"/>
  <c r="C57" i="127"/>
  <c r="DA20" i="126"/>
  <c r="M22" i="174" l="1"/>
  <c r="M19" i="174"/>
  <c r="M18" i="174"/>
  <c r="M24" i="174" l="1"/>
  <c r="M30" i="174" s="1"/>
  <c r="W11" i="200"/>
  <c r="W20" i="200" s="1"/>
  <c r="X11" i="200"/>
  <c r="V11" i="200"/>
  <c r="V20" i="200" s="1"/>
  <c r="U11" i="200"/>
  <c r="U20" i="200" s="1"/>
  <c r="U10" i="200"/>
  <c r="U19" i="200" s="1"/>
  <c r="K19" i="127"/>
  <c r="C284" i="127"/>
  <c r="C282" i="127"/>
  <c r="C281" i="127"/>
  <c r="C280" i="127"/>
  <c r="C278" i="127"/>
  <c r="C277" i="127"/>
  <c r="C275" i="127"/>
  <c r="C273" i="127"/>
  <c r="C272" i="127"/>
  <c r="C262" i="127"/>
  <c r="C268" i="127"/>
  <c r="C266" i="127"/>
  <c r="C265" i="127"/>
  <c r="C264" i="127"/>
  <c r="C261" i="127"/>
  <c r="C259" i="127"/>
  <c r="C257" i="127"/>
  <c r="C256" i="127"/>
  <c r="C252" i="127"/>
  <c r="C250" i="127"/>
  <c r="C249" i="127"/>
  <c r="C248" i="127"/>
  <c r="C246" i="127"/>
  <c r="C245" i="127"/>
  <c r="C243" i="127"/>
  <c r="C241" i="127"/>
  <c r="C240" i="127"/>
  <c r="C236" i="127"/>
  <c r="C234" i="127"/>
  <c r="C233" i="127"/>
  <c r="C232" i="127"/>
  <c r="C230" i="127"/>
  <c r="C229" i="127"/>
  <c r="C227" i="127"/>
  <c r="C225" i="127"/>
  <c r="C224" i="127"/>
  <c r="C220" i="127"/>
  <c r="C218" i="127"/>
  <c r="C217" i="127"/>
  <c r="C216" i="127"/>
  <c r="C214" i="127"/>
  <c r="C213" i="127"/>
  <c r="C211" i="127"/>
  <c r="C209" i="127"/>
  <c r="C208" i="127"/>
  <c r="C204" i="127"/>
  <c r="C202" i="127"/>
  <c r="C201" i="127"/>
  <c r="C200" i="127"/>
  <c r="C198" i="127"/>
  <c r="C197" i="127"/>
  <c r="C195" i="127"/>
  <c r="C193" i="127"/>
  <c r="C192" i="127"/>
  <c r="C188" i="127"/>
  <c r="C186" i="127"/>
  <c r="C185" i="127"/>
  <c r="C184" i="127"/>
  <c r="C182" i="127"/>
  <c r="C179" i="127"/>
  <c r="C177" i="127"/>
  <c r="C176" i="127"/>
  <c r="C172" i="127"/>
  <c r="C170" i="127"/>
  <c r="C169" i="127"/>
  <c r="C168" i="127"/>
  <c r="C166" i="127"/>
  <c r="C165" i="127"/>
  <c r="C163" i="127"/>
  <c r="C161" i="127"/>
  <c r="C160" i="127"/>
  <c r="C156" i="127"/>
  <c r="C154" i="127"/>
  <c r="C153" i="127"/>
  <c r="C152" i="127"/>
  <c r="C150" i="127"/>
  <c r="C149" i="127"/>
  <c r="C147" i="127"/>
  <c r="C145" i="127"/>
  <c r="C144" i="127"/>
  <c r="C140" i="127"/>
  <c r="C138" i="127"/>
  <c r="C137" i="127"/>
  <c r="C136" i="127"/>
  <c r="C134" i="127"/>
  <c r="C133" i="127"/>
  <c r="C131" i="127"/>
  <c r="C129" i="127"/>
  <c r="C128" i="127"/>
  <c r="C124" i="127"/>
  <c r="C122" i="127"/>
  <c r="C121" i="127"/>
  <c r="C120" i="127"/>
  <c r="C118" i="127"/>
  <c r="C115" i="127"/>
  <c r="C113" i="127"/>
  <c r="C112" i="127"/>
  <c r="C108" i="127"/>
  <c r="C106" i="127"/>
  <c r="C105" i="127"/>
  <c r="C104" i="127"/>
  <c r="C102" i="127"/>
  <c r="C101" i="127"/>
  <c r="C99" i="127"/>
  <c r="C97" i="127"/>
  <c r="C96" i="127"/>
  <c r="C92" i="127"/>
  <c r="C90" i="127"/>
  <c r="C89" i="127"/>
  <c r="C88" i="127"/>
  <c r="C86" i="127"/>
  <c r="C85" i="127"/>
  <c r="C83" i="127"/>
  <c r="C81" i="127"/>
  <c r="C80" i="127"/>
  <c r="C76" i="127"/>
  <c r="C74" i="127"/>
  <c r="C73" i="127"/>
  <c r="C72" i="127"/>
  <c r="C70" i="127"/>
  <c r="C69" i="127"/>
  <c r="C67" i="127"/>
  <c r="C65" i="127"/>
  <c r="C64" i="127"/>
  <c r="C54" i="127"/>
  <c r="C53" i="127"/>
  <c r="C56" i="127"/>
  <c r="C58" i="127"/>
  <c r="C60" i="127"/>
  <c r="C51" i="127"/>
  <c r="C49" i="127"/>
  <c r="C48" i="127"/>
  <c r="AG22" i="126"/>
  <c r="AG26" i="126" s="1"/>
  <c r="AH21" i="126"/>
  <c r="AI21" i="126" s="1"/>
  <c r="AI22" i="126" s="1"/>
  <c r="AI26" i="126" s="1"/>
  <c r="K40" i="86" s="1"/>
  <c r="AG18" i="126"/>
  <c r="AI17" i="126"/>
  <c r="AI16" i="126"/>
  <c r="AH18" i="126"/>
  <c r="AE14" i="126"/>
  <c r="AE15" i="126" s="1"/>
  <c r="AE16" i="126" s="1"/>
  <c r="AE17" i="126" s="1"/>
  <c r="AE18" i="126" s="1"/>
  <c r="AE19" i="126" s="1"/>
  <c r="AE20" i="126" s="1"/>
  <c r="AE21" i="126" s="1"/>
  <c r="AE22" i="126" s="1"/>
  <c r="AE23" i="126" s="1"/>
  <c r="AE24" i="126" s="1"/>
  <c r="AE25" i="126" s="1"/>
  <c r="AE26" i="126" s="1"/>
  <c r="AE27" i="126" s="1"/>
  <c r="AE28" i="126" s="1"/>
  <c r="AE29" i="126" s="1"/>
  <c r="AE7" i="126"/>
  <c r="AI1" i="126"/>
  <c r="X20" i="200" l="1"/>
  <c r="AI15" i="126"/>
  <c r="AI18" i="126" s="1"/>
  <c r="K57" i="86" s="1"/>
  <c r="K62" i="86" s="1"/>
  <c r="AI28" i="126"/>
  <c r="AH22" i="126"/>
  <c r="AH26" i="126" s="1"/>
  <c r="K51" i="86" l="1"/>
  <c r="N50" i="200" s="1"/>
  <c r="AI29" i="126"/>
  <c r="K45" i="86"/>
  <c r="K47" i="86" s="1"/>
  <c r="K49" i="86" s="1"/>
  <c r="M50" i="200" l="1"/>
  <c r="AA50" i="200" s="1"/>
  <c r="K66" i="86"/>
  <c r="AB50" i="200"/>
  <c r="N18" i="174"/>
  <c r="N23" i="174"/>
  <c r="N22" i="174"/>
  <c r="N21" i="174"/>
  <c r="N17" i="174"/>
  <c r="N16" i="174"/>
  <c r="N28" i="174"/>
  <c r="N29" i="174"/>
  <c r="E403" i="204" l="1"/>
  <c r="C401" i="204"/>
  <c r="C400" i="204"/>
  <c r="C399" i="204"/>
  <c r="C398" i="204"/>
  <c r="B382" i="204"/>
  <c r="B379" i="204"/>
  <c r="B377" i="204"/>
  <c r="B375" i="204"/>
  <c r="B372" i="204"/>
  <c r="B363" i="204"/>
  <c r="B354" i="204"/>
  <c r="B345" i="204"/>
  <c r="B336" i="204"/>
  <c r="B327" i="204"/>
  <c r="B318" i="204"/>
  <c r="A277" i="204"/>
  <c r="A276" i="204"/>
  <c r="B273" i="204"/>
  <c r="C272" i="204"/>
  <c r="B271" i="204"/>
  <c r="B270" i="204"/>
  <c r="B269" i="204"/>
  <c r="B268" i="204"/>
  <c r="B267" i="204"/>
  <c r="S274" i="204"/>
  <c r="Q272" i="204"/>
  <c r="P272" i="204"/>
  <c r="O274" i="204"/>
  <c r="M272" i="204"/>
  <c r="L272" i="204"/>
  <c r="K274" i="204"/>
  <c r="I272" i="204"/>
  <c r="H272" i="204"/>
  <c r="G274" i="204"/>
  <c r="E272" i="204"/>
  <c r="B266" i="204"/>
  <c r="Q262" i="204"/>
  <c r="P262" i="204"/>
  <c r="O262" i="204"/>
  <c r="M262" i="204"/>
  <c r="L262" i="204"/>
  <c r="K262" i="204"/>
  <c r="I262" i="204"/>
  <c r="H262" i="204"/>
  <c r="G262" i="204"/>
  <c r="Q253" i="204"/>
  <c r="P253" i="204"/>
  <c r="L253" i="204"/>
  <c r="H253" i="204"/>
  <c r="B254" i="204"/>
  <c r="R244" i="204"/>
  <c r="P244" i="204"/>
  <c r="O244" i="204"/>
  <c r="N244" i="204"/>
  <c r="L244" i="204"/>
  <c r="K244" i="204"/>
  <c r="J244" i="204"/>
  <c r="H244" i="204"/>
  <c r="G244" i="204"/>
  <c r="E244" i="204"/>
  <c r="C235" i="204"/>
  <c r="S235" i="204"/>
  <c r="Q235" i="204"/>
  <c r="O235" i="204"/>
  <c r="K235" i="204"/>
  <c r="G235" i="204"/>
  <c r="B236" i="204"/>
  <c r="O226" i="204"/>
  <c r="R226" i="204"/>
  <c r="Q226" i="204"/>
  <c r="N226" i="204"/>
  <c r="M226" i="204"/>
  <c r="K226" i="204"/>
  <c r="J226" i="204"/>
  <c r="I226" i="204"/>
  <c r="E226" i="204"/>
  <c r="S217" i="204"/>
  <c r="O217" i="204"/>
  <c r="K217" i="204"/>
  <c r="G217" i="204"/>
  <c r="G208" i="204"/>
  <c r="S208" i="204"/>
  <c r="R208" i="204"/>
  <c r="Q208" i="204"/>
  <c r="O208" i="204"/>
  <c r="N208" i="204"/>
  <c r="M208" i="204"/>
  <c r="K208" i="204"/>
  <c r="J208" i="204"/>
  <c r="I208" i="204"/>
  <c r="E208" i="204"/>
  <c r="Q199" i="204"/>
  <c r="M199" i="204"/>
  <c r="B200" i="204"/>
  <c r="S190" i="204"/>
  <c r="P190" i="204"/>
  <c r="O190" i="204"/>
  <c r="M190" i="204"/>
  <c r="L190" i="204"/>
  <c r="K190" i="204"/>
  <c r="I190" i="204"/>
  <c r="H190" i="204"/>
  <c r="G190" i="204"/>
  <c r="S181" i="204"/>
  <c r="O181" i="204"/>
  <c r="K181" i="204"/>
  <c r="G181" i="204"/>
  <c r="B182" i="204"/>
  <c r="A168" i="204"/>
  <c r="A167" i="204"/>
  <c r="B164" i="204"/>
  <c r="B162" i="204"/>
  <c r="E161" i="204"/>
  <c r="B161" i="204"/>
  <c r="B160" i="204"/>
  <c r="B159" i="204"/>
  <c r="B158" i="204"/>
  <c r="R165" i="204"/>
  <c r="P165" i="204"/>
  <c r="N165" i="204"/>
  <c r="L165" i="204"/>
  <c r="J165" i="204"/>
  <c r="H165" i="204"/>
  <c r="B157" i="204"/>
  <c r="E152" i="204"/>
  <c r="E151" i="204"/>
  <c r="E150" i="204"/>
  <c r="E149" i="204"/>
  <c r="E148" i="204"/>
  <c r="R153" i="204"/>
  <c r="Q153" i="204"/>
  <c r="M153" i="204"/>
  <c r="J153" i="204"/>
  <c r="I153" i="204"/>
  <c r="B154" i="204"/>
  <c r="E142" i="204"/>
  <c r="R144" i="204"/>
  <c r="P144" i="204"/>
  <c r="N144" i="204"/>
  <c r="J144" i="204"/>
  <c r="H144" i="204"/>
  <c r="C144" i="204"/>
  <c r="E134" i="204"/>
  <c r="E133" i="204"/>
  <c r="E132" i="204"/>
  <c r="E131" i="204"/>
  <c r="R135" i="204"/>
  <c r="N135" i="204"/>
  <c r="E130" i="204"/>
  <c r="Q135" i="204"/>
  <c r="M135" i="204"/>
  <c r="I135" i="204"/>
  <c r="B136" i="204"/>
  <c r="E124" i="204"/>
  <c r="Q126" i="204"/>
  <c r="M126" i="204"/>
  <c r="I126" i="204"/>
  <c r="G126" i="204"/>
  <c r="E116" i="204"/>
  <c r="E115" i="204"/>
  <c r="E114" i="204"/>
  <c r="E113" i="204"/>
  <c r="E112" i="204"/>
  <c r="S117" i="204"/>
  <c r="R117" i="204"/>
  <c r="P117" i="204"/>
  <c r="O117" i="204"/>
  <c r="L117" i="204"/>
  <c r="K117" i="204"/>
  <c r="J117" i="204"/>
  <c r="H117" i="204"/>
  <c r="G117" i="204"/>
  <c r="B118" i="204"/>
  <c r="E103" i="204"/>
  <c r="R108" i="204"/>
  <c r="N108" i="204"/>
  <c r="L108" i="204"/>
  <c r="J108" i="204"/>
  <c r="C108" i="204"/>
  <c r="E98" i="204"/>
  <c r="E97" i="204"/>
  <c r="E96" i="204"/>
  <c r="E95" i="204"/>
  <c r="R99" i="204"/>
  <c r="N99" i="204"/>
  <c r="E94" i="204"/>
  <c r="S99" i="204"/>
  <c r="Q99" i="204"/>
  <c r="P99" i="204"/>
  <c r="O99" i="204"/>
  <c r="M99" i="204"/>
  <c r="L99" i="204"/>
  <c r="K99" i="204"/>
  <c r="I99" i="204"/>
  <c r="H99" i="204"/>
  <c r="G99" i="204"/>
  <c r="B100" i="204"/>
  <c r="B86" i="204"/>
  <c r="S90" i="204"/>
  <c r="O90" i="204"/>
  <c r="K90" i="204"/>
  <c r="B91" i="204"/>
  <c r="E80" i="204"/>
  <c r="E79" i="204"/>
  <c r="E77" i="204"/>
  <c r="R81" i="204"/>
  <c r="N81" i="204"/>
  <c r="J81" i="204"/>
  <c r="E75" i="204"/>
  <c r="E71" i="204"/>
  <c r="E68" i="204"/>
  <c r="R72" i="204"/>
  <c r="N72" i="204"/>
  <c r="J72" i="204"/>
  <c r="B73" i="204"/>
  <c r="A59" i="204"/>
  <c r="A58" i="204"/>
  <c r="N28" i="204"/>
  <c r="S28" i="204"/>
  <c r="R28" i="204"/>
  <c r="P28" i="204"/>
  <c r="O28" i="204"/>
  <c r="L28" i="204"/>
  <c r="K28" i="204"/>
  <c r="J28" i="204"/>
  <c r="H28" i="204"/>
  <c r="G28" i="204"/>
  <c r="E28" i="204"/>
  <c r="S40" i="204"/>
  <c r="R40" i="204"/>
  <c r="Q40" i="204"/>
  <c r="O40" i="204"/>
  <c r="N40" i="204"/>
  <c r="M40" i="204"/>
  <c r="K40" i="204"/>
  <c r="J40" i="204"/>
  <c r="I40" i="204"/>
  <c r="G40" i="204"/>
  <c r="E40" i="204"/>
  <c r="Q21" i="204"/>
  <c r="A12" i="204"/>
  <c r="A13" i="204" s="1"/>
  <c r="A14" i="204" s="1"/>
  <c r="A15" i="204" s="1"/>
  <c r="A18" i="204" s="1"/>
  <c r="A19" i="204" s="1"/>
  <c r="A20" i="204" s="1"/>
  <c r="A21" i="204" s="1"/>
  <c r="A24" i="204" s="1"/>
  <c r="A25" i="204" s="1"/>
  <c r="A26" i="204" s="1"/>
  <c r="A27" i="204" s="1"/>
  <c r="A28" i="204" s="1"/>
  <c r="A30" i="204" s="1"/>
  <c r="A31" i="204" s="1"/>
  <c r="A34" i="204" s="1"/>
  <c r="A35" i="204" s="1"/>
  <c r="A36" i="204" s="1"/>
  <c r="A37" i="204" s="1"/>
  <c r="A38" i="204" s="1"/>
  <c r="A39" i="204" s="1"/>
  <c r="A40" i="204" s="1"/>
  <c r="A41" i="204" s="1"/>
  <c r="A42" i="204" s="1"/>
  <c r="A45" i="204" s="1"/>
  <c r="A46" i="204" s="1"/>
  <c r="A47" i="204" s="1"/>
  <c r="A48" i="204" s="1"/>
  <c r="A49" i="204" s="1"/>
  <c r="A50" i="204" s="1"/>
  <c r="A51" i="204" s="1"/>
  <c r="A53" i="204" s="1"/>
  <c r="A54" i="204" s="1"/>
  <c r="A11" i="204"/>
  <c r="Q15" i="204"/>
  <c r="M15" i="204"/>
  <c r="I15" i="204"/>
  <c r="G15" i="204" l="1"/>
  <c r="K15" i="204"/>
  <c r="K35" i="204" s="1"/>
  <c r="O15" i="204"/>
  <c r="O35" i="204" s="1"/>
  <c r="S15" i="204"/>
  <c r="H15" i="204"/>
  <c r="L15" i="204"/>
  <c r="P15" i="204"/>
  <c r="P35" i="204" s="1"/>
  <c r="G72" i="204"/>
  <c r="K72" i="204"/>
  <c r="O72" i="204"/>
  <c r="S72" i="204"/>
  <c r="E67" i="204"/>
  <c r="B69" i="204"/>
  <c r="G81" i="204"/>
  <c r="K81" i="204"/>
  <c r="O81" i="204"/>
  <c r="S81" i="204"/>
  <c r="E78" i="204"/>
  <c r="H90" i="204"/>
  <c r="L90" i="204"/>
  <c r="P90" i="204"/>
  <c r="E86" i="204"/>
  <c r="B88" i="204"/>
  <c r="G108" i="204"/>
  <c r="K108" i="204"/>
  <c r="O108" i="204"/>
  <c r="S108" i="204"/>
  <c r="E106" i="204"/>
  <c r="B108" i="204"/>
  <c r="C126" i="204"/>
  <c r="B126" i="204" s="1"/>
  <c r="B122" i="204"/>
  <c r="E120" i="204"/>
  <c r="L126" i="204"/>
  <c r="P126" i="204"/>
  <c r="B121" i="204"/>
  <c r="H135" i="204"/>
  <c r="E129" i="204"/>
  <c r="E135" i="204" s="1"/>
  <c r="L135" i="204"/>
  <c r="P135" i="204"/>
  <c r="J135" i="204"/>
  <c r="I28" i="204"/>
  <c r="M28" i="204"/>
  <c r="Q28" i="204"/>
  <c r="Q30" i="204" s="1"/>
  <c r="Q31" i="204" s="1"/>
  <c r="E66" i="204"/>
  <c r="L72" i="204"/>
  <c r="P72" i="204"/>
  <c r="B68" i="204"/>
  <c r="E70" i="204"/>
  <c r="C72" i="204"/>
  <c r="B72" i="204" s="1"/>
  <c r="H81" i="204"/>
  <c r="L81" i="204"/>
  <c r="P81" i="204"/>
  <c r="E76" i="204"/>
  <c r="B85" i="204"/>
  <c r="B87" i="204"/>
  <c r="E89" i="204"/>
  <c r="E93" i="204"/>
  <c r="E99" i="204" s="1"/>
  <c r="J99" i="204"/>
  <c r="E102" i="204"/>
  <c r="B103" i="204"/>
  <c r="B104" i="204"/>
  <c r="B109" i="204"/>
  <c r="N117" i="204"/>
  <c r="E122" i="204"/>
  <c r="B123" i="204"/>
  <c r="B127" i="204"/>
  <c r="E15" i="204"/>
  <c r="E35" i="204" s="1"/>
  <c r="J15" i="204"/>
  <c r="J46" i="204" s="1"/>
  <c r="N15" i="204"/>
  <c r="R15" i="204"/>
  <c r="R46" i="204" s="1"/>
  <c r="B66" i="204"/>
  <c r="I72" i="204"/>
  <c r="M72" i="204"/>
  <c r="Q72" i="204"/>
  <c r="B67" i="204"/>
  <c r="E69" i="204"/>
  <c r="B70" i="204"/>
  <c r="B71" i="204"/>
  <c r="I81" i="204"/>
  <c r="M81" i="204"/>
  <c r="Q81" i="204"/>
  <c r="B84" i="204"/>
  <c r="J90" i="204"/>
  <c r="N90" i="204"/>
  <c r="R90" i="204"/>
  <c r="E87" i="204"/>
  <c r="E88" i="204"/>
  <c r="B89" i="204"/>
  <c r="C90" i="204"/>
  <c r="B90" i="204" s="1"/>
  <c r="B102" i="204"/>
  <c r="I108" i="204"/>
  <c r="M108" i="204"/>
  <c r="Q108" i="204"/>
  <c r="B106" i="204"/>
  <c r="B107" i="204"/>
  <c r="I117" i="204"/>
  <c r="M117" i="204"/>
  <c r="Q117" i="204"/>
  <c r="B120" i="204"/>
  <c r="J126" i="204"/>
  <c r="N126" i="204"/>
  <c r="R126" i="204"/>
  <c r="P108" i="204"/>
  <c r="B105" i="204"/>
  <c r="E107" i="204"/>
  <c r="E111" i="204"/>
  <c r="E117" i="204" s="1"/>
  <c r="B139" i="204"/>
  <c r="E140" i="204"/>
  <c r="E141" i="204"/>
  <c r="G153" i="204"/>
  <c r="K153" i="204"/>
  <c r="O153" i="204"/>
  <c r="S153" i="204"/>
  <c r="H181" i="204"/>
  <c r="H290" i="204" s="1"/>
  <c r="L181" i="204"/>
  <c r="L290" i="204" s="1"/>
  <c r="P181" i="204"/>
  <c r="P290" i="204" s="1"/>
  <c r="I181" i="204"/>
  <c r="I290" i="204" s="1"/>
  <c r="B180" i="204"/>
  <c r="Q190" i="204"/>
  <c r="Q299" i="204" s="1"/>
  <c r="E199" i="204"/>
  <c r="E308" i="204" s="1"/>
  <c r="J199" i="204"/>
  <c r="J308" i="204" s="1"/>
  <c r="N199" i="204"/>
  <c r="N308" i="204" s="1"/>
  <c r="R199" i="204"/>
  <c r="R308" i="204" s="1"/>
  <c r="H217" i="204"/>
  <c r="L217" i="204"/>
  <c r="P217" i="204"/>
  <c r="H235" i="204"/>
  <c r="L235" i="204"/>
  <c r="P235" i="204"/>
  <c r="B234" i="204"/>
  <c r="B247" i="204"/>
  <c r="I253" i="204"/>
  <c r="M253" i="204"/>
  <c r="B251" i="204"/>
  <c r="S262" i="204"/>
  <c r="K272" i="204"/>
  <c r="H274" i="204"/>
  <c r="H381" i="204" s="1"/>
  <c r="L285" i="204"/>
  <c r="B309" i="204"/>
  <c r="K126" i="204"/>
  <c r="O126" i="204"/>
  <c r="S126" i="204"/>
  <c r="E121" i="204"/>
  <c r="E125" i="204"/>
  <c r="G135" i="204"/>
  <c r="K135" i="204"/>
  <c r="O135" i="204"/>
  <c r="S135" i="204"/>
  <c r="B138" i="204"/>
  <c r="I144" i="204"/>
  <c r="M144" i="204"/>
  <c r="Q144" i="204"/>
  <c r="B145" i="204"/>
  <c r="H153" i="204"/>
  <c r="L153" i="204"/>
  <c r="P153" i="204"/>
  <c r="N153" i="204"/>
  <c r="G165" i="204"/>
  <c r="K165" i="204"/>
  <c r="O165" i="204"/>
  <c r="S165" i="204"/>
  <c r="E158" i="204"/>
  <c r="E160" i="204"/>
  <c r="E162" i="204"/>
  <c r="M181" i="204"/>
  <c r="M290" i="204" s="1"/>
  <c r="Q181" i="204"/>
  <c r="Q290" i="204" s="1"/>
  <c r="E190" i="204"/>
  <c r="E299" i="204" s="1"/>
  <c r="J190" i="204"/>
  <c r="N190" i="204"/>
  <c r="R190" i="204"/>
  <c r="R299" i="204" s="1"/>
  <c r="G199" i="204"/>
  <c r="G308" i="204" s="1"/>
  <c r="K199" i="204"/>
  <c r="K308" i="204" s="1"/>
  <c r="O199" i="204"/>
  <c r="O308" i="204" s="1"/>
  <c r="S199" i="204"/>
  <c r="S308" i="204" s="1"/>
  <c r="C199" i="204"/>
  <c r="B199" i="204" s="1"/>
  <c r="H208" i="204"/>
  <c r="L208" i="204"/>
  <c r="P208" i="204"/>
  <c r="Q217" i="204"/>
  <c r="C217" i="204"/>
  <c r="H226" i="204"/>
  <c r="L226" i="204"/>
  <c r="P226" i="204"/>
  <c r="I235" i="204"/>
  <c r="M235" i="204"/>
  <c r="I244" i="204"/>
  <c r="M244" i="204"/>
  <c r="Q244" i="204"/>
  <c r="S244" i="204"/>
  <c r="E253" i="204"/>
  <c r="J253" i="204"/>
  <c r="N253" i="204"/>
  <c r="R253" i="204"/>
  <c r="B250" i="204"/>
  <c r="E262" i="204"/>
  <c r="J262" i="204"/>
  <c r="N262" i="204"/>
  <c r="R262" i="204"/>
  <c r="O272" i="204"/>
  <c r="L274" i="204"/>
  <c r="S287" i="204"/>
  <c r="S293" i="204"/>
  <c r="B297" i="204"/>
  <c r="E394" i="204"/>
  <c r="O399" i="204" s="1"/>
  <c r="E181" i="204"/>
  <c r="E290" i="204" s="1"/>
  <c r="J181" i="204"/>
  <c r="J290" i="204" s="1"/>
  <c r="N181" i="204"/>
  <c r="R181" i="204"/>
  <c r="H199" i="204"/>
  <c r="H308" i="204" s="1"/>
  <c r="L199" i="204"/>
  <c r="L308" i="204" s="1"/>
  <c r="P199" i="204"/>
  <c r="B194" i="204"/>
  <c r="I199" i="204"/>
  <c r="I308" i="204" s="1"/>
  <c r="E217" i="204"/>
  <c r="J217" i="204"/>
  <c r="N217" i="204"/>
  <c r="R217" i="204"/>
  <c r="G226" i="204"/>
  <c r="S226" i="204"/>
  <c r="E235" i="204"/>
  <c r="J235" i="204"/>
  <c r="N235" i="204"/>
  <c r="R235" i="204"/>
  <c r="G253" i="204"/>
  <c r="K253" i="204"/>
  <c r="O253" i="204"/>
  <c r="S253" i="204"/>
  <c r="C253" i="204"/>
  <c r="S272" i="204"/>
  <c r="P274" i="204"/>
  <c r="P381" i="204" s="1"/>
  <c r="B299" i="204"/>
  <c r="N304" i="204"/>
  <c r="E393" i="204"/>
  <c r="P398" i="204" s="1"/>
  <c r="E123" i="204"/>
  <c r="E138" i="204"/>
  <c r="K144" i="204"/>
  <c r="O144" i="204"/>
  <c r="S144" i="204"/>
  <c r="E139" i="204"/>
  <c r="L144" i="204"/>
  <c r="E143" i="204"/>
  <c r="B144" i="204"/>
  <c r="E147" i="204"/>
  <c r="E153" i="204" s="1"/>
  <c r="E159" i="204"/>
  <c r="C181" i="204"/>
  <c r="B181" i="204" s="1"/>
  <c r="B252" i="204"/>
  <c r="G272" i="204"/>
  <c r="B295" i="204"/>
  <c r="B300" i="204"/>
  <c r="E395" i="204"/>
  <c r="L400" i="204" s="1"/>
  <c r="O398" i="204"/>
  <c r="Q399" i="204"/>
  <c r="Q295" i="204"/>
  <c r="G375" i="204"/>
  <c r="K302" i="204"/>
  <c r="O379" i="204"/>
  <c r="S306" i="204"/>
  <c r="S35" i="204"/>
  <c r="H35" i="204"/>
  <c r="L35" i="204"/>
  <c r="Q46" i="204"/>
  <c r="G35" i="204"/>
  <c r="I46" i="204"/>
  <c r="M46" i="204"/>
  <c r="H21" i="204"/>
  <c r="H30" i="204" s="1"/>
  <c r="L21" i="204"/>
  <c r="L30" i="204" s="1"/>
  <c r="G46" i="204"/>
  <c r="S46" i="204"/>
  <c r="K299" i="204"/>
  <c r="O299" i="204"/>
  <c r="S299" i="204"/>
  <c r="I21" i="204"/>
  <c r="H46" i="204"/>
  <c r="M308" i="204"/>
  <c r="Q308" i="204"/>
  <c r="E21" i="204"/>
  <c r="E30" i="204" s="1"/>
  <c r="J21" i="204"/>
  <c r="J30" i="204" s="1"/>
  <c r="N21" i="204"/>
  <c r="N30" i="204" s="1"/>
  <c r="N31" i="204" s="1"/>
  <c r="R21" i="204"/>
  <c r="R30" i="204" s="1"/>
  <c r="H40" i="204"/>
  <c r="L40" i="204"/>
  <c r="P40" i="204"/>
  <c r="M21" i="204"/>
  <c r="I35" i="204"/>
  <c r="M35" i="204"/>
  <c r="Q35" i="204"/>
  <c r="I289" i="204"/>
  <c r="G298" i="204"/>
  <c r="G21" i="204"/>
  <c r="K21" i="204"/>
  <c r="K30" i="204" s="1"/>
  <c r="O21" i="204"/>
  <c r="O30" i="204" s="1"/>
  <c r="S21" i="204"/>
  <c r="S30" i="204" s="1"/>
  <c r="N35" i="204"/>
  <c r="N36" i="204" s="1"/>
  <c r="P21" i="204"/>
  <c r="P30" i="204" s="1"/>
  <c r="B82" i="204"/>
  <c r="B78" i="204"/>
  <c r="C81" i="204"/>
  <c r="B81" i="204" s="1"/>
  <c r="B80" i="204"/>
  <c r="B79" i="204"/>
  <c r="B77" i="204"/>
  <c r="B76" i="204"/>
  <c r="B75" i="204"/>
  <c r="E84" i="204"/>
  <c r="E85" i="204"/>
  <c r="E104" i="204"/>
  <c r="G290" i="204"/>
  <c r="K290" i="204"/>
  <c r="O290" i="204"/>
  <c r="S290" i="204"/>
  <c r="C190" i="204"/>
  <c r="B190" i="204" s="1"/>
  <c r="B187" i="204"/>
  <c r="B185" i="204"/>
  <c r="B184" i="204"/>
  <c r="B191" i="204"/>
  <c r="B189" i="204"/>
  <c r="B188" i="204"/>
  <c r="B186" i="204"/>
  <c r="I299" i="204"/>
  <c r="M299" i="204"/>
  <c r="I295" i="204"/>
  <c r="M297" i="204"/>
  <c r="C208" i="204"/>
  <c r="B208" i="204" s="1"/>
  <c r="B205" i="204"/>
  <c r="B204" i="204"/>
  <c r="B202" i="204"/>
  <c r="B209" i="204"/>
  <c r="B207" i="204"/>
  <c r="B206" i="204"/>
  <c r="B203" i="204"/>
  <c r="Q289" i="204"/>
  <c r="H72" i="204"/>
  <c r="J299" i="204"/>
  <c r="N299" i="204"/>
  <c r="G299" i="204"/>
  <c r="P308" i="204"/>
  <c r="I90" i="204"/>
  <c r="M90" i="204"/>
  <c r="Q90" i="204"/>
  <c r="H126" i="204"/>
  <c r="I217" i="204"/>
  <c r="M217" i="204"/>
  <c r="J274" i="204"/>
  <c r="J381" i="204" s="1"/>
  <c r="J272" i="204"/>
  <c r="N274" i="204"/>
  <c r="N381" i="204" s="1"/>
  <c r="N272" i="204"/>
  <c r="R274" i="204"/>
  <c r="R381" i="204" s="1"/>
  <c r="R272" i="204"/>
  <c r="P285" i="204"/>
  <c r="S285" i="204"/>
  <c r="O285" i="204"/>
  <c r="M285" i="204"/>
  <c r="R285" i="204"/>
  <c r="E285" i="204"/>
  <c r="Q285" i="204"/>
  <c r="P307" i="204"/>
  <c r="L307" i="204"/>
  <c r="H307" i="204"/>
  <c r="S307" i="204"/>
  <c r="O307" i="204"/>
  <c r="K307" i="204"/>
  <c r="G307" i="204"/>
  <c r="Q307" i="204"/>
  <c r="I307" i="204"/>
  <c r="N307" i="204"/>
  <c r="E307" i="204"/>
  <c r="B307" i="204"/>
  <c r="R307" i="204"/>
  <c r="J307" i="204"/>
  <c r="M307" i="204"/>
  <c r="E105" i="204"/>
  <c r="H108" i="204"/>
  <c r="E157" i="204"/>
  <c r="I165" i="204"/>
  <c r="M165" i="204"/>
  <c r="Q165" i="204"/>
  <c r="N290" i="204"/>
  <c r="R290" i="204"/>
  <c r="H299" i="204"/>
  <c r="L299" i="204"/>
  <c r="P299" i="204"/>
  <c r="S380" i="204"/>
  <c r="O380" i="204"/>
  <c r="K380" i="204"/>
  <c r="G380" i="204"/>
  <c r="R380" i="204"/>
  <c r="N380" i="204"/>
  <c r="J380" i="204"/>
  <c r="E380" i="204"/>
  <c r="M380" i="204"/>
  <c r="L380" i="204"/>
  <c r="I380" i="204"/>
  <c r="H380" i="204"/>
  <c r="P380" i="204"/>
  <c r="Q380" i="204"/>
  <c r="B380" i="204"/>
  <c r="E396" i="204"/>
  <c r="M401" i="204" s="1"/>
  <c r="G90" i="204"/>
  <c r="B93" i="204"/>
  <c r="B96" i="204"/>
  <c r="B97" i="204"/>
  <c r="C99" i="204"/>
  <c r="B99" i="204" s="1"/>
  <c r="B111" i="204"/>
  <c r="B112" i="204"/>
  <c r="B115" i="204"/>
  <c r="C117" i="204"/>
  <c r="B117" i="204" s="1"/>
  <c r="B130" i="204"/>
  <c r="B131" i="204"/>
  <c r="B134" i="204"/>
  <c r="C135" i="204"/>
  <c r="B135" i="204" s="1"/>
  <c r="G144" i="204"/>
  <c r="B149" i="204"/>
  <c r="C153" i="204"/>
  <c r="B153" i="204" s="1"/>
  <c r="B175" i="204"/>
  <c r="B176" i="204"/>
  <c r="B177" i="204"/>
  <c r="B178" i="204"/>
  <c r="B179" i="204"/>
  <c r="B193" i="204"/>
  <c r="B195" i="204"/>
  <c r="B196" i="204"/>
  <c r="B197" i="204"/>
  <c r="B198" i="204"/>
  <c r="B211" i="204"/>
  <c r="B212" i="204"/>
  <c r="B213" i="204"/>
  <c r="B214" i="204"/>
  <c r="B291" i="204"/>
  <c r="B288" i="204"/>
  <c r="B290" i="204"/>
  <c r="B286" i="204"/>
  <c r="B284" i="204"/>
  <c r="B289" i="204"/>
  <c r="B287" i="204"/>
  <c r="R298" i="204"/>
  <c r="N298" i="204"/>
  <c r="J298" i="204"/>
  <c r="E298" i="204"/>
  <c r="Q298" i="204"/>
  <c r="M298" i="204"/>
  <c r="I298" i="204"/>
  <c r="S298" i="204"/>
  <c r="K298" i="204"/>
  <c r="B298" i="204"/>
  <c r="P298" i="204"/>
  <c r="H298" i="204"/>
  <c r="L298" i="204"/>
  <c r="N295" i="204"/>
  <c r="R306" i="204"/>
  <c r="N306" i="204"/>
  <c r="J306" i="204"/>
  <c r="E306" i="204"/>
  <c r="Q306" i="204"/>
  <c r="M306" i="204"/>
  <c r="I306" i="204"/>
  <c r="O306" i="204"/>
  <c r="G306" i="204"/>
  <c r="L306" i="204"/>
  <c r="P306" i="204"/>
  <c r="H306" i="204"/>
  <c r="H399" i="204"/>
  <c r="L401" i="204"/>
  <c r="K306" i="204"/>
  <c r="B124" i="204"/>
  <c r="B125" i="204"/>
  <c r="B140" i="204"/>
  <c r="B141" i="204"/>
  <c r="B142" i="204"/>
  <c r="B143" i="204"/>
  <c r="C226" i="204"/>
  <c r="B226" i="204" s="1"/>
  <c r="B227" i="204"/>
  <c r="B225" i="204"/>
  <c r="B224" i="204"/>
  <c r="B223" i="204"/>
  <c r="B222" i="204"/>
  <c r="B221" i="204"/>
  <c r="B220" i="204"/>
  <c r="C244" i="204"/>
  <c r="B244" i="204" s="1"/>
  <c r="B245" i="204"/>
  <c r="B243" i="204"/>
  <c r="B242" i="204"/>
  <c r="B241" i="204"/>
  <c r="B240" i="204"/>
  <c r="B239" i="204"/>
  <c r="B238" i="204"/>
  <c r="C262" i="204"/>
  <c r="B262" i="204" s="1"/>
  <c r="B256" i="204"/>
  <c r="B263" i="204"/>
  <c r="B261" i="204"/>
  <c r="B260" i="204"/>
  <c r="B259" i="204"/>
  <c r="B258" i="204"/>
  <c r="B257" i="204"/>
  <c r="G381" i="204"/>
  <c r="K381" i="204"/>
  <c r="O381" i="204"/>
  <c r="S381" i="204"/>
  <c r="L381" i="204"/>
  <c r="L287" i="204"/>
  <c r="H287" i="204"/>
  <c r="K287" i="204"/>
  <c r="G287" i="204"/>
  <c r="N287" i="204"/>
  <c r="E287" i="204"/>
  <c r="R297" i="204"/>
  <c r="R302" i="204"/>
  <c r="N302" i="204"/>
  <c r="J302" i="204"/>
  <c r="E302" i="204"/>
  <c r="Q302" i="204"/>
  <c r="M302" i="204"/>
  <c r="I302" i="204"/>
  <c r="O302" i="204"/>
  <c r="G302" i="204"/>
  <c r="L302" i="204"/>
  <c r="P302" i="204"/>
  <c r="H302" i="204"/>
  <c r="S378" i="204"/>
  <c r="O378" i="204"/>
  <c r="K378" i="204"/>
  <c r="G378" i="204"/>
  <c r="R378" i="204"/>
  <c r="N378" i="204"/>
  <c r="J378" i="204"/>
  <c r="E378" i="204"/>
  <c r="Q378" i="204"/>
  <c r="I378" i="204"/>
  <c r="P378" i="204"/>
  <c r="H378" i="204"/>
  <c r="L378" i="204"/>
  <c r="M378" i="204"/>
  <c r="B378" i="204"/>
  <c r="R399" i="204"/>
  <c r="J401" i="204"/>
  <c r="M287" i="204"/>
  <c r="O298" i="204"/>
  <c r="S302" i="204"/>
  <c r="B94" i="204"/>
  <c r="B95" i="204"/>
  <c r="B98" i="204"/>
  <c r="B113" i="204"/>
  <c r="B114" i="204"/>
  <c r="B116" i="204"/>
  <c r="B129" i="204"/>
  <c r="B132" i="204"/>
  <c r="B133" i="204"/>
  <c r="B147" i="204"/>
  <c r="B148" i="204"/>
  <c r="B150" i="204"/>
  <c r="B151" i="204"/>
  <c r="B152" i="204"/>
  <c r="B218" i="204"/>
  <c r="B217" i="204"/>
  <c r="B216" i="204"/>
  <c r="B215" i="204"/>
  <c r="P289" i="204"/>
  <c r="L289" i="204"/>
  <c r="H289" i="204"/>
  <c r="S289" i="204"/>
  <c r="O289" i="204"/>
  <c r="K289" i="204"/>
  <c r="G289" i="204"/>
  <c r="M289" i="204"/>
  <c r="R289" i="204"/>
  <c r="J289" i="204"/>
  <c r="N289" i="204"/>
  <c r="E289" i="204"/>
  <c r="R304" i="204"/>
  <c r="Q304" i="204"/>
  <c r="K304" i="204"/>
  <c r="S376" i="204"/>
  <c r="O376" i="204"/>
  <c r="K376" i="204"/>
  <c r="G376" i="204"/>
  <c r="R376" i="204"/>
  <c r="N376" i="204"/>
  <c r="J376" i="204"/>
  <c r="E376" i="204"/>
  <c r="M376" i="204"/>
  <c r="L376" i="204"/>
  <c r="Q376" i="204"/>
  <c r="P376" i="204"/>
  <c r="H376" i="204"/>
  <c r="I376" i="204"/>
  <c r="B376" i="204"/>
  <c r="E390" i="204"/>
  <c r="K401" i="204"/>
  <c r="B229" i="204"/>
  <c r="B230" i="204"/>
  <c r="B231" i="204"/>
  <c r="B232" i="204"/>
  <c r="B233" i="204"/>
  <c r="B235" i="204"/>
  <c r="B248" i="204"/>
  <c r="B249" i="204"/>
  <c r="B253" i="204"/>
  <c r="B302" i="204"/>
  <c r="B304" i="204"/>
  <c r="B306" i="204"/>
  <c r="B308" i="204"/>
  <c r="C317" i="204"/>
  <c r="B317" i="204" s="1"/>
  <c r="B320" i="204"/>
  <c r="B322" i="204"/>
  <c r="C326" i="204"/>
  <c r="B326" i="204" s="1"/>
  <c r="B331" i="204"/>
  <c r="C335" i="204"/>
  <c r="B335" i="204" s="1"/>
  <c r="B340" i="204"/>
  <c r="C344" i="204"/>
  <c r="B344" i="204" s="1"/>
  <c r="B349" i="204"/>
  <c r="C353" i="204"/>
  <c r="B353" i="204" s="1"/>
  <c r="C362" i="204"/>
  <c r="B362" i="204" s="1"/>
  <c r="B365" i="204"/>
  <c r="B367" i="204"/>
  <c r="C371" i="204"/>
  <c r="B371" i="204" s="1"/>
  <c r="J293" i="204"/>
  <c r="E295" i="204"/>
  <c r="J297" i="204"/>
  <c r="I274" i="204"/>
  <c r="I381" i="204" s="1"/>
  <c r="M274" i="204"/>
  <c r="M381" i="204" s="1"/>
  <c r="Q274" i="204"/>
  <c r="Q381" i="204" s="1"/>
  <c r="H293" i="204"/>
  <c r="G293" i="204"/>
  <c r="P295" i="204"/>
  <c r="L295" i="204"/>
  <c r="H295" i="204"/>
  <c r="S295" i="204"/>
  <c r="O295" i="204"/>
  <c r="K295" i="204"/>
  <c r="G295" i="204"/>
  <c r="P297" i="204"/>
  <c r="L297" i="204"/>
  <c r="H297" i="204"/>
  <c r="S297" i="204"/>
  <c r="O297" i="204"/>
  <c r="K297" i="204"/>
  <c r="G297" i="204"/>
  <c r="E293" i="204"/>
  <c r="J295" i="204"/>
  <c r="R295" i="204"/>
  <c r="E297" i="204"/>
  <c r="N297" i="204"/>
  <c r="B313" i="204"/>
  <c r="B315" i="204"/>
  <c r="B324" i="204"/>
  <c r="B333" i="204"/>
  <c r="B342" i="204"/>
  <c r="B351" i="204"/>
  <c r="B356" i="204"/>
  <c r="B358" i="204"/>
  <c r="B360" i="204"/>
  <c r="B369" i="204"/>
  <c r="Q375" i="204"/>
  <c r="M375" i="204"/>
  <c r="I375" i="204"/>
  <c r="P375" i="204"/>
  <c r="L375" i="204"/>
  <c r="H375" i="204"/>
  <c r="S375" i="204"/>
  <c r="K375" i="204"/>
  <c r="R375" i="204"/>
  <c r="J375" i="204"/>
  <c r="O375" i="204"/>
  <c r="N375" i="204"/>
  <c r="E375" i="204"/>
  <c r="Q377" i="204"/>
  <c r="M377" i="204"/>
  <c r="I377" i="204"/>
  <c r="P377" i="204"/>
  <c r="L377" i="204"/>
  <c r="H377" i="204"/>
  <c r="O377" i="204"/>
  <c r="G377" i="204"/>
  <c r="N377" i="204"/>
  <c r="E377" i="204"/>
  <c r="S377" i="204"/>
  <c r="R377" i="204"/>
  <c r="J377" i="204"/>
  <c r="Q379" i="204"/>
  <c r="M379" i="204"/>
  <c r="I379" i="204"/>
  <c r="P379" i="204"/>
  <c r="L379" i="204"/>
  <c r="H379" i="204"/>
  <c r="S379" i="204"/>
  <c r="K379" i="204"/>
  <c r="R379" i="204"/>
  <c r="J379" i="204"/>
  <c r="G379" i="204"/>
  <c r="E379" i="204"/>
  <c r="N379" i="204"/>
  <c r="Q293" i="204"/>
  <c r="M295" i="204"/>
  <c r="I297" i="204"/>
  <c r="Q297" i="204"/>
  <c r="K377" i="204"/>
  <c r="I30" i="204" l="1"/>
  <c r="I31" i="204" s="1"/>
  <c r="H31" i="204"/>
  <c r="K398" i="204"/>
  <c r="R35" i="204"/>
  <c r="K31" i="204"/>
  <c r="M30" i="204"/>
  <c r="M31" i="204" s="1"/>
  <c r="R31" i="204"/>
  <c r="K46" i="204"/>
  <c r="Q398" i="204"/>
  <c r="L398" i="204"/>
  <c r="O46" i="204"/>
  <c r="U28" i="204"/>
  <c r="V28" i="204" s="1"/>
  <c r="E81" i="204"/>
  <c r="N398" i="204"/>
  <c r="U15" i="204"/>
  <c r="V15" i="204" s="1"/>
  <c r="E126" i="204"/>
  <c r="S400" i="204"/>
  <c r="E165" i="204"/>
  <c r="H398" i="204"/>
  <c r="S401" i="204"/>
  <c r="R401" i="204"/>
  <c r="N400" i="204"/>
  <c r="H400" i="204"/>
  <c r="E108" i="204"/>
  <c r="S31" i="204"/>
  <c r="H47" i="204"/>
  <c r="N46" i="204"/>
  <c r="N47" i="204" s="1"/>
  <c r="G398" i="204"/>
  <c r="M398" i="204"/>
  <c r="J47" i="204"/>
  <c r="L31" i="204"/>
  <c r="G401" i="204"/>
  <c r="H401" i="204"/>
  <c r="O401" i="204"/>
  <c r="N401" i="204"/>
  <c r="P401" i="204"/>
  <c r="I36" i="204"/>
  <c r="S398" i="204"/>
  <c r="R398" i="204"/>
  <c r="I398" i="204"/>
  <c r="E144" i="204"/>
  <c r="J398" i="204"/>
  <c r="E72" i="204"/>
  <c r="I293" i="204"/>
  <c r="K293" i="204"/>
  <c r="L293" i="204"/>
  <c r="G400" i="204"/>
  <c r="L304" i="204"/>
  <c r="S304" i="204"/>
  <c r="E304" i="204"/>
  <c r="G304" i="204"/>
  <c r="J35" i="204"/>
  <c r="J36" i="204" s="1"/>
  <c r="O304" i="204"/>
  <c r="M400" i="204"/>
  <c r="H304" i="204"/>
  <c r="I304" i="204"/>
  <c r="J304" i="204"/>
  <c r="J287" i="204"/>
  <c r="I287" i="204"/>
  <c r="O287" i="204"/>
  <c r="P287" i="204"/>
  <c r="P399" i="204"/>
  <c r="Q401" i="204"/>
  <c r="K400" i="204"/>
  <c r="N285" i="204"/>
  <c r="G285" i="204"/>
  <c r="H285" i="204"/>
  <c r="J31" i="204"/>
  <c r="P46" i="204"/>
  <c r="P47" i="204" s="1"/>
  <c r="M293" i="204"/>
  <c r="I399" i="204"/>
  <c r="S399" i="204"/>
  <c r="J399" i="204"/>
  <c r="B293" i="204"/>
  <c r="Q400" i="204"/>
  <c r="R293" i="204"/>
  <c r="J400" i="204"/>
  <c r="O400" i="204"/>
  <c r="Q36" i="204"/>
  <c r="M399" i="204"/>
  <c r="N399" i="204"/>
  <c r="N38" i="204" s="1"/>
  <c r="O293" i="204"/>
  <c r="P293" i="204"/>
  <c r="N293" i="204"/>
  <c r="I400" i="204"/>
  <c r="P304" i="204"/>
  <c r="M304" i="204"/>
  <c r="R287" i="204"/>
  <c r="Q287" i="204"/>
  <c r="G399" i="204"/>
  <c r="R400" i="204"/>
  <c r="L399" i="204"/>
  <c r="B285" i="204"/>
  <c r="I285" i="204"/>
  <c r="J285" i="204"/>
  <c r="K285" i="204"/>
  <c r="P400" i="204"/>
  <c r="P31" i="204"/>
  <c r="R36" i="204"/>
  <c r="O31" i="204"/>
  <c r="U40" i="204"/>
  <c r="V40" i="204" s="1"/>
  <c r="E31" i="204"/>
  <c r="L46" i="204"/>
  <c r="L47" i="204" s="1"/>
  <c r="Q47" i="204"/>
  <c r="K399" i="204"/>
  <c r="S348" i="204"/>
  <c r="O348" i="204"/>
  <c r="R348" i="204"/>
  <c r="Q348" i="204"/>
  <c r="L348" i="204"/>
  <c r="H348" i="204"/>
  <c r="P348" i="204"/>
  <c r="K348" i="204"/>
  <c r="G348" i="204"/>
  <c r="N348" i="204"/>
  <c r="E348" i="204"/>
  <c r="M348" i="204"/>
  <c r="I348" i="204"/>
  <c r="J348" i="204"/>
  <c r="B348" i="204"/>
  <c r="R312" i="204"/>
  <c r="N312" i="204"/>
  <c r="J312" i="204"/>
  <c r="E312" i="204"/>
  <c r="Q312" i="204"/>
  <c r="M312" i="204"/>
  <c r="I312" i="204"/>
  <c r="S312" i="204"/>
  <c r="O312" i="204"/>
  <c r="K312" i="204"/>
  <c r="G312" i="204"/>
  <c r="H312" i="204"/>
  <c r="L312" i="204"/>
  <c r="P312" i="204"/>
  <c r="B312" i="204"/>
  <c r="R347" i="204"/>
  <c r="N347" i="204"/>
  <c r="J347" i="204"/>
  <c r="E347" i="204"/>
  <c r="Q347" i="204"/>
  <c r="M347" i="204"/>
  <c r="I347" i="204"/>
  <c r="L347" i="204"/>
  <c r="S347" i="204"/>
  <c r="K347" i="204"/>
  <c r="O347" i="204"/>
  <c r="G347" i="204"/>
  <c r="H347" i="204"/>
  <c r="P347" i="204"/>
  <c r="P320" i="204"/>
  <c r="L320" i="204"/>
  <c r="H320" i="204"/>
  <c r="S320" i="204"/>
  <c r="O320" i="204"/>
  <c r="K320" i="204"/>
  <c r="G320" i="204"/>
  <c r="Q320" i="204"/>
  <c r="M320" i="204"/>
  <c r="I320" i="204"/>
  <c r="R320" i="204"/>
  <c r="N320" i="204"/>
  <c r="E320" i="204"/>
  <c r="J320" i="204"/>
  <c r="P311" i="204"/>
  <c r="L311" i="204"/>
  <c r="H311" i="204"/>
  <c r="S311" i="204"/>
  <c r="O311" i="204"/>
  <c r="K311" i="204"/>
  <c r="G311" i="204"/>
  <c r="M311" i="204"/>
  <c r="R311" i="204"/>
  <c r="J311" i="204"/>
  <c r="N311" i="204"/>
  <c r="E311" i="204"/>
  <c r="Q311" i="204"/>
  <c r="I311" i="204"/>
  <c r="B347" i="204"/>
  <c r="B311" i="204"/>
  <c r="S361" i="204"/>
  <c r="O361" i="204"/>
  <c r="K361" i="204"/>
  <c r="G361" i="204"/>
  <c r="R361" i="204"/>
  <c r="N361" i="204"/>
  <c r="J361" i="204"/>
  <c r="E361" i="204"/>
  <c r="M361" i="204"/>
  <c r="L361" i="204"/>
  <c r="Q361" i="204"/>
  <c r="P361" i="204"/>
  <c r="H361" i="204"/>
  <c r="I361" i="204"/>
  <c r="B361" i="204"/>
  <c r="S350" i="204"/>
  <c r="O350" i="204"/>
  <c r="K350" i="204"/>
  <c r="G350" i="204"/>
  <c r="R350" i="204"/>
  <c r="N350" i="204"/>
  <c r="J350" i="204"/>
  <c r="E350" i="204"/>
  <c r="M350" i="204"/>
  <c r="L350" i="204"/>
  <c r="Q350" i="204"/>
  <c r="P350" i="204"/>
  <c r="H350" i="204"/>
  <c r="I350" i="204"/>
  <c r="B350" i="204"/>
  <c r="P339" i="204"/>
  <c r="L339" i="204"/>
  <c r="H339" i="204"/>
  <c r="S339" i="204"/>
  <c r="O339" i="204"/>
  <c r="K339" i="204"/>
  <c r="G339" i="204"/>
  <c r="R339" i="204"/>
  <c r="J339" i="204"/>
  <c r="Q339" i="204"/>
  <c r="I339" i="204"/>
  <c r="M339" i="204"/>
  <c r="E339" i="204"/>
  <c r="N339" i="204"/>
  <c r="B339" i="204"/>
  <c r="R325" i="204"/>
  <c r="N325" i="204"/>
  <c r="J325" i="204"/>
  <c r="E325" i="204"/>
  <c r="Q325" i="204"/>
  <c r="M325" i="204"/>
  <c r="I325" i="204"/>
  <c r="S325" i="204"/>
  <c r="O325" i="204"/>
  <c r="K325" i="204"/>
  <c r="G325" i="204"/>
  <c r="L325" i="204"/>
  <c r="H325" i="204"/>
  <c r="P325" i="204"/>
  <c r="B325" i="204"/>
  <c r="R314" i="204"/>
  <c r="N314" i="204"/>
  <c r="J314" i="204"/>
  <c r="E314" i="204"/>
  <c r="Q314" i="204"/>
  <c r="M314" i="204"/>
  <c r="I314" i="204"/>
  <c r="S314" i="204"/>
  <c r="O314" i="204"/>
  <c r="K314" i="204"/>
  <c r="G314" i="204"/>
  <c r="L314" i="204"/>
  <c r="H314" i="204"/>
  <c r="P314" i="204"/>
  <c r="B314" i="204"/>
  <c r="Q367" i="204"/>
  <c r="M367" i="204"/>
  <c r="I367" i="204"/>
  <c r="P367" i="204"/>
  <c r="L367" i="204"/>
  <c r="H367" i="204"/>
  <c r="S367" i="204"/>
  <c r="K367" i="204"/>
  <c r="R367" i="204"/>
  <c r="J367" i="204"/>
  <c r="G367" i="204"/>
  <c r="E367" i="204"/>
  <c r="N367" i="204"/>
  <c r="O367" i="204"/>
  <c r="Q358" i="204"/>
  <c r="M358" i="204"/>
  <c r="I358" i="204"/>
  <c r="P358" i="204"/>
  <c r="L358" i="204"/>
  <c r="H358" i="204"/>
  <c r="O358" i="204"/>
  <c r="G358" i="204"/>
  <c r="N358" i="204"/>
  <c r="E358" i="204"/>
  <c r="K358" i="204"/>
  <c r="J358" i="204"/>
  <c r="R358" i="204"/>
  <c r="S358" i="204"/>
  <c r="Q349" i="204"/>
  <c r="M349" i="204"/>
  <c r="I349" i="204"/>
  <c r="P349" i="204"/>
  <c r="L349" i="204"/>
  <c r="H349" i="204"/>
  <c r="S349" i="204"/>
  <c r="K349" i="204"/>
  <c r="R349" i="204"/>
  <c r="J349" i="204"/>
  <c r="O349" i="204"/>
  <c r="N349" i="204"/>
  <c r="E349" i="204"/>
  <c r="G349" i="204"/>
  <c r="R340" i="204"/>
  <c r="N340" i="204"/>
  <c r="J340" i="204"/>
  <c r="E340" i="204"/>
  <c r="Q340" i="204"/>
  <c r="M340" i="204"/>
  <c r="I340" i="204"/>
  <c r="L340" i="204"/>
  <c r="S340" i="204"/>
  <c r="K340" i="204"/>
  <c r="O340" i="204"/>
  <c r="G340" i="204"/>
  <c r="P340" i="204"/>
  <c r="H340" i="204"/>
  <c r="R331" i="204"/>
  <c r="N331" i="204"/>
  <c r="J331" i="204"/>
  <c r="E331" i="204"/>
  <c r="Q331" i="204"/>
  <c r="M331" i="204"/>
  <c r="I331" i="204"/>
  <c r="P331" i="204"/>
  <c r="H331" i="204"/>
  <c r="O331" i="204"/>
  <c r="G331" i="204"/>
  <c r="S331" i="204"/>
  <c r="K331" i="204"/>
  <c r="L331" i="204"/>
  <c r="P322" i="204"/>
  <c r="L322" i="204"/>
  <c r="H322" i="204"/>
  <c r="S322" i="204"/>
  <c r="O322" i="204"/>
  <c r="K322" i="204"/>
  <c r="G322" i="204"/>
  <c r="Q322" i="204"/>
  <c r="M322" i="204"/>
  <c r="I322" i="204"/>
  <c r="E322" i="204"/>
  <c r="R322" i="204"/>
  <c r="J322" i="204"/>
  <c r="N322" i="204"/>
  <c r="P313" i="204"/>
  <c r="L313" i="204"/>
  <c r="H313" i="204"/>
  <c r="S313" i="204"/>
  <c r="O313" i="204"/>
  <c r="K313" i="204"/>
  <c r="G313" i="204"/>
  <c r="Q313" i="204"/>
  <c r="M313" i="204"/>
  <c r="I313" i="204"/>
  <c r="J313" i="204"/>
  <c r="E313" i="204"/>
  <c r="N313" i="204"/>
  <c r="R313" i="204"/>
  <c r="R288" i="204"/>
  <c r="N288" i="204"/>
  <c r="J288" i="204"/>
  <c r="E288" i="204"/>
  <c r="Q288" i="204"/>
  <c r="M288" i="204"/>
  <c r="I288" i="204"/>
  <c r="S288" i="204"/>
  <c r="K288" i="204"/>
  <c r="P288" i="204"/>
  <c r="H288" i="204"/>
  <c r="L288" i="204"/>
  <c r="G288" i="204"/>
  <c r="O288" i="204"/>
  <c r="E90" i="204"/>
  <c r="O47" i="204"/>
  <c r="M47" i="204"/>
  <c r="P36" i="204"/>
  <c r="H36" i="204"/>
  <c r="O36" i="204"/>
  <c r="S370" i="204"/>
  <c r="O370" i="204"/>
  <c r="K370" i="204"/>
  <c r="G370" i="204"/>
  <c r="R370" i="204"/>
  <c r="N370" i="204"/>
  <c r="J370" i="204"/>
  <c r="E370" i="204"/>
  <c r="Q370" i="204"/>
  <c r="I370" i="204"/>
  <c r="P370" i="204"/>
  <c r="H370" i="204"/>
  <c r="M370" i="204"/>
  <c r="L370" i="204"/>
  <c r="B370" i="204"/>
  <c r="R323" i="204"/>
  <c r="N323" i="204"/>
  <c r="J323" i="204"/>
  <c r="E323" i="204"/>
  <c r="Q323" i="204"/>
  <c r="M323" i="204"/>
  <c r="I323" i="204"/>
  <c r="S323" i="204"/>
  <c r="O323" i="204"/>
  <c r="K323" i="204"/>
  <c r="G323" i="204"/>
  <c r="H323" i="204"/>
  <c r="L323" i="204"/>
  <c r="P323" i="204"/>
  <c r="B323" i="204"/>
  <c r="Q365" i="204"/>
  <c r="M365" i="204"/>
  <c r="I365" i="204"/>
  <c r="P365" i="204"/>
  <c r="L365" i="204"/>
  <c r="H365" i="204"/>
  <c r="O365" i="204"/>
  <c r="G365" i="204"/>
  <c r="N365" i="204"/>
  <c r="E365" i="204"/>
  <c r="S365" i="204"/>
  <c r="R365" i="204"/>
  <c r="J365" i="204"/>
  <c r="K365" i="204"/>
  <c r="R329" i="204"/>
  <c r="P329" i="204"/>
  <c r="L329" i="204"/>
  <c r="H329" i="204"/>
  <c r="O329" i="204"/>
  <c r="K329" i="204"/>
  <c r="G329" i="204"/>
  <c r="Q329" i="204"/>
  <c r="M329" i="204"/>
  <c r="I329" i="204"/>
  <c r="N329" i="204"/>
  <c r="J329" i="204"/>
  <c r="S329" i="204"/>
  <c r="E329" i="204"/>
  <c r="U21" i="204"/>
  <c r="V21" i="204" s="1"/>
  <c r="G30" i="204"/>
  <c r="G47" i="204" s="1"/>
  <c r="K47" i="204"/>
  <c r="B329" i="204"/>
  <c r="P303" i="204"/>
  <c r="L303" i="204"/>
  <c r="H303" i="204"/>
  <c r="S303" i="204"/>
  <c r="O303" i="204"/>
  <c r="K303" i="204"/>
  <c r="G303" i="204"/>
  <c r="Q303" i="204"/>
  <c r="I303" i="204"/>
  <c r="N303" i="204"/>
  <c r="E303" i="204"/>
  <c r="B303" i="204"/>
  <c r="R303" i="204"/>
  <c r="J303" i="204"/>
  <c r="M303" i="204"/>
  <c r="S368" i="204"/>
  <c r="O368" i="204"/>
  <c r="K368" i="204"/>
  <c r="G368" i="204"/>
  <c r="R368" i="204"/>
  <c r="N368" i="204"/>
  <c r="J368" i="204"/>
  <c r="E368" i="204"/>
  <c r="M368" i="204"/>
  <c r="L368" i="204"/>
  <c r="I368" i="204"/>
  <c r="H368" i="204"/>
  <c r="P368" i="204"/>
  <c r="Q368" i="204"/>
  <c r="B368" i="204"/>
  <c r="S357" i="204"/>
  <c r="O357" i="204"/>
  <c r="K357" i="204"/>
  <c r="G357" i="204"/>
  <c r="R357" i="204"/>
  <c r="N357" i="204"/>
  <c r="J357" i="204"/>
  <c r="E357" i="204"/>
  <c r="M357" i="204"/>
  <c r="L357" i="204"/>
  <c r="I357" i="204"/>
  <c r="H357" i="204"/>
  <c r="P357" i="204"/>
  <c r="Q357" i="204"/>
  <c r="B357" i="204"/>
  <c r="P343" i="204"/>
  <c r="L343" i="204"/>
  <c r="H343" i="204"/>
  <c r="S343" i="204"/>
  <c r="O343" i="204"/>
  <c r="K343" i="204"/>
  <c r="G343" i="204"/>
  <c r="R343" i="204"/>
  <c r="J343" i="204"/>
  <c r="Q343" i="204"/>
  <c r="I343" i="204"/>
  <c r="M343" i="204"/>
  <c r="N343" i="204"/>
  <c r="E343" i="204"/>
  <c r="B343" i="204"/>
  <c r="P332" i="204"/>
  <c r="L332" i="204"/>
  <c r="H332" i="204"/>
  <c r="S332" i="204"/>
  <c r="O332" i="204"/>
  <c r="K332" i="204"/>
  <c r="G332" i="204"/>
  <c r="R332" i="204"/>
  <c r="J332" i="204"/>
  <c r="Q332" i="204"/>
  <c r="I332" i="204"/>
  <c r="M332" i="204"/>
  <c r="E332" i="204"/>
  <c r="N332" i="204"/>
  <c r="B332" i="204"/>
  <c r="R321" i="204"/>
  <c r="N321" i="204"/>
  <c r="J321" i="204"/>
  <c r="E321" i="204"/>
  <c r="Q321" i="204"/>
  <c r="M321" i="204"/>
  <c r="I321" i="204"/>
  <c r="S321" i="204"/>
  <c r="O321" i="204"/>
  <c r="K321" i="204"/>
  <c r="G321" i="204"/>
  <c r="P321" i="204"/>
  <c r="H321" i="204"/>
  <c r="L321" i="204"/>
  <c r="B321" i="204"/>
  <c r="R296" i="204"/>
  <c r="N296" i="204"/>
  <c r="J296" i="204"/>
  <c r="E296" i="204"/>
  <c r="Q296" i="204"/>
  <c r="M296" i="204"/>
  <c r="I296" i="204"/>
  <c r="O296" i="204"/>
  <c r="G296" i="204"/>
  <c r="B296" i="204"/>
  <c r="L296" i="204"/>
  <c r="P296" i="204"/>
  <c r="H296" i="204"/>
  <c r="S296" i="204"/>
  <c r="K296" i="204"/>
  <c r="R284" i="204"/>
  <c r="N284" i="204"/>
  <c r="J284" i="204"/>
  <c r="E284" i="204"/>
  <c r="Q284" i="204"/>
  <c r="M284" i="204"/>
  <c r="I284" i="204"/>
  <c r="S284" i="204"/>
  <c r="K284" i="204"/>
  <c r="P284" i="204"/>
  <c r="H284" i="204"/>
  <c r="L284" i="204"/>
  <c r="G284" i="204"/>
  <c r="O284" i="204"/>
  <c r="E36" i="204"/>
  <c r="I47" i="204"/>
  <c r="K36" i="204"/>
  <c r="L36" i="204"/>
  <c r="S36" i="204"/>
  <c r="P305" i="204"/>
  <c r="L305" i="204"/>
  <c r="H305" i="204"/>
  <c r="S305" i="204"/>
  <c r="O305" i="204"/>
  <c r="K305" i="204"/>
  <c r="G305" i="204"/>
  <c r="M305" i="204"/>
  <c r="R305" i="204"/>
  <c r="J305" i="204"/>
  <c r="B305" i="204"/>
  <c r="N305" i="204"/>
  <c r="E305" i="204"/>
  <c r="Q305" i="204"/>
  <c r="I305" i="204"/>
  <c r="S359" i="204"/>
  <c r="O359" i="204"/>
  <c r="K359" i="204"/>
  <c r="G359" i="204"/>
  <c r="R359" i="204"/>
  <c r="N359" i="204"/>
  <c r="J359" i="204"/>
  <c r="E359" i="204"/>
  <c r="Q359" i="204"/>
  <c r="I359" i="204"/>
  <c r="P359" i="204"/>
  <c r="H359" i="204"/>
  <c r="M359" i="204"/>
  <c r="L359" i="204"/>
  <c r="B359" i="204"/>
  <c r="P334" i="204"/>
  <c r="L334" i="204"/>
  <c r="H334" i="204"/>
  <c r="S334" i="204"/>
  <c r="O334" i="204"/>
  <c r="K334" i="204"/>
  <c r="G334" i="204"/>
  <c r="N334" i="204"/>
  <c r="E334" i="204"/>
  <c r="M334" i="204"/>
  <c r="Q334" i="204"/>
  <c r="I334" i="204"/>
  <c r="J334" i="204"/>
  <c r="R334" i="204"/>
  <c r="B334" i="204"/>
  <c r="Q356" i="204"/>
  <c r="M356" i="204"/>
  <c r="I356" i="204"/>
  <c r="P356" i="204"/>
  <c r="L356" i="204"/>
  <c r="H356" i="204"/>
  <c r="S356" i="204"/>
  <c r="K356" i="204"/>
  <c r="R356" i="204"/>
  <c r="J356" i="204"/>
  <c r="G356" i="204"/>
  <c r="E356" i="204"/>
  <c r="N356" i="204"/>
  <c r="O356" i="204"/>
  <c r="R338" i="204"/>
  <c r="N338" i="204"/>
  <c r="J338" i="204"/>
  <c r="E338" i="204"/>
  <c r="Q338" i="204"/>
  <c r="M338" i="204"/>
  <c r="I338" i="204"/>
  <c r="P338" i="204"/>
  <c r="H338" i="204"/>
  <c r="O338" i="204"/>
  <c r="G338" i="204"/>
  <c r="S338" i="204"/>
  <c r="K338" i="204"/>
  <c r="L338" i="204"/>
  <c r="B338" i="204"/>
  <c r="S366" i="204"/>
  <c r="O366" i="204"/>
  <c r="K366" i="204"/>
  <c r="G366" i="204"/>
  <c r="R366" i="204"/>
  <c r="N366" i="204"/>
  <c r="J366" i="204"/>
  <c r="E366" i="204"/>
  <c r="Q366" i="204"/>
  <c r="I366" i="204"/>
  <c r="P366" i="204"/>
  <c r="H366" i="204"/>
  <c r="L366" i="204"/>
  <c r="M366" i="204"/>
  <c r="B366" i="204"/>
  <c r="S352" i="204"/>
  <c r="O352" i="204"/>
  <c r="K352" i="204"/>
  <c r="G352" i="204"/>
  <c r="R352" i="204"/>
  <c r="N352" i="204"/>
  <c r="J352" i="204"/>
  <c r="E352" i="204"/>
  <c r="Q352" i="204"/>
  <c r="I352" i="204"/>
  <c r="P352" i="204"/>
  <c r="H352" i="204"/>
  <c r="L352" i="204"/>
  <c r="M352" i="204"/>
  <c r="B352" i="204"/>
  <c r="P341" i="204"/>
  <c r="L341" i="204"/>
  <c r="H341" i="204"/>
  <c r="S341" i="204"/>
  <c r="O341" i="204"/>
  <c r="K341" i="204"/>
  <c r="G341" i="204"/>
  <c r="N341" i="204"/>
  <c r="E341" i="204"/>
  <c r="M341" i="204"/>
  <c r="Q341" i="204"/>
  <c r="I341" i="204"/>
  <c r="J341" i="204"/>
  <c r="R341" i="204"/>
  <c r="B341" i="204"/>
  <c r="P330" i="204"/>
  <c r="L330" i="204"/>
  <c r="H330" i="204"/>
  <c r="S330" i="204"/>
  <c r="O330" i="204"/>
  <c r="K330" i="204"/>
  <c r="N330" i="204"/>
  <c r="G330" i="204"/>
  <c r="M330" i="204"/>
  <c r="E330" i="204"/>
  <c r="Q330" i="204"/>
  <c r="I330" i="204"/>
  <c r="R330" i="204"/>
  <c r="B330" i="204"/>
  <c r="J330" i="204"/>
  <c r="R316" i="204"/>
  <c r="N316" i="204"/>
  <c r="J316" i="204"/>
  <c r="E316" i="204"/>
  <c r="Q316" i="204"/>
  <c r="M316" i="204"/>
  <c r="I316" i="204"/>
  <c r="S316" i="204"/>
  <c r="O316" i="204"/>
  <c r="K316" i="204"/>
  <c r="G316" i="204"/>
  <c r="P316" i="204"/>
  <c r="L316" i="204"/>
  <c r="H316" i="204"/>
  <c r="B316" i="204"/>
  <c r="Q369" i="204"/>
  <c r="M369" i="204"/>
  <c r="I369" i="204"/>
  <c r="P369" i="204"/>
  <c r="L369" i="204"/>
  <c r="H369" i="204"/>
  <c r="O369" i="204"/>
  <c r="G369" i="204"/>
  <c r="N369" i="204"/>
  <c r="E369" i="204"/>
  <c r="K369" i="204"/>
  <c r="J369" i="204"/>
  <c r="R369" i="204"/>
  <c r="S369" i="204"/>
  <c r="Q360" i="204"/>
  <c r="M360" i="204"/>
  <c r="I360" i="204"/>
  <c r="P360" i="204"/>
  <c r="L360" i="204"/>
  <c r="H360" i="204"/>
  <c r="S360" i="204"/>
  <c r="K360" i="204"/>
  <c r="R360" i="204"/>
  <c r="J360" i="204"/>
  <c r="O360" i="204"/>
  <c r="N360" i="204"/>
  <c r="E360" i="204"/>
  <c r="G360" i="204"/>
  <c r="Q351" i="204"/>
  <c r="M351" i="204"/>
  <c r="I351" i="204"/>
  <c r="P351" i="204"/>
  <c r="L351" i="204"/>
  <c r="H351" i="204"/>
  <c r="O351" i="204"/>
  <c r="G351" i="204"/>
  <c r="N351" i="204"/>
  <c r="E351" i="204"/>
  <c r="S351" i="204"/>
  <c r="R351" i="204"/>
  <c r="J351" i="204"/>
  <c r="K351" i="204"/>
  <c r="R342" i="204"/>
  <c r="N342" i="204"/>
  <c r="J342" i="204"/>
  <c r="E342" i="204"/>
  <c r="Q342" i="204"/>
  <c r="M342" i="204"/>
  <c r="I342" i="204"/>
  <c r="P342" i="204"/>
  <c r="H342" i="204"/>
  <c r="O342" i="204"/>
  <c r="G342" i="204"/>
  <c r="S342" i="204"/>
  <c r="K342" i="204"/>
  <c r="L342" i="204"/>
  <c r="R333" i="204"/>
  <c r="N333" i="204"/>
  <c r="J333" i="204"/>
  <c r="E333" i="204"/>
  <c r="Q333" i="204"/>
  <c r="M333" i="204"/>
  <c r="I333" i="204"/>
  <c r="L333" i="204"/>
  <c r="S333" i="204"/>
  <c r="K333" i="204"/>
  <c r="O333" i="204"/>
  <c r="G333" i="204"/>
  <c r="P333" i="204"/>
  <c r="H333" i="204"/>
  <c r="P324" i="204"/>
  <c r="L324" i="204"/>
  <c r="H324" i="204"/>
  <c r="S324" i="204"/>
  <c r="O324" i="204"/>
  <c r="K324" i="204"/>
  <c r="G324" i="204"/>
  <c r="Q324" i="204"/>
  <c r="M324" i="204"/>
  <c r="I324" i="204"/>
  <c r="J324" i="204"/>
  <c r="E324" i="204"/>
  <c r="N324" i="204"/>
  <c r="R324" i="204"/>
  <c r="P315" i="204"/>
  <c r="L315" i="204"/>
  <c r="H315" i="204"/>
  <c r="S315" i="204"/>
  <c r="O315" i="204"/>
  <c r="K315" i="204"/>
  <c r="G315" i="204"/>
  <c r="Q315" i="204"/>
  <c r="M315" i="204"/>
  <c r="I315" i="204"/>
  <c r="N315" i="204"/>
  <c r="J315" i="204"/>
  <c r="R315" i="204"/>
  <c r="E315" i="204"/>
  <c r="R294" i="204"/>
  <c r="N294" i="204"/>
  <c r="J294" i="204"/>
  <c r="E294" i="204"/>
  <c r="Q294" i="204"/>
  <c r="M294" i="204"/>
  <c r="I294" i="204"/>
  <c r="S294" i="204"/>
  <c r="K294" i="204"/>
  <c r="B294" i="204"/>
  <c r="P294" i="204"/>
  <c r="H294" i="204"/>
  <c r="L294" i="204"/>
  <c r="O294" i="204"/>
  <c r="G294" i="204"/>
  <c r="E274" i="204"/>
  <c r="E381" i="204" s="1"/>
  <c r="R286" i="204"/>
  <c r="N286" i="204"/>
  <c r="J286" i="204"/>
  <c r="E286" i="204"/>
  <c r="Q286" i="204"/>
  <c r="M286" i="204"/>
  <c r="I286" i="204"/>
  <c r="O286" i="204"/>
  <c r="G286" i="204"/>
  <c r="L286" i="204"/>
  <c r="P286" i="204"/>
  <c r="H286" i="204"/>
  <c r="K286" i="204"/>
  <c r="S286" i="204"/>
  <c r="I401" i="204"/>
  <c r="S47" i="204"/>
  <c r="R47" i="204"/>
  <c r="M36" i="204" l="1"/>
  <c r="O38" i="204"/>
  <c r="O49" i="204" s="1"/>
  <c r="O51" i="204" s="1"/>
  <c r="M38" i="204"/>
  <c r="U35" i="204"/>
  <c r="V35" i="204" s="1"/>
  <c r="Q38" i="204"/>
  <c r="E398" i="204"/>
  <c r="I38" i="204"/>
  <c r="K38" i="204"/>
  <c r="K39" i="204" s="1"/>
  <c r="K41" i="204" s="1"/>
  <c r="K42" i="204" s="1"/>
  <c r="J38" i="204"/>
  <c r="U46" i="204"/>
  <c r="V46" i="204" s="1"/>
  <c r="E399" i="204"/>
  <c r="H38" i="204"/>
  <c r="H39" i="204" s="1"/>
  <c r="H41" i="204" s="1"/>
  <c r="H42" i="204" s="1"/>
  <c r="R38" i="204"/>
  <c r="E400" i="204"/>
  <c r="S38" i="204"/>
  <c r="S49" i="204" s="1"/>
  <c r="L38" i="204"/>
  <c r="L39" i="204" s="1"/>
  <c r="L41" i="204" s="1"/>
  <c r="L42" i="204" s="1"/>
  <c r="E46" i="204"/>
  <c r="E45" i="204" s="1"/>
  <c r="G36" i="204"/>
  <c r="U36" i="204" s="1"/>
  <c r="V36" i="204" s="1"/>
  <c r="P38" i="204"/>
  <c r="P39" i="204" s="1"/>
  <c r="P41" i="204" s="1"/>
  <c r="P42" i="204" s="1"/>
  <c r="I39" i="204"/>
  <c r="I41" i="204" s="1"/>
  <c r="I42" i="204" s="1"/>
  <c r="I49" i="204"/>
  <c r="I51" i="204" s="1"/>
  <c r="K49" i="204"/>
  <c r="K51" i="204" s="1"/>
  <c r="U47" i="204"/>
  <c r="E47" i="204"/>
  <c r="J39" i="204"/>
  <c r="J41" i="204" s="1"/>
  <c r="J42" i="204" s="1"/>
  <c r="J49" i="204"/>
  <c r="J51" i="204" s="1"/>
  <c r="N39" i="204"/>
  <c r="N41" i="204" s="1"/>
  <c r="N42" i="204" s="1"/>
  <c r="N49" i="204"/>
  <c r="N51" i="204" s="1"/>
  <c r="M39" i="204"/>
  <c r="M41" i="204" s="1"/>
  <c r="M42" i="204" s="1"/>
  <c r="M49" i="204"/>
  <c r="M51" i="204" s="1"/>
  <c r="R39" i="204"/>
  <c r="R41" i="204" s="1"/>
  <c r="R42" i="204" s="1"/>
  <c r="R49" i="204"/>
  <c r="R51" i="204" s="1"/>
  <c r="E401" i="204"/>
  <c r="S39" i="204"/>
  <c r="S41" i="204" s="1"/>
  <c r="S42" i="204" s="1"/>
  <c r="U30" i="204"/>
  <c r="V30" i="204" s="1"/>
  <c r="G31" i="204"/>
  <c r="O39" i="204"/>
  <c r="O41" i="204" s="1"/>
  <c r="O42" i="204" s="1"/>
  <c r="Q39" i="204"/>
  <c r="Q41" i="204" s="1"/>
  <c r="Q42" i="204" s="1"/>
  <c r="Q49" i="204"/>
  <c r="Q51" i="204" s="1"/>
  <c r="H49" i="204" l="1"/>
  <c r="H51" i="204" s="1"/>
  <c r="H53" i="204" s="1"/>
  <c r="L49" i="204"/>
  <c r="L51" i="204" s="1"/>
  <c r="L53" i="204" s="1"/>
  <c r="P49" i="204"/>
  <c r="P51" i="204" s="1"/>
  <c r="P53" i="204" s="1"/>
  <c r="G38" i="204"/>
  <c r="G49" i="204" s="1"/>
  <c r="V47" i="204"/>
  <c r="D23" i="127"/>
  <c r="C42" i="127" s="1"/>
  <c r="S51" i="204"/>
  <c r="J53" i="204"/>
  <c r="J50" i="204"/>
  <c r="K53" i="204"/>
  <c r="K50" i="204"/>
  <c r="O53" i="204"/>
  <c r="O50" i="204"/>
  <c r="R53" i="204"/>
  <c r="R50" i="204"/>
  <c r="M53" i="204"/>
  <c r="M50" i="204"/>
  <c r="N53" i="204"/>
  <c r="N50" i="204"/>
  <c r="I50" i="204"/>
  <c r="I53" i="204"/>
  <c r="Q53" i="204"/>
  <c r="Q50" i="204"/>
  <c r="E38" i="204"/>
  <c r="F2" i="202"/>
  <c r="F54" i="200"/>
  <c r="F55" i="200" s="1"/>
  <c r="F57" i="200" s="1"/>
  <c r="AB40" i="200"/>
  <c r="AB39" i="200"/>
  <c r="AB37" i="200"/>
  <c r="AB36" i="200"/>
  <c r="AB32" i="200"/>
  <c r="AB30" i="200"/>
  <c r="AB29" i="200"/>
  <c r="AB28" i="200"/>
  <c r="AB27" i="200"/>
  <c r="AB26" i="200"/>
  <c r="AB25" i="200"/>
  <c r="AB24" i="200"/>
  <c r="AB21" i="200"/>
  <c r="AB20" i="200"/>
  <c r="AB19" i="200"/>
  <c r="AB15" i="200"/>
  <c r="AB14" i="200"/>
  <c r="AB13" i="200"/>
  <c r="G54" i="200"/>
  <c r="G55" i="200" s="1"/>
  <c r="V40" i="200"/>
  <c r="X39" i="200"/>
  <c r="X38" i="200"/>
  <c r="X36" i="200"/>
  <c r="V32" i="200"/>
  <c r="X31" i="200"/>
  <c r="X30" i="200"/>
  <c r="X28" i="200"/>
  <c r="B14" i="200"/>
  <c r="B15" i="200" s="1"/>
  <c r="B16" i="200" s="1"/>
  <c r="B17" i="200" s="1"/>
  <c r="B18" i="200" s="1"/>
  <c r="B19" i="200" s="1"/>
  <c r="B20" i="200" s="1"/>
  <c r="B21" i="200" s="1"/>
  <c r="B22" i="200" s="1"/>
  <c r="B23" i="200" s="1"/>
  <c r="B24" i="200" s="1"/>
  <c r="B25" i="200" s="1"/>
  <c r="B26" i="200" s="1"/>
  <c r="B27" i="200" s="1"/>
  <c r="B28" i="200" s="1"/>
  <c r="B29" i="200" s="1"/>
  <c r="B30" i="200" s="1"/>
  <c r="B31" i="200" s="1"/>
  <c r="B32" i="200" s="1"/>
  <c r="B33" i="200" s="1"/>
  <c r="B34" i="200" s="1"/>
  <c r="B37" i="200" s="1"/>
  <c r="B38" i="200" s="1"/>
  <c r="B39" i="200" s="1"/>
  <c r="B40" i="200" s="1"/>
  <c r="B41" i="200" s="1"/>
  <c r="B42" i="200" s="1"/>
  <c r="B43" i="200" s="1"/>
  <c r="B44" i="200" s="1"/>
  <c r="B45" i="200" s="1"/>
  <c r="B46" i="200" s="1"/>
  <c r="B47" i="200" s="1"/>
  <c r="B48" i="200" s="1"/>
  <c r="I11" i="200"/>
  <c r="I39" i="200" s="1"/>
  <c r="F2" i="127"/>
  <c r="P2" i="127" s="1"/>
  <c r="O1" i="174"/>
  <c r="H50" i="204" l="1"/>
  <c r="P50" i="204"/>
  <c r="L50" i="204"/>
  <c r="G39" i="204"/>
  <c r="U38" i="204"/>
  <c r="V38" i="204" s="1"/>
  <c r="X40" i="200"/>
  <c r="E39" i="204"/>
  <c r="E41" i="204" s="1"/>
  <c r="E42" i="204" s="1"/>
  <c r="E37" i="204"/>
  <c r="U49" i="204"/>
  <c r="E49" i="204"/>
  <c r="E48" i="204" s="1"/>
  <c r="G51" i="204"/>
  <c r="S53" i="204"/>
  <c r="S50" i="204"/>
  <c r="U39" i="204"/>
  <c r="G41" i="204"/>
  <c r="K2" i="127"/>
  <c r="I47" i="200"/>
  <c r="I51" i="200"/>
  <c r="I46" i="200"/>
  <c r="I50" i="200"/>
  <c r="I45" i="200"/>
  <c r="I52" i="200"/>
  <c r="I48" i="200"/>
  <c r="I36" i="200"/>
  <c r="I16" i="200"/>
  <c r="I25" i="200"/>
  <c r="I38" i="200"/>
  <c r="I42" i="200"/>
  <c r="I27" i="200"/>
  <c r="I44" i="200"/>
  <c r="I32" i="200"/>
  <c r="I33" i="200"/>
  <c r="I55" i="200"/>
  <c r="X32" i="200"/>
  <c r="I14" i="200"/>
  <c r="I19" i="200"/>
  <c r="I21" i="200"/>
  <c r="I22" i="200"/>
  <c r="I30" i="200"/>
  <c r="I31" i="200"/>
  <c r="I37" i="200"/>
  <c r="I18" i="200"/>
  <c r="I23" i="200"/>
  <c r="I24" i="200"/>
  <c r="I26" i="200"/>
  <c r="I29" i="200"/>
  <c r="I34" i="200"/>
  <c r="I40" i="200"/>
  <c r="I41" i="200"/>
  <c r="I43" i="200"/>
  <c r="I13" i="200"/>
  <c r="I15" i="200"/>
  <c r="I17" i="200"/>
  <c r="I20" i="200"/>
  <c r="I28" i="200"/>
  <c r="E2" i="87"/>
  <c r="I2" i="86"/>
  <c r="R2" i="86"/>
  <c r="AA2" i="86"/>
  <c r="AJ2" i="86"/>
  <c r="E2" i="126"/>
  <c r="AR2" i="86"/>
  <c r="V39" i="204" l="1"/>
  <c r="DB2" i="126"/>
  <c r="AI2" i="126"/>
  <c r="V49" i="204"/>
  <c r="U41" i="204"/>
  <c r="V41" i="204" s="1"/>
  <c r="G42" i="204"/>
  <c r="U51" i="204"/>
  <c r="E51" i="204"/>
  <c r="G53" i="204"/>
  <c r="G50" i="204"/>
  <c r="Y2" i="126"/>
  <c r="BB2" i="126"/>
  <c r="BS2" i="126"/>
  <c r="CM2" i="126"/>
  <c r="DG2" i="126"/>
  <c r="L2" i="126"/>
  <c r="AD2" i="126"/>
  <c r="BG2" i="126"/>
  <c r="BX2" i="126"/>
  <c r="CR2" i="126"/>
  <c r="DL2" i="126"/>
  <c r="DP2" i="126" s="1"/>
  <c r="Q2" i="126"/>
  <c r="AN2" i="126"/>
  <c r="BK2" i="126"/>
  <c r="CC2" i="126"/>
  <c r="CW2" i="126"/>
  <c r="BH2" i="87"/>
  <c r="AN2" i="87"/>
  <c r="T2" i="87"/>
  <c r="BC2" i="87"/>
  <c r="AI2" i="87"/>
  <c r="O2" i="87"/>
  <c r="AD2" i="87"/>
  <c r="BM2" i="87"/>
  <c r="AS2" i="87"/>
  <c r="AX2" i="87"/>
  <c r="J2" i="87"/>
  <c r="Y2" i="87"/>
  <c r="U2" i="126"/>
  <c r="AW2" i="126"/>
  <c r="BO2" i="126"/>
  <c r="CH2" i="126"/>
  <c r="I54" i="200"/>
  <c r="V51" i="204" l="1"/>
  <c r="E53" i="204"/>
  <c r="E50" i="204"/>
  <c r="AX101" i="87"/>
  <c r="E54" i="204" l="1"/>
  <c r="R54" i="204"/>
  <c r="P54" i="204"/>
  <c r="K54" i="204"/>
  <c r="M54" i="204"/>
  <c r="H54" i="204"/>
  <c r="Q54" i="204"/>
  <c r="I54" i="204"/>
  <c r="L54" i="204"/>
  <c r="N54" i="204"/>
  <c r="J54" i="204"/>
  <c r="O54" i="204"/>
  <c r="S54" i="204"/>
  <c r="G54" i="204"/>
  <c r="A66" i="86"/>
  <c r="A70" i="86"/>
  <c r="BM4" i="87" l="1"/>
  <c r="BM53" i="87" s="1"/>
  <c r="BH4" i="87"/>
  <c r="BC4" i="87"/>
  <c r="AX4" i="87"/>
  <c r="AS4" i="87"/>
  <c r="AN4" i="87"/>
  <c r="AI4" i="87"/>
  <c r="AD4" i="87"/>
  <c r="Y4" i="87"/>
  <c r="Y32" i="87" s="1"/>
  <c r="T4" i="87"/>
  <c r="O4" i="87"/>
  <c r="J4" i="87"/>
  <c r="DL4" i="126"/>
  <c r="DG4" i="126"/>
  <c r="DB4" i="126"/>
  <c r="CW4" i="126"/>
  <c r="CR4" i="126"/>
  <c r="CM4" i="126"/>
  <c r="CH4" i="126"/>
  <c r="CC4" i="126"/>
  <c r="BX4" i="126"/>
  <c r="BS4" i="126"/>
  <c r="BO4" i="126"/>
  <c r="BK4" i="126"/>
  <c r="BG4" i="126"/>
  <c r="BB4" i="126"/>
  <c r="AW4" i="126"/>
  <c r="AN4" i="126"/>
  <c r="AD4" i="126"/>
  <c r="Y4" i="126"/>
  <c r="U4" i="126"/>
  <c r="Q4" i="126"/>
  <c r="L4" i="126"/>
  <c r="E4" i="126"/>
  <c r="AV19" i="126" l="1"/>
  <c r="BC23" i="87"/>
  <c r="AN41" i="86" l="1"/>
  <c r="R1" i="86" l="1"/>
  <c r="AU7" i="86" l="1"/>
  <c r="AL7" i="86" l="1"/>
  <c r="AJ1" i="86"/>
  <c r="AD7" i="86"/>
  <c r="T7" i="86"/>
  <c r="L7" i="86"/>
  <c r="F7" i="86"/>
  <c r="A8" i="174" l="1"/>
  <c r="A9" i="174" s="1"/>
  <c r="A10" i="174" s="1"/>
  <c r="A11" i="174" s="1"/>
  <c r="A12" i="174" s="1"/>
  <c r="A13" i="174" s="1"/>
  <c r="A14" i="174" s="1"/>
  <c r="A15" i="174" s="1"/>
  <c r="A16" i="174" s="1"/>
  <c r="A17" i="174" s="1"/>
  <c r="A18" i="174" s="1"/>
  <c r="A19" i="174" s="1"/>
  <c r="A20" i="174" s="1"/>
  <c r="A21" i="174" s="1"/>
  <c r="A22" i="174" s="1"/>
  <c r="A23" i="174" s="1"/>
  <c r="A24" i="174" s="1"/>
  <c r="A25" i="174" s="1"/>
  <c r="A26" i="174" s="1"/>
  <c r="A27" i="174" s="1"/>
  <c r="A28" i="174" s="1"/>
  <c r="A29" i="174" s="1"/>
  <c r="A30" i="174" s="1"/>
  <c r="P1" i="127" l="1"/>
  <c r="K1" i="127"/>
  <c r="BM1" i="87"/>
  <c r="BH1" i="87"/>
  <c r="BC1" i="87"/>
  <c r="AX1" i="87"/>
  <c r="AS1" i="87"/>
  <c r="AN1" i="87"/>
  <c r="AI1" i="87"/>
  <c r="AD1" i="87"/>
  <c r="Y1" i="87"/>
  <c r="T1" i="87"/>
  <c r="O1" i="87"/>
  <c r="J1" i="87"/>
  <c r="DL1" i="126"/>
  <c r="DG1" i="126"/>
  <c r="DB1" i="126"/>
  <c r="CW1" i="126"/>
  <c r="CR1" i="126"/>
  <c r="CM1" i="126"/>
  <c r="CH1" i="126"/>
  <c r="CC1" i="126"/>
  <c r="BX1" i="126"/>
  <c r="BS1" i="126"/>
  <c r="BO1" i="126"/>
  <c r="BK1" i="126"/>
  <c r="BG1" i="126"/>
  <c r="BB1" i="126"/>
  <c r="AW1" i="126"/>
  <c r="AN1" i="126"/>
  <c r="AD1" i="126"/>
  <c r="Y1" i="126"/>
  <c r="U1" i="126"/>
  <c r="Q1" i="126"/>
  <c r="L1" i="126"/>
  <c r="I1" i="86" l="1"/>
  <c r="N12" i="174" l="1"/>
  <c r="BN23" i="126"/>
  <c r="BN17" i="126"/>
  <c r="DB19" i="126"/>
  <c r="AV39" i="206"/>
  <c r="AW39" i="206" s="1"/>
  <c r="W13" i="200"/>
  <c r="W10" i="200"/>
  <c r="V10" i="200"/>
  <c r="AZ38" i="86" l="1"/>
  <c r="V13" i="200"/>
  <c r="V22" i="200" s="1"/>
  <c r="W19" i="200"/>
  <c r="V19" i="200"/>
  <c r="W22" i="200"/>
  <c r="L19" i="174"/>
  <c r="N19" i="174" s="1"/>
  <c r="V14" i="200" l="1"/>
  <c r="X22" i="200"/>
  <c r="V23" i="200"/>
  <c r="X19" i="200"/>
  <c r="X23" i="200" l="1"/>
  <c r="AA62" i="86"/>
  <c r="AA30" i="86"/>
  <c r="AA21" i="86"/>
  <c r="AA51" i="86" l="1"/>
  <c r="N34" i="200" l="1"/>
  <c r="AB34" i="200" s="1"/>
  <c r="AA66" i="86"/>
  <c r="DL14" i="126"/>
  <c r="AA38" i="86" l="1"/>
  <c r="G40" i="21" l="1"/>
  <c r="BK36" i="87" l="1"/>
  <c r="D49" i="192"/>
  <c r="G49" i="192" l="1"/>
  <c r="CZ21" i="126" l="1"/>
  <c r="AO14" i="87" l="1"/>
  <c r="AO15" i="87" l="1"/>
  <c r="AC53" i="87"/>
  <c r="AO16" i="87" l="1"/>
  <c r="BK26" i="87"/>
  <c r="AO17" i="87" l="1"/>
  <c r="N20" i="87"/>
  <c r="AO18" i="87" l="1"/>
  <c r="AD43" i="87"/>
  <c r="AY14" i="87"/>
  <c r="AO19" i="87" l="1"/>
  <c r="AI41" i="86"/>
  <c r="N25" i="87"/>
  <c r="AO20" i="87" l="1"/>
  <c r="O24" i="87"/>
  <c r="AO21" i="87" l="1"/>
  <c r="M25" i="87"/>
  <c r="AO22" i="87" l="1"/>
  <c r="BF20" i="87"/>
  <c r="AO23" i="87" l="1"/>
  <c r="BH19" i="87"/>
  <c r="BG20" i="87"/>
  <c r="BG15" i="87"/>
  <c r="BH14" i="87"/>
  <c r="BF15" i="87"/>
  <c r="AO24" i="87" l="1"/>
  <c r="BH20" i="87"/>
  <c r="G44" i="21"/>
  <c r="AO58" i="86"/>
  <c r="AO40" i="86"/>
  <c r="BH15" i="87"/>
  <c r="BH104" i="87" s="1"/>
  <c r="BH22" i="87" l="1"/>
  <c r="BH23" i="87" s="1"/>
  <c r="BH100" i="87" s="1"/>
  <c r="AO25" i="87"/>
  <c r="B12" i="183"/>
  <c r="C12" i="183"/>
  <c r="AO30" i="86"/>
  <c r="AO21" i="86"/>
  <c r="AO26" i="87" l="1"/>
  <c r="AO45" i="86"/>
  <c r="I12" i="183"/>
  <c r="AO27" i="87" l="1"/>
  <c r="BI14" i="87"/>
  <c r="BD14" i="87"/>
  <c r="BD15" i="87" l="1"/>
  <c r="BI15" i="87"/>
  <c r="AO28" i="87"/>
  <c r="BI16" i="87" l="1"/>
  <c r="AO29" i="87"/>
  <c r="BD16" i="87"/>
  <c r="AO62" i="86"/>
  <c r="AO47" i="86"/>
  <c r="BD7" i="87"/>
  <c r="AO30" i="87" l="1"/>
  <c r="BD17" i="87"/>
  <c r="BI17" i="87"/>
  <c r="AO49" i="86"/>
  <c r="AO51" i="86"/>
  <c r="M47" i="200" l="1"/>
  <c r="N47" i="200"/>
  <c r="BD18" i="87"/>
  <c r="BI18" i="87"/>
  <c r="AO31" i="87"/>
  <c r="I19" i="87"/>
  <c r="AO66" i="86"/>
  <c r="I16" i="87"/>
  <c r="AB47" i="200" l="1"/>
  <c r="AA47" i="200"/>
  <c r="AO32" i="87"/>
  <c r="BD19" i="87"/>
  <c r="BI19" i="87"/>
  <c r="BD20" i="87" l="1"/>
  <c r="BI20" i="87"/>
  <c r="AO33" i="87"/>
  <c r="BI21" i="87" l="1"/>
  <c r="AO34" i="87"/>
  <c r="BD21" i="87"/>
  <c r="G42" i="86"/>
  <c r="G36" i="86"/>
  <c r="Q46" i="126"/>
  <c r="BD22" i="87" l="1"/>
  <c r="BI22" i="87"/>
  <c r="AO35" i="87"/>
  <c r="X10" i="200"/>
  <c r="AO36" i="87" l="1"/>
  <c r="BI23" i="87"/>
  <c r="BD23" i="87"/>
  <c r="E18" i="86"/>
  <c r="BI24" i="87" l="1"/>
  <c r="BD24" i="87"/>
  <c r="AO37" i="87"/>
  <c r="CW16" i="126"/>
  <c r="AO38" i="87" l="1"/>
  <c r="BI25" i="87"/>
  <c r="CW18" i="126"/>
  <c r="A34" i="192"/>
  <c r="A35" i="192" s="1"/>
  <c r="A36" i="192" s="1"/>
  <c r="A37" i="192" s="1"/>
  <c r="A38" i="192" s="1"/>
  <c r="A39" i="192" s="1"/>
  <c r="A40" i="192" s="1"/>
  <c r="A41" i="192" s="1"/>
  <c r="A42" i="192" s="1"/>
  <c r="A43" i="192" s="1"/>
  <c r="A44" i="192" s="1"/>
  <c r="A45" i="192" s="1"/>
  <c r="BI26" i="87" l="1"/>
  <c r="AO39" i="87"/>
  <c r="AM39" i="86"/>
  <c r="BI27" i="87" l="1"/>
  <c r="F55" i="21"/>
  <c r="BI28" i="87" l="1"/>
  <c r="E129" i="21"/>
  <c r="D129" i="21"/>
  <c r="C129" i="21"/>
  <c r="E128" i="21"/>
  <c r="D128" i="21"/>
  <c r="E118" i="21"/>
  <c r="D118" i="21"/>
  <c r="C118" i="21"/>
  <c r="E117" i="21"/>
  <c r="D117" i="21"/>
  <c r="BI29" i="87" l="1"/>
  <c r="C128" i="21"/>
  <c r="E130" i="21"/>
  <c r="E134" i="21" s="1"/>
  <c r="C117" i="21"/>
  <c r="C119" i="21" s="1"/>
  <c r="C133" i="21" s="1"/>
  <c r="E119" i="21"/>
  <c r="E133" i="21" s="1"/>
  <c r="D130" i="21"/>
  <c r="D134" i="21" s="1"/>
  <c r="C130" i="21"/>
  <c r="C134" i="21" s="1"/>
  <c r="D119" i="21"/>
  <c r="D133" i="21" s="1"/>
  <c r="BI30" i="87" l="1"/>
  <c r="C135" i="21"/>
  <c r="E135" i="21"/>
  <c r="D135" i="21"/>
  <c r="G37" i="21" s="1"/>
  <c r="D98" i="21"/>
  <c r="BI31" i="87" l="1"/>
  <c r="BI32" i="87" l="1"/>
  <c r="BI33" i="87" l="1"/>
  <c r="E21" i="87"/>
  <c r="BI34" i="87" l="1"/>
  <c r="BI35" i="87" l="1"/>
  <c r="BI36" i="87" l="1"/>
  <c r="D56" i="192"/>
  <c r="D52" i="192"/>
  <c r="D54" i="192"/>
  <c r="D53" i="192"/>
  <c r="D50" i="192"/>
  <c r="D51" i="192"/>
  <c r="BI37" i="87" l="1"/>
  <c r="D55" i="192"/>
  <c r="D57" i="192" s="1"/>
  <c r="AB53" i="87"/>
  <c r="BI38" i="87" l="1"/>
  <c r="BK93" i="87"/>
  <c r="BK76" i="87"/>
  <c r="BK77" i="87"/>
  <c r="BK90" i="87"/>
  <c r="BK91" i="87"/>
  <c r="BK92" i="87"/>
  <c r="BK89" i="87"/>
  <c r="BK87" i="87"/>
  <c r="BK86" i="87"/>
  <c r="BK85" i="87"/>
  <c r="BK84" i="87"/>
  <c r="BK83" i="87"/>
  <c r="BK82" i="87"/>
  <c r="BK88" i="87"/>
  <c r="BK81" i="87"/>
  <c r="BK80" i="87"/>
  <c r="BK78" i="87"/>
  <c r="AB33" i="87"/>
  <c r="BI39" i="87" l="1"/>
  <c r="DC20" i="126"/>
  <c r="BI40" i="87" l="1"/>
  <c r="DC21" i="126"/>
  <c r="AN30" i="86"/>
  <c r="AN21" i="86"/>
  <c r="BI41" i="87" l="1"/>
  <c r="DC22" i="126"/>
  <c r="BC16" i="87"/>
  <c r="BC15" i="87"/>
  <c r="AY15" i="87"/>
  <c r="AY7" i="87"/>
  <c r="AY16" i="87" l="1"/>
  <c r="BI42" i="87"/>
  <c r="DC23" i="126"/>
  <c r="B11" i="183"/>
  <c r="I11" i="183" s="1"/>
  <c r="AN56" i="86"/>
  <c r="Y30" i="86"/>
  <c r="Z30" i="86"/>
  <c r="Y21" i="86"/>
  <c r="Z21" i="86"/>
  <c r="AY17" i="87" l="1"/>
  <c r="BI43" i="87"/>
  <c r="DC24" i="126"/>
  <c r="O23" i="87"/>
  <c r="O25" i="87" l="1"/>
  <c r="AF39" i="86" s="1"/>
  <c r="BI44" i="87"/>
  <c r="AY18" i="87"/>
  <c r="DC25" i="126"/>
  <c r="AY19" i="87" l="1"/>
  <c r="O27" i="87"/>
  <c r="BI45" i="87"/>
  <c r="F41" i="21"/>
  <c r="G41" i="21" s="1"/>
  <c r="DC26" i="126"/>
  <c r="D93" i="21"/>
  <c r="D102" i="21" s="1"/>
  <c r="BI46" i="87" l="1"/>
  <c r="O28" i="87"/>
  <c r="O101" i="87" s="1"/>
  <c r="AY20" i="87"/>
  <c r="DC27" i="126"/>
  <c r="AY21" i="87" l="1"/>
  <c r="BI47" i="87"/>
  <c r="DC28" i="126"/>
  <c r="AY22" i="87" l="1"/>
  <c r="BI48" i="87"/>
  <c r="DC29" i="126"/>
  <c r="I8" i="126"/>
  <c r="M8" i="126" s="1"/>
  <c r="R8" i="126" s="1"/>
  <c r="V8" i="126" s="1"/>
  <c r="AY23" i="87" l="1"/>
  <c r="BI49" i="87"/>
  <c r="Z8" i="126"/>
  <c r="AJ8" i="126" l="1"/>
  <c r="AO8" i="126" s="1"/>
  <c r="AX8" i="126" s="1"/>
  <c r="BC8" i="126" s="1"/>
  <c r="BH8" i="126" s="1"/>
  <c r="BL8" i="126" s="1"/>
  <c r="BP8" i="126" s="1"/>
  <c r="BT8" i="126" s="1"/>
  <c r="BY8" i="126" s="1"/>
  <c r="CD8" i="126" s="1"/>
  <c r="CI8" i="126" s="1"/>
  <c r="CN8" i="126" s="1"/>
  <c r="CS8" i="126" s="1"/>
  <c r="CX8" i="126" s="1"/>
  <c r="DC8" i="126" s="1"/>
  <c r="DH8" i="126" s="1"/>
  <c r="AE8" i="126"/>
  <c r="BI50" i="87"/>
  <c r="AY24" i="87"/>
  <c r="C30" i="87"/>
  <c r="C32" i="87"/>
  <c r="BI51" i="87" l="1"/>
  <c r="AY25" i="87"/>
  <c r="AV18" i="87"/>
  <c r="AY26" i="87" l="1"/>
  <c r="BI52" i="87"/>
  <c r="B10" i="183"/>
  <c r="AM56" i="86"/>
  <c r="AY27" i="87" l="1"/>
  <c r="BI53" i="87"/>
  <c r="AM45" i="86"/>
  <c r="AT14" i="87"/>
  <c r="BI54" i="87" l="1"/>
  <c r="AT15" i="87"/>
  <c r="AY28" i="87"/>
  <c r="Y62" i="86"/>
  <c r="AY29" i="87" l="1"/>
  <c r="BI55" i="87"/>
  <c r="AT16" i="87"/>
  <c r="Y66" i="86"/>
  <c r="AL22" i="87"/>
  <c r="AL18" i="87"/>
  <c r="AJ14" i="87"/>
  <c r="AL26" i="87" l="1"/>
  <c r="BI56" i="87"/>
  <c r="AJ15" i="87"/>
  <c r="AT17" i="87"/>
  <c r="I20" i="127"/>
  <c r="I18" i="127"/>
  <c r="AJ16" i="87" l="1"/>
  <c r="AT18" i="87"/>
  <c r="BI57" i="87"/>
  <c r="J18" i="127"/>
  <c r="I21" i="127"/>
  <c r="K18" i="127"/>
  <c r="J20" i="127"/>
  <c r="K20" i="127" s="1"/>
  <c r="BI58" i="87" l="1"/>
  <c r="AJ17" i="87"/>
  <c r="K21" i="127"/>
  <c r="I16" i="127"/>
  <c r="BI59" i="87" l="1"/>
  <c r="AJ18" i="87"/>
  <c r="C9" i="192"/>
  <c r="X13" i="200"/>
  <c r="D14" i="127" l="1"/>
  <c r="AJ19" i="87"/>
  <c r="BI60" i="87"/>
  <c r="X14" i="200" l="1"/>
  <c r="C33" i="127"/>
  <c r="C63" i="86"/>
  <c r="AC70" i="86" s="1"/>
  <c r="AJ20" i="87"/>
  <c r="BI61" i="87"/>
  <c r="AO70" i="86" l="1"/>
  <c r="AO77" i="86" s="1"/>
  <c r="K70" i="86"/>
  <c r="BI62" i="87"/>
  <c r="AJ21" i="87"/>
  <c r="G18" i="86"/>
  <c r="AQ18" i="86" s="1"/>
  <c r="BI63" i="87" l="1"/>
  <c r="AJ22" i="87"/>
  <c r="AJ23" i="87" l="1"/>
  <c r="BI64" i="87"/>
  <c r="U28" i="126"/>
  <c r="U31" i="126"/>
  <c r="AJ24" i="87" l="1"/>
  <c r="BI65" i="87"/>
  <c r="H46" i="86"/>
  <c r="BI66" i="87" l="1"/>
  <c r="AJ25" i="87"/>
  <c r="BI67" i="87" l="1"/>
  <c r="AJ26" i="87"/>
  <c r="J21" i="87"/>
  <c r="AJ27" i="87" l="1"/>
  <c r="BK31" i="87"/>
  <c r="BI68" i="87"/>
  <c r="J23" i="87"/>
  <c r="BI69" i="87" l="1"/>
  <c r="AJ28" i="87"/>
  <c r="AE44" i="86"/>
  <c r="BL31" i="87"/>
  <c r="J25" i="87"/>
  <c r="BI70" i="87" l="1"/>
  <c r="C22" i="192"/>
  <c r="AJ29" i="87"/>
  <c r="J26" i="87"/>
  <c r="J101" i="87" s="1"/>
  <c r="AE45" i="86"/>
  <c r="A11" i="2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BI71" i="87" l="1"/>
  <c r="D22" i="192"/>
  <c r="G22" i="192"/>
  <c r="A42" i="2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BI72" i="87" l="1"/>
  <c r="A67" i="21"/>
  <c r="A68" i="2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BI73" i="87" l="1"/>
  <c r="A94" i="21"/>
  <c r="A95" i="21" s="1"/>
  <c r="A96" i="21" s="1"/>
  <c r="A97" i="21" s="1"/>
  <c r="A98" i="21" s="1"/>
  <c r="A99" i="21" s="1"/>
  <c r="A100" i="21" s="1"/>
  <c r="A101" i="21" s="1"/>
  <c r="A102" i="21" s="1"/>
  <c r="BI74" i="87" l="1"/>
  <c r="A103" i="21"/>
  <c r="A104" i="21" s="1"/>
  <c r="A105" i="21" s="1"/>
  <c r="A106" i="21" s="1"/>
  <c r="BI75" i="87" l="1"/>
  <c r="A107" i="2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BK21" i="87"/>
  <c r="BI76" i="87" l="1"/>
  <c r="BK37" i="87"/>
  <c r="AC33" i="87"/>
  <c r="BI77" i="87" l="1"/>
  <c r="G50" i="192"/>
  <c r="G20" i="86"/>
  <c r="BI78" i="87" l="1"/>
  <c r="AA1" i="86"/>
  <c r="BI79" i="87" l="1"/>
  <c r="AK30" i="86"/>
  <c r="AK21" i="86"/>
  <c r="AJ30" i="86"/>
  <c r="AJ21" i="86"/>
  <c r="BI80" i="87" l="1"/>
  <c r="BI81" i="87" l="1"/>
  <c r="O12" i="174"/>
  <c r="O16" i="174" s="1"/>
  <c r="BI82" i="87" l="1"/>
  <c r="X30" i="86"/>
  <c r="X21" i="86"/>
  <c r="CS14" i="126"/>
  <c r="BI83" i="87" l="1"/>
  <c r="CS15" i="126"/>
  <c r="BI84" i="87" l="1"/>
  <c r="CS16" i="126"/>
  <c r="X42" i="86"/>
  <c r="CU20" i="126"/>
  <c r="CW20" i="126" s="1"/>
  <c r="CS7" i="126"/>
  <c r="BI85" i="87" l="1"/>
  <c r="CW22" i="126"/>
  <c r="CW55" i="126" s="1"/>
  <c r="CS17" i="126"/>
  <c r="X45" i="86"/>
  <c r="BI86" i="87" l="1"/>
  <c r="CS18" i="126"/>
  <c r="X47" i="86"/>
  <c r="BI87" i="87" l="1"/>
  <c r="CS19" i="126"/>
  <c r="X49" i="86"/>
  <c r="M31" i="200" s="1"/>
  <c r="AA31" i="200" l="1"/>
  <c r="X60" i="86"/>
  <c r="X62" i="86" s="1"/>
  <c r="X70" i="86" s="1"/>
  <c r="X77" i="86" s="1"/>
  <c r="BI88" i="87"/>
  <c r="CS20" i="126"/>
  <c r="BS19" i="126"/>
  <c r="X51" i="86" l="1"/>
  <c r="BI89" i="87"/>
  <c r="CS21" i="126"/>
  <c r="N31" i="200" l="1"/>
  <c r="AB31" i="200" s="1"/>
  <c r="X66" i="86"/>
  <c r="BI90" i="87"/>
  <c r="CS22" i="126"/>
  <c r="BI91" i="87" l="1"/>
  <c r="X66" i="87"/>
  <c r="BI92" i="87" l="1"/>
  <c r="BK44" i="87"/>
  <c r="BK43" i="87"/>
  <c r="BK38" i="87"/>
  <c r="BI93" i="87" l="1"/>
  <c r="G51" i="192"/>
  <c r="G56" i="192"/>
  <c r="I29" i="174"/>
  <c r="BI94" i="87" l="1"/>
  <c r="I20" i="174"/>
  <c r="K20" i="174" l="1"/>
  <c r="BI95" i="87"/>
  <c r="O18" i="174"/>
  <c r="N20" i="174" l="1"/>
  <c r="N24" i="174" s="1"/>
  <c r="BI96" i="87"/>
  <c r="K24" i="174"/>
  <c r="O20" i="174" l="1"/>
  <c r="AM30" i="86" l="1"/>
  <c r="AM21" i="86"/>
  <c r="AT7" i="87"/>
  <c r="R13" i="87" l="1"/>
  <c r="BK39" i="87" l="1"/>
  <c r="BK42" i="87"/>
  <c r="BK41" i="87"/>
  <c r="BK46" i="87"/>
  <c r="BK45" i="87"/>
  <c r="BK40" i="87"/>
  <c r="G54" i="192" l="1"/>
  <c r="G53" i="192"/>
  <c r="G55" i="192"/>
  <c r="G52" i="192"/>
  <c r="C41" i="126"/>
  <c r="H59" i="86" l="1"/>
  <c r="G29" i="86" l="1"/>
  <c r="AQ29" i="86" s="1"/>
  <c r="G37" i="86"/>
  <c r="AQ37" i="86" s="1"/>
  <c r="X22" i="126"/>
  <c r="Z7" i="87" l="1"/>
  <c r="AD48" i="87" l="1"/>
  <c r="AV16" i="126" l="1"/>
  <c r="AV14" i="126"/>
  <c r="AW14" i="126" s="1"/>
  <c r="M21" i="127" l="1"/>
  <c r="M20" i="127"/>
  <c r="M19" i="127"/>
  <c r="M15" i="127"/>
  <c r="A14" i="127"/>
  <c r="A15" i="127" s="1"/>
  <c r="A16" i="127" s="1"/>
  <c r="L7" i="127"/>
  <c r="G7" i="127"/>
  <c r="A7" i="127"/>
  <c r="J52" i="126"/>
  <c r="A46" i="126"/>
  <c r="J44" i="126"/>
  <c r="J41" i="126"/>
  <c r="L41" i="126" s="1"/>
  <c r="F17" i="86" s="1"/>
  <c r="CK34" i="126"/>
  <c r="BA29" i="126"/>
  <c r="P31" i="126"/>
  <c r="Q31" i="126" s="1"/>
  <c r="I27" i="126"/>
  <c r="H27" i="126"/>
  <c r="J26" i="126"/>
  <c r="J25" i="126"/>
  <c r="J24" i="126"/>
  <c r="BN25" i="126"/>
  <c r="J23" i="126"/>
  <c r="CP22" i="126"/>
  <c r="J22" i="126"/>
  <c r="J21" i="126"/>
  <c r="J20" i="126"/>
  <c r="J19" i="126"/>
  <c r="J18" i="126"/>
  <c r="J17" i="126"/>
  <c r="J16" i="126"/>
  <c r="BS15" i="126"/>
  <c r="BK15" i="126"/>
  <c r="BK59" i="126" s="1"/>
  <c r="AV15" i="126"/>
  <c r="J15" i="126"/>
  <c r="CI14" i="126"/>
  <c r="BY14" i="126"/>
  <c r="BT14" i="126"/>
  <c r="BP14" i="126"/>
  <c r="BL14" i="126"/>
  <c r="BH14" i="126"/>
  <c r="AX14" i="126"/>
  <c r="AO14" i="126"/>
  <c r="Z14" i="126"/>
  <c r="V14" i="126"/>
  <c r="R14" i="126"/>
  <c r="M14" i="126"/>
  <c r="F14" i="126"/>
  <c r="A13" i="126"/>
  <c r="CN7" i="126"/>
  <c r="CI7" i="126"/>
  <c r="CD7" i="126"/>
  <c r="BY7" i="126"/>
  <c r="BT7" i="126"/>
  <c r="BP7" i="126"/>
  <c r="BL7" i="126"/>
  <c r="BH7" i="126"/>
  <c r="AX7" i="126"/>
  <c r="AO7" i="126"/>
  <c r="AJ7" i="126"/>
  <c r="Z7" i="126"/>
  <c r="V7" i="126"/>
  <c r="R7" i="126"/>
  <c r="M7" i="126"/>
  <c r="I7" i="126"/>
  <c r="AD52" i="87"/>
  <c r="AD51" i="87"/>
  <c r="AD50" i="87"/>
  <c r="AD49" i="87"/>
  <c r="AD47" i="87"/>
  <c r="AD46" i="87"/>
  <c r="AD45" i="87"/>
  <c r="AD40" i="87"/>
  <c r="BT15" i="126" l="1"/>
  <c r="BH15" i="126"/>
  <c r="AX15" i="126"/>
  <c r="AX16" i="126" s="1"/>
  <c r="Z15" i="126"/>
  <c r="BS21" i="126"/>
  <c r="G38" i="86"/>
  <c r="D58" i="192"/>
  <c r="AD53" i="87"/>
  <c r="K44" i="126"/>
  <c r="AW15" i="126"/>
  <c r="BO25" i="126"/>
  <c r="A14" i="126"/>
  <c r="A15" i="126" s="1"/>
  <c r="A16" i="126" s="1"/>
  <c r="A17" i="126" s="1"/>
  <c r="A18" i="126" s="1"/>
  <c r="A19" i="126" s="1"/>
  <c r="A20" i="126" s="1"/>
  <c r="R15" i="126"/>
  <c r="F15" i="126"/>
  <c r="AO15" i="126"/>
  <c r="BP15" i="126"/>
  <c r="BY15" i="126"/>
  <c r="CI15" i="126"/>
  <c r="O16" i="87"/>
  <c r="S15" i="87"/>
  <c r="O15" i="87"/>
  <c r="Z14" i="87"/>
  <c r="AI14" i="87"/>
  <c r="AE14" i="87"/>
  <c r="U14" i="87"/>
  <c r="P14" i="87"/>
  <c r="K14" i="87"/>
  <c r="A14" i="87"/>
  <c r="A15" i="87" s="1"/>
  <c r="A16" i="87" s="1"/>
  <c r="T13" i="87"/>
  <c r="F13" i="87"/>
  <c r="BM11" i="87"/>
  <c r="AO7" i="87"/>
  <c r="BI7" i="87"/>
  <c r="AE7" i="87"/>
  <c r="U7" i="87"/>
  <c r="P7" i="87"/>
  <c r="K7" i="87"/>
  <c r="F7" i="87"/>
  <c r="A7" i="87"/>
  <c r="W62" i="86"/>
  <c r="V62" i="86"/>
  <c r="U62" i="86"/>
  <c r="T62" i="86"/>
  <c r="S62" i="86"/>
  <c r="Q62" i="86"/>
  <c r="N62" i="86"/>
  <c r="M62" i="86"/>
  <c r="L62" i="86"/>
  <c r="I62" i="86"/>
  <c r="H62" i="86"/>
  <c r="G62" i="86"/>
  <c r="F62" i="86"/>
  <c r="E62" i="86"/>
  <c r="AG62" i="86"/>
  <c r="AE62" i="86"/>
  <c r="AD62" i="86"/>
  <c r="AT61" i="86"/>
  <c r="P60" i="86"/>
  <c r="P62" i="86" s="1"/>
  <c r="O60" i="86"/>
  <c r="R56" i="86"/>
  <c r="P51" i="86"/>
  <c r="O51" i="86"/>
  <c r="N22" i="200" l="1"/>
  <c r="AB22" i="200" s="1"/>
  <c r="N23" i="200"/>
  <c r="AB23" i="200" s="1"/>
  <c r="U15" i="87"/>
  <c r="AE15" i="87"/>
  <c r="K15" i="87"/>
  <c r="F14" i="87"/>
  <c r="F15" i="87" s="1"/>
  <c r="Z15" i="87"/>
  <c r="Z16" i="87" s="1"/>
  <c r="AI42" i="86"/>
  <c r="BL15" i="126"/>
  <c r="Z16" i="126"/>
  <c r="AO16" i="126"/>
  <c r="AO17" i="126" s="1"/>
  <c r="F38" i="86"/>
  <c r="BS23" i="126"/>
  <c r="BT16" i="126"/>
  <c r="R62" i="86"/>
  <c r="R66" i="86" s="1"/>
  <c r="Q66" i="86" s="1"/>
  <c r="AD66" i="86"/>
  <c r="F66" i="86"/>
  <c r="AG66" i="86"/>
  <c r="G66" i="86"/>
  <c r="T66" i="86"/>
  <c r="AD57" i="87"/>
  <c r="F16" i="126"/>
  <c r="AF56" i="86"/>
  <c r="B7" i="183"/>
  <c r="BM31" i="87"/>
  <c r="AJ56" i="86"/>
  <c r="AD59" i="87"/>
  <c r="O62" i="86"/>
  <c r="N66" i="86"/>
  <c r="T15" i="87"/>
  <c r="E66" i="86"/>
  <c r="M66" i="86"/>
  <c r="L66" i="86" s="1"/>
  <c r="H51" i="86"/>
  <c r="N16" i="200" s="1"/>
  <c r="A21" i="126"/>
  <c r="A22" i="126" s="1"/>
  <c r="A23" i="126" s="1"/>
  <c r="A24" i="126" s="1"/>
  <c r="CI16" i="126"/>
  <c r="BY16" i="126"/>
  <c r="M15" i="126"/>
  <c r="R16" i="126"/>
  <c r="BP16" i="126"/>
  <c r="AW16" i="126"/>
  <c r="AW17" i="126" s="1"/>
  <c r="AX17" i="126"/>
  <c r="A47" i="126"/>
  <c r="A48" i="126" s="1"/>
  <c r="A49" i="126" s="1"/>
  <c r="A17" i="87"/>
  <c r="I66" i="86"/>
  <c r="AH66" i="86"/>
  <c r="S66" i="86"/>
  <c r="P66" i="86"/>
  <c r="R15" i="87"/>
  <c r="AB16" i="200" l="1"/>
  <c r="P15" i="87"/>
  <c r="F16" i="87"/>
  <c r="AE16" i="87"/>
  <c r="Z17" i="87"/>
  <c r="T17" i="87"/>
  <c r="T19" i="87" s="1"/>
  <c r="K16" i="87"/>
  <c r="U16" i="87"/>
  <c r="AO18" i="126"/>
  <c r="BP17" i="126"/>
  <c r="BY17" i="126"/>
  <c r="BY18" i="126" s="1"/>
  <c r="F17" i="126"/>
  <c r="BL16" i="126"/>
  <c r="AX18" i="126"/>
  <c r="CI17" i="126"/>
  <c r="Z17" i="126"/>
  <c r="AV22" i="126"/>
  <c r="AV23" i="126" s="1"/>
  <c r="AW26" i="126" s="1"/>
  <c r="BS27" i="126"/>
  <c r="BS29" i="126" s="1"/>
  <c r="O66" i="86"/>
  <c r="H66" i="86"/>
  <c r="M16" i="126"/>
  <c r="BT17" i="126"/>
  <c r="A25" i="126"/>
  <c r="A26" i="126" s="1"/>
  <c r="A27" i="126" s="1"/>
  <c r="A18" i="87"/>
  <c r="A19" i="87" s="1"/>
  <c r="A20" i="87" s="1"/>
  <c r="A21" i="87" s="1"/>
  <c r="AS46" i="86"/>
  <c r="AW28" i="126" l="1"/>
  <c r="AW29" i="126" s="1"/>
  <c r="K17" i="87"/>
  <c r="Z18" i="87"/>
  <c r="F17" i="87"/>
  <c r="U17" i="87"/>
  <c r="AE17" i="87"/>
  <c r="P16" i="87"/>
  <c r="M17" i="126"/>
  <c r="P13" i="127"/>
  <c r="C40" i="126" s="1"/>
  <c r="BT18" i="126"/>
  <c r="Z18" i="126"/>
  <c r="AX19" i="126"/>
  <c r="F18" i="126"/>
  <c r="BP18" i="126"/>
  <c r="CI18" i="126"/>
  <c r="BL17" i="126"/>
  <c r="T21" i="87"/>
  <c r="T101" i="87" s="1"/>
  <c r="AG46" i="86"/>
  <c r="AQ46" i="86" s="1"/>
  <c r="A28" i="126"/>
  <c r="A22" i="87"/>
  <c r="AS45" i="86"/>
  <c r="R45" i="86"/>
  <c r="AI45" i="86"/>
  <c r="AF45" i="86"/>
  <c r="AS43" i="86"/>
  <c r="AG43" i="86"/>
  <c r="AQ43" i="86" s="1"/>
  <c r="R42" i="86"/>
  <c r="AS41" i="86"/>
  <c r="P15" i="127" l="1"/>
  <c r="AV45" i="206" s="1"/>
  <c r="P30" i="126"/>
  <c r="Q30" i="126" s="1"/>
  <c r="J43" i="126"/>
  <c r="K43" i="126" s="1"/>
  <c r="F35" i="86" s="1"/>
  <c r="U18" i="87"/>
  <c r="P17" i="87"/>
  <c r="Z19" i="87"/>
  <c r="AE18" i="87"/>
  <c r="F18" i="87"/>
  <c r="K18" i="87"/>
  <c r="BL18" i="126"/>
  <c r="CI19" i="126"/>
  <c r="F19" i="126"/>
  <c r="Z19" i="126"/>
  <c r="BP19" i="126"/>
  <c r="AX20" i="126"/>
  <c r="BT19" i="126"/>
  <c r="M18" i="126"/>
  <c r="A23" i="87"/>
  <c r="A24" i="87" s="1"/>
  <c r="A25" i="87" s="1"/>
  <c r="A26" i="87" s="1"/>
  <c r="A27" i="87" s="1"/>
  <c r="A28" i="87" s="1"/>
  <c r="A29" i="87" s="1"/>
  <c r="A30" i="87" s="1"/>
  <c r="A31" i="87" s="1"/>
  <c r="A32" i="87" s="1"/>
  <c r="A33" i="87" s="1"/>
  <c r="A34" i="87" s="1"/>
  <c r="A35" i="87" s="1"/>
  <c r="AS37" i="86"/>
  <c r="P35" i="86"/>
  <c r="AS34" i="86"/>
  <c r="AS33" i="86"/>
  <c r="AS32" i="86"/>
  <c r="P32" i="126" l="1"/>
  <c r="Q32" i="126" s="1"/>
  <c r="P17" i="127"/>
  <c r="J47" i="126"/>
  <c r="K47" i="126" s="1"/>
  <c r="F44" i="86" s="1"/>
  <c r="C42" i="126"/>
  <c r="K19" i="87"/>
  <c r="AE19" i="87"/>
  <c r="P18" i="87"/>
  <c r="F19" i="87"/>
  <c r="Z20" i="87"/>
  <c r="U19" i="87"/>
  <c r="M19" i="126"/>
  <c r="AX21" i="126"/>
  <c r="F20" i="126"/>
  <c r="BT20" i="126"/>
  <c r="Z20" i="126"/>
  <c r="CI20" i="126"/>
  <c r="BL19" i="126"/>
  <c r="L45" i="126"/>
  <c r="AT37" i="86"/>
  <c r="AV30" i="86"/>
  <c r="W30" i="86"/>
  <c r="V30" i="86"/>
  <c r="T30" i="86"/>
  <c r="S30" i="86"/>
  <c r="R30" i="86"/>
  <c r="Q30" i="86"/>
  <c r="P30" i="86"/>
  <c r="O30" i="86"/>
  <c r="M30" i="86"/>
  <c r="L30" i="86"/>
  <c r="J30" i="86"/>
  <c r="I30" i="86"/>
  <c r="H30" i="86"/>
  <c r="F30" i="86"/>
  <c r="E30" i="86"/>
  <c r="AL30" i="86"/>
  <c r="AH30" i="86"/>
  <c r="AG30" i="86"/>
  <c r="AF30" i="86"/>
  <c r="AE30" i="86"/>
  <c r="D30" i="86"/>
  <c r="AS29" i="86"/>
  <c r="AS28" i="86"/>
  <c r="AI28" i="86"/>
  <c r="AS27" i="86"/>
  <c r="AS26" i="86"/>
  <c r="W21" i="86"/>
  <c r="V21" i="86"/>
  <c r="U21" i="86"/>
  <c r="T21" i="86"/>
  <c r="S21" i="86"/>
  <c r="R21" i="86"/>
  <c r="Q21" i="86"/>
  <c r="P21" i="86"/>
  <c r="O21" i="86"/>
  <c r="N21" i="86"/>
  <c r="M21" i="86"/>
  <c r="J21" i="86"/>
  <c r="I21" i="86"/>
  <c r="H21" i="86"/>
  <c r="AL21" i="86"/>
  <c r="AI21" i="86"/>
  <c r="AH21" i="86"/>
  <c r="AG21" i="86"/>
  <c r="AE21" i="86"/>
  <c r="D21" i="86"/>
  <c r="AS20" i="86"/>
  <c r="AS19" i="86"/>
  <c r="AV18" i="86"/>
  <c r="AS18" i="86"/>
  <c r="AS17" i="86"/>
  <c r="A17" i="86"/>
  <c r="AR1" i="86"/>
  <c r="AW45" i="206" l="1"/>
  <c r="AW48" i="206" s="1"/>
  <c r="AW50" i="206" s="1"/>
  <c r="AZ44" i="86"/>
  <c r="AZ47" i="86" s="1"/>
  <c r="AV48" i="206"/>
  <c r="AV50" i="206" s="1"/>
  <c r="AS21" i="86"/>
  <c r="AS30" i="86"/>
  <c r="L48" i="126"/>
  <c r="L50" i="126" s="1"/>
  <c r="U20" i="87"/>
  <c r="F20" i="87"/>
  <c r="AE20" i="87"/>
  <c r="K20" i="87"/>
  <c r="Z21" i="87"/>
  <c r="P19" i="87"/>
  <c r="BP20" i="126"/>
  <c r="CI21" i="126"/>
  <c r="AX22" i="126"/>
  <c r="BL20" i="126"/>
  <c r="Z21" i="126"/>
  <c r="G44" i="86"/>
  <c r="F21" i="126"/>
  <c r="M20" i="126"/>
  <c r="R47" i="86"/>
  <c r="R49" i="86" s="1"/>
  <c r="AF47" i="86"/>
  <c r="P47" i="86"/>
  <c r="P49" i="86" s="1"/>
  <c r="AG47" i="86"/>
  <c r="AG49" i="86" s="1"/>
  <c r="A18" i="86"/>
  <c r="A19" i="86" s="1"/>
  <c r="A20" i="86" s="1"/>
  <c r="A21" i="86" s="1"/>
  <c r="AE47" i="86"/>
  <c r="AP21" i="86"/>
  <c r="AI30" i="86"/>
  <c r="G30" i="86"/>
  <c r="AT18" i="86"/>
  <c r="AR37" i="86"/>
  <c r="M39" i="200" l="1"/>
  <c r="M23" i="200"/>
  <c r="M25" i="200"/>
  <c r="AG70" i="86"/>
  <c r="AG77" i="86" s="1"/>
  <c r="R70" i="86"/>
  <c r="R77" i="86" s="1"/>
  <c r="P70" i="86"/>
  <c r="P77" i="86" s="1"/>
  <c r="P20" i="87"/>
  <c r="K21" i="87"/>
  <c r="F21" i="87"/>
  <c r="Z22" i="87"/>
  <c r="AE21" i="87"/>
  <c r="U21" i="87"/>
  <c r="BL21" i="126"/>
  <c r="M21" i="126"/>
  <c r="CI22" i="126"/>
  <c r="F22" i="126"/>
  <c r="Z22" i="126"/>
  <c r="AX23" i="126"/>
  <c r="BP21" i="126"/>
  <c r="AU18" i="86"/>
  <c r="AF49" i="86"/>
  <c r="AE49" i="86"/>
  <c r="AT29" i="86"/>
  <c r="AR29" i="86"/>
  <c r="AR18" i="86"/>
  <c r="AA25" i="200" l="1"/>
  <c r="AA23" i="200"/>
  <c r="AA39" i="200"/>
  <c r="AW18" i="86"/>
  <c r="I21" i="207" s="1"/>
  <c r="I24" i="207" s="1"/>
  <c r="I13" i="207"/>
  <c r="I19" i="207" s="1"/>
  <c r="M38" i="200"/>
  <c r="M37" i="200"/>
  <c r="AE70" i="86"/>
  <c r="AE77" i="86" s="1"/>
  <c r="U22" i="87"/>
  <c r="Z23" i="87"/>
  <c r="K22" i="87"/>
  <c r="AE22" i="87"/>
  <c r="F22" i="87"/>
  <c r="P21" i="87"/>
  <c r="F23" i="126"/>
  <c r="AX24" i="126"/>
  <c r="M22" i="126"/>
  <c r="BL22" i="126"/>
  <c r="BP22" i="126"/>
  <c r="Z23" i="126"/>
  <c r="CI23" i="126"/>
  <c r="AU29" i="86"/>
  <c r="AA37" i="200" l="1"/>
  <c r="AA38" i="200"/>
  <c r="I26" i="207"/>
  <c r="J13" i="207"/>
  <c r="I27" i="207"/>
  <c r="Z24" i="87"/>
  <c r="AE23" i="87"/>
  <c r="F23" i="87"/>
  <c r="K23" i="87"/>
  <c r="U23" i="87"/>
  <c r="AX25" i="126"/>
  <c r="BL23" i="126"/>
  <c r="Z24" i="126"/>
  <c r="BP23" i="126"/>
  <c r="CI24" i="126"/>
  <c r="M23" i="126"/>
  <c r="F24" i="126"/>
  <c r="AW29" i="86"/>
  <c r="I28" i="207" l="1"/>
  <c r="AZ18" i="86" s="1"/>
  <c r="K24" i="87"/>
  <c r="AE24" i="87"/>
  <c r="Z25" i="87"/>
  <c r="U24" i="87"/>
  <c r="F24" i="87"/>
  <c r="BP24" i="126"/>
  <c r="BL24" i="126"/>
  <c r="M24" i="126"/>
  <c r="F25" i="126"/>
  <c r="CI25" i="126"/>
  <c r="AX26" i="126"/>
  <c r="BA18" i="86" l="1"/>
  <c r="E23" i="127"/>
  <c r="F23" i="127" s="1"/>
  <c r="U25" i="87"/>
  <c r="AE25" i="87"/>
  <c r="F25" i="87"/>
  <c r="Z26" i="87"/>
  <c r="K25" i="87"/>
  <c r="F26" i="126"/>
  <c r="BL25" i="126"/>
  <c r="AX27" i="126"/>
  <c r="CI26" i="126"/>
  <c r="BP25" i="126"/>
  <c r="AR43" i="86"/>
  <c r="L52" i="126"/>
  <c r="P19" i="127"/>
  <c r="AI47" i="86"/>
  <c r="AU37" i="86"/>
  <c r="V15" i="126"/>
  <c r="W66" i="86"/>
  <c r="V66" i="86"/>
  <c r="U66" i="86"/>
  <c r="A17" i="127"/>
  <c r="A18" i="127" s="1"/>
  <c r="A19" i="127" s="1"/>
  <c r="A20" i="127" s="1"/>
  <c r="A21" i="127" s="1"/>
  <c r="A22" i="127" s="1"/>
  <c r="A23" i="127" s="1"/>
  <c r="A24" i="127" s="1"/>
  <c r="A25" i="127" s="1"/>
  <c r="C37" i="192" l="1"/>
  <c r="D37" i="192" s="1"/>
  <c r="K26" i="87"/>
  <c r="Z27" i="87"/>
  <c r="U26" i="87"/>
  <c r="F26" i="87"/>
  <c r="AE26" i="87"/>
  <c r="V16" i="126"/>
  <c r="CI27" i="126"/>
  <c r="BL26" i="126"/>
  <c r="BP26" i="126"/>
  <c r="F45" i="86"/>
  <c r="AX28" i="126"/>
  <c r="F27" i="126"/>
  <c r="AI49" i="86"/>
  <c r="AW37" i="86"/>
  <c r="AT43" i="86"/>
  <c r="P20" i="127"/>
  <c r="P21" i="127" s="1"/>
  <c r="L11" i="200" s="1"/>
  <c r="L53" i="126"/>
  <c r="L59" i="126" s="1"/>
  <c r="R17" i="126"/>
  <c r="M41" i="200" l="1"/>
  <c r="L13" i="200"/>
  <c r="L29" i="200"/>
  <c r="L45" i="200"/>
  <c r="L26" i="200"/>
  <c r="L50" i="200"/>
  <c r="L12" i="200"/>
  <c r="L28" i="200"/>
  <c r="L44" i="200"/>
  <c r="L22" i="200"/>
  <c r="L19" i="200"/>
  <c r="L43" i="200"/>
  <c r="L37" i="200"/>
  <c r="L38" i="200"/>
  <c r="L20" i="200"/>
  <c r="L52" i="200"/>
  <c r="L27" i="200"/>
  <c r="L25" i="200"/>
  <c r="L14" i="200"/>
  <c r="L51" i="200"/>
  <c r="L40" i="200"/>
  <c r="L15" i="200"/>
  <c r="L17" i="200"/>
  <c r="L33" i="200"/>
  <c r="L49" i="200"/>
  <c r="L30" i="200"/>
  <c r="L31" i="200"/>
  <c r="L16" i="200"/>
  <c r="L32" i="200"/>
  <c r="L48" i="200"/>
  <c r="L34" i="200"/>
  <c r="L23" i="200"/>
  <c r="L47" i="200"/>
  <c r="L21" i="200"/>
  <c r="L39" i="200"/>
  <c r="L36" i="200"/>
  <c r="L42" i="200"/>
  <c r="L41" i="200"/>
  <c r="L46" i="200"/>
  <c r="L24" i="200"/>
  <c r="L18" i="200"/>
  <c r="L35" i="200"/>
  <c r="K27" i="87"/>
  <c r="Z28" i="87"/>
  <c r="AE27" i="87"/>
  <c r="U27" i="87"/>
  <c r="F28" i="126"/>
  <c r="CI28" i="126"/>
  <c r="BP27" i="126"/>
  <c r="AX29" i="126"/>
  <c r="F37" i="192"/>
  <c r="BL27" i="126"/>
  <c r="V17" i="126"/>
  <c r="AU43" i="86"/>
  <c r="AW43" i="86" s="1"/>
  <c r="R18" i="126"/>
  <c r="AO19" i="126"/>
  <c r="AC35" i="200" l="1"/>
  <c r="AC12" i="200"/>
  <c r="AC49" i="200"/>
  <c r="AA41" i="200"/>
  <c r="L54" i="200"/>
  <c r="O52" i="200"/>
  <c r="H15" i="200"/>
  <c r="Q15" i="200" s="1"/>
  <c r="H31" i="200"/>
  <c r="Q31" i="200" s="1"/>
  <c r="H50" i="200"/>
  <c r="Q50" i="200" s="1"/>
  <c r="H11" i="200"/>
  <c r="Q11" i="200" s="1"/>
  <c r="H24" i="200"/>
  <c r="Q24" i="200" s="1"/>
  <c r="H42" i="200"/>
  <c r="Q42" i="200" s="1"/>
  <c r="H26" i="200"/>
  <c r="Q26" i="200" s="1"/>
  <c r="H17" i="200"/>
  <c r="Q17" i="200" s="1"/>
  <c r="H33" i="200"/>
  <c r="Q33" i="200" s="1"/>
  <c r="H13" i="200"/>
  <c r="Q13" i="200" s="1"/>
  <c r="H19" i="200"/>
  <c r="Q19" i="200" s="1"/>
  <c r="H18" i="200"/>
  <c r="Q18" i="200" s="1"/>
  <c r="H28" i="200"/>
  <c r="Q28" i="200" s="1"/>
  <c r="H44" i="200"/>
  <c r="Q44" i="200" s="1"/>
  <c r="H39" i="200"/>
  <c r="Q39" i="200" s="1"/>
  <c r="O50" i="200"/>
  <c r="H23" i="200"/>
  <c r="Q23" i="200" s="1"/>
  <c r="H30" i="200"/>
  <c r="Q30" i="200" s="1"/>
  <c r="H32" i="200"/>
  <c r="Q32" i="200" s="1"/>
  <c r="H36" i="200"/>
  <c r="Q36" i="200" s="1"/>
  <c r="H43" i="200"/>
  <c r="Q43" i="200" s="1"/>
  <c r="H27" i="200"/>
  <c r="Q27" i="200" s="1"/>
  <c r="H45" i="200"/>
  <c r="Q45" i="200" s="1"/>
  <c r="H40" i="200"/>
  <c r="Q40" i="200" s="1"/>
  <c r="H20" i="200"/>
  <c r="Q20" i="200" s="1"/>
  <c r="H38" i="200"/>
  <c r="Q38" i="200" s="1"/>
  <c r="H14" i="200"/>
  <c r="Q14" i="200" s="1"/>
  <c r="H29" i="200"/>
  <c r="Q29" i="200" s="1"/>
  <c r="H47" i="200"/>
  <c r="Q47" i="200" s="1"/>
  <c r="H48" i="200"/>
  <c r="Q48" i="200" s="1"/>
  <c r="O25" i="200"/>
  <c r="H37" i="200"/>
  <c r="Q37" i="200" s="1"/>
  <c r="H52" i="200"/>
  <c r="Q52" i="200" s="1"/>
  <c r="H46" i="200"/>
  <c r="Q46" i="200" s="1"/>
  <c r="H21" i="200"/>
  <c r="Q21" i="200" s="1"/>
  <c r="H22" i="200"/>
  <c r="Q22" i="200" s="1"/>
  <c r="O23" i="200"/>
  <c r="H41" i="200"/>
  <c r="Q41" i="200" s="1"/>
  <c r="H16" i="200"/>
  <c r="Q16" i="200" s="1"/>
  <c r="H51" i="200"/>
  <c r="Q51" i="200" s="1"/>
  <c r="H25" i="200"/>
  <c r="Q25" i="200" s="1"/>
  <c r="H34" i="200"/>
  <c r="Q34" i="200" s="1"/>
  <c r="O47" i="200"/>
  <c r="O31" i="200"/>
  <c r="O39" i="200"/>
  <c r="O37" i="200"/>
  <c r="C64" i="86"/>
  <c r="AC65" i="86" s="1"/>
  <c r="U28" i="87"/>
  <c r="U29" i="87" s="1"/>
  <c r="U30" i="87" s="1"/>
  <c r="Z29" i="87"/>
  <c r="AE28" i="87"/>
  <c r="K28" i="87"/>
  <c r="AX30" i="126"/>
  <c r="BL28" i="126"/>
  <c r="AO20" i="126"/>
  <c r="CI29" i="126"/>
  <c r="BP28" i="126"/>
  <c r="F29" i="126"/>
  <c r="R19" i="126"/>
  <c r="V18" i="126"/>
  <c r="G37" i="192"/>
  <c r="D21" i="127"/>
  <c r="C40" i="127" s="1"/>
  <c r="AO21" i="126"/>
  <c r="Z25" i="126"/>
  <c r="L55" i="200" l="1"/>
  <c r="L56" i="200" s="1"/>
  <c r="AC52" i="200"/>
  <c r="AC23" i="200"/>
  <c r="AC31" i="200"/>
  <c r="AC25" i="200"/>
  <c r="AC39" i="200"/>
  <c r="AC50" i="200"/>
  <c r="AC47" i="200"/>
  <c r="AC37" i="200"/>
  <c r="L57" i="200"/>
  <c r="X65" i="86"/>
  <c r="X75" i="86" s="1"/>
  <c r="K65" i="86"/>
  <c r="R23" i="200"/>
  <c r="R39" i="200"/>
  <c r="R50" i="200"/>
  <c r="AE65" i="86"/>
  <c r="AE75" i="86" s="1"/>
  <c r="AO65" i="86"/>
  <c r="AO75" i="86" s="1"/>
  <c r="R31" i="200"/>
  <c r="R47" i="200"/>
  <c r="R25" i="200"/>
  <c r="R37" i="200"/>
  <c r="H54" i="200"/>
  <c r="P65" i="86"/>
  <c r="P75" i="86" s="1"/>
  <c r="R52" i="200"/>
  <c r="R65" i="86"/>
  <c r="R75" i="86" s="1"/>
  <c r="AG65" i="86"/>
  <c r="AG75" i="86" s="1"/>
  <c r="Z30" i="87"/>
  <c r="AE29" i="87"/>
  <c r="BP29" i="126"/>
  <c r="AO22" i="126"/>
  <c r="V19" i="126"/>
  <c r="BL29" i="126"/>
  <c r="Z26" i="126"/>
  <c r="F30" i="126"/>
  <c r="CI30" i="126"/>
  <c r="R20" i="126"/>
  <c r="M25" i="126"/>
  <c r="H55" i="200" l="1"/>
  <c r="Q54" i="200"/>
  <c r="Z31" i="87"/>
  <c r="BL30" i="126"/>
  <c r="M26" i="126"/>
  <c r="R21" i="126"/>
  <c r="F31" i="126"/>
  <c r="AO23" i="126"/>
  <c r="BP30" i="126"/>
  <c r="CI31" i="126"/>
  <c r="Z27" i="126"/>
  <c r="V20" i="126"/>
  <c r="H56" i="200" l="1"/>
  <c r="O60" i="200"/>
  <c r="H57" i="200"/>
  <c r="G57" i="200" s="1"/>
  <c r="O59" i="200"/>
  <c r="Q55" i="200"/>
  <c r="Z32" i="87"/>
  <c r="U31" i="87"/>
  <c r="R22" i="126"/>
  <c r="Z28" i="126"/>
  <c r="F32" i="126"/>
  <c r="M27" i="126"/>
  <c r="V21" i="126"/>
  <c r="CI32" i="126"/>
  <c r="AO24" i="126"/>
  <c r="BL31" i="126"/>
  <c r="F21" i="86"/>
  <c r="U32" i="87" l="1"/>
  <c r="Z33" i="87"/>
  <c r="CI33" i="126"/>
  <c r="M28" i="126"/>
  <c r="Z29" i="126"/>
  <c r="AO25" i="126"/>
  <c r="V22" i="126"/>
  <c r="F33" i="126"/>
  <c r="R23" i="126"/>
  <c r="Z34" i="87" l="1"/>
  <c r="U33" i="87"/>
  <c r="M29" i="126"/>
  <c r="F34" i="126"/>
  <c r="AO26" i="126"/>
  <c r="R24" i="126"/>
  <c r="V23" i="126"/>
  <c r="Z30" i="126"/>
  <c r="CI34" i="126"/>
  <c r="U34" i="87" l="1"/>
  <c r="Z35" i="87"/>
  <c r="Z31" i="126"/>
  <c r="R25" i="126"/>
  <c r="CI35" i="126"/>
  <c r="AO27" i="126"/>
  <c r="M30" i="126"/>
  <c r="Z36" i="87" l="1"/>
  <c r="U35" i="87"/>
  <c r="AO28" i="126"/>
  <c r="R26" i="126"/>
  <c r="M31" i="126"/>
  <c r="Z32" i="126"/>
  <c r="U36" i="87" l="1"/>
  <c r="U37" i="87" s="1"/>
  <c r="U38" i="87" s="1"/>
  <c r="U39" i="87" s="1"/>
  <c r="U40" i="87" s="1"/>
  <c r="U41" i="87" s="1"/>
  <c r="U42" i="87" s="1"/>
  <c r="U43" i="87" s="1"/>
  <c r="U44" i="87" s="1"/>
  <c r="U45" i="87" s="1"/>
  <c r="U46" i="87" s="1"/>
  <c r="U47" i="87" s="1"/>
  <c r="U48" i="87" s="1"/>
  <c r="U49" i="87" s="1"/>
  <c r="U50" i="87" s="1"/>
  <c r="U51" i="87" s="1"/>
  <c r="U52" i="87" s="1"/>
  <c r="U53" i="87" s="1"/>
  <c r="U54" i="87" s="1"/>
  <c r="U55" i="87" s="1"/>
  <c r="U56" i="87" s="1"/>
  <c r="U57" i="87" s="1"/>
  <c r="U58" i="87" s="1"/>
  <c r="U59" i="87" s="1"/>
  <c r="U60" i="87" s="1"/>
  <c r="U61" i="87" s="1"/>
  <c r="U62" i="87" s="1"/>
  <c r="U63" i="87" s="1"/>
  <c r="U64" i="87" s="1"/>
  <c r="U65" i="87" s="1"/>
  <c r="U66" i="87" s="1"/>
  <c r="U67" i="87" s="1"/>
  <c r="U68" i="87" s="1"/>
  <c r="Z37" i="87"/>
  <c r="Z33" i="126"/>
  <c r="R27" i="126"/>
  <c r="AO29" i="126"/>
  <c r="F35" i="126"/>
  <c r="Z38" i="87" l="1"/>
  <c r="R28" i="126"/>
  <c r="Z34" i="126"/>
  <c r="J27" i="126"/>
  <c r="A29" i="126"/>
  <c r="F36" i="126"/>
  <c r="Z39" i="87" l="1"/>
  <c r="Z35" i="126"/>
  <c r="F37" i="126"/>
  <c r="R29" i="126"/>
  <c r="BS31" i="126"/>
  <c r="BS59" i="126" s="1"/>
  <c r="A30" i="126"/>
  <c r="A31" i="126" s="1"/>
  <c r="A32" i="126" s="1"/>
  <c r="Z40" i="87" l="1"/>
  <c r="F38" i="126"/>
  <c r="R30" i="126"/>
  <c r="Z36" i="126"/>
  <c r="BP31" i="126"/>
  <c r="AD61" i="87"/>
  <c r="AD101" i="87" s="1"/>
  <c r="Z41" i="87" l="1"/>
  <c r="Z37" i="126"/>
  <c r="R31" i="126"/>
  <c r="Z42" i="87" l="1"/>
  <c r="R32" i="126"/>
  <c r="Z38" i="126"/>
  <c r="Z43" i="87" l="1"/>
  <c r="Z39" i="126"/>
  <c r="Z44" i="87" l="1"/>
  <c r="Z40" i="126"/>
  <c r="Z45" i="87" l="1"/>
  <c r="Z41" i="126"/>
  <c r="F39" i="126"/>
  <c r="M32" i="126"/>
  <c r="A33" i="126"/>
  <c r="A34" i="126" s="1"/>
  <c r="A35" i="126" s="1"/>
  <c r="A36" i="126" s="1"/>
  <c r="A37" i="126" s="1"/>
  <c r="A38" i="126" s="1"/>
  <c r="A39" i="126" s="1"/>
  <c r="A40" i="126" s="1"/>
  <c r="A41" i="126" s="1"/>
  <c r="A42" i="126" s="1"/>
  <c r="A43" i="126" s="1"/>
  <c r="A44" i="126" s="1"/>
  <c r="Z46" i="87" l="1"/>
  <c r="M33" i="126"/>
  <c r="F40" i="126"/>
  <c r="Z42" i="126"/>
  <c r="A22" i="86"/>
  <c r="A23" i="86" s="1"/>
  <c r="A24" i="86" s="1"/>
  <c r="A25" i="86" s="1"/>
  <c r="A26" i="86" s="1"/>
  <c r="A27" i="86" s="1"/>
  <c r="A28" i="86" s="1"/>
  <c r="A29" i="86" s="1"/>
  <c r="A30" i="86" s="1"/>
  <c r="A31" i="86" s="1"/>
  <c r="A32" i="86" s="1"/>
  <c r="A33" i="86" s="1"/>
  <c r="A34" i="86" s="1"/>
  <c r="A35" i="86" s="1"/>
  <c r="A36" i="86" s="1"/>
  <c r="A37" i="86" s="1"/>
  <c r="A38" i="86" s="1"/>
  <c r="A39" i="86" s="1"/>
  <c r="A40" i="86" s="1"/>
  <c r="A41" i="86" s="1"/>
  <c r="A42" i="86" s="1"/>
  <c r="A43" i="86" s="1"/>
  <c r="A44" i="86" s="1"/>
  <c r="A45" i="86" s="1"/>
  <c r="A46" i="86" s="1"/>
  <c r="A47" i="86" s="1"/>
  <c r="A48" i="86" s="1"/>
  <c r="A49" i="86" s="1"/>
  <c r="A50" i="86" s="1"/>
  <c r="A51" i="86" s="1"/>
  <c r="A52" i="86" s="1"/>
  <c r="A53" i="86" s="1"/>
  <c r="A54" i="86" s="1"/>
  <c r="A55" i="86" s="1"/>
  <c r="A56" i="86" s="1"/>
  <c r="A57" i="86" s="1"/>
  <c r="A58" i="86" s="1"/>
  <c r="A59" i="86" s="1"/>
  <c r="A60" i="86" s="1"/>
  <c r="A61" i="86" s="1"/>
  <c r="A62" i="86" s="1"/>
  <c r="Z47" i="87" l="1"/>
  <c r="F41" i="126"/>
  <c r="M34" i="126"/>
  <c r="Z48" i="87" l="1"/>
  <c r="M35" i="126"/>
  <c r="F42" i="126"/>
  <c r="AR46" i="86"/>
  <c r="AT46" i="86"/>
  <c r="Z49" i="87" l="1"/>
  <c r="F43" i="126"/>
  <c r="M36" i="126"/>
  <c r="AU46" i="86"/>
  <c r="Z50" i="87" l="1"/>
  <c r="M37" i="126"/>
  <c r="F44" i="126"/>
  <c r="AW46" i="86"/>
  <c r="Z51" i="87" l="1"/>
  <c r="F45" i="126"/>
  <c r="M38" i="126"/>
  <c r="Z52" i="87" l="1"/>
  <c r="M39" i="126"/>
  <c r="F46" i="126"/>
  <c r="Z53" i="87" l="1"/>
  <c r="F47" i="126"/>
  <c r="M40" i="126"/>
  <c r="Z54" i="87" l="1"/>
  <c r="M41" i="126"/>
  <c r="F48" i="126"/>
  <c r="Z55" i="87" l="1"/>
  <c r="F49" i="126"/>
  <c r="M42" i="126"/>
  <c r="Q27" i="126"/>
  <c r="Z56" i="87" l="1"/>
  <c r="M43" i="126"/>
  <c r="F50" i="126"/>
  <c r="G17" i="86"/>
  <c r="Q33" i="126"/>
  <c r="G35" i="86"/>
  <c r="Z57" i="87" l="1"/>
  <c r="Q48" i="126"/>
  <c r="Q49" i="126" s="1"/>
  <c r="F51" i="126"/>
  <c r="M44" i="126"/>
  <c r="G21" i="86"/>
  <c r="Z58" i="87" l="1"/>
  <c r="Q50" i="126"/>
  <c r="Q59" i="126" s="1"/>
  <c r="F52" i="126"/>
  <c r="M45" i="126"/>
  <c r="G45" i="86"/>
  <c r="Z59" i="87" l="1"/>
  <c r="M46" i="126"/>
  <c r="F53" i="126"/>
  <c r="G47" i="86"/>
  <c r="Z60" i="87" l="1"/>
  <c r="M47" i="126"/>
  <c r="G49" i="86"/>
  <c r="M15" i="200" l="1"/>
  <c r="G70" i="86"/>
  <c r="G65" i="86" s="1"/>
  <c r="Z61" i="87"/>
  <c r="M48" i="126"/>
  <c r="AA15" i="200" l="1"/>
  <c r="O15" i="200"/>
  <c r="G77" i="86"/>
  <c r="G75" i="86"/>
  <c r="Z62" i="87"/>
  <c r="M49" i="126"/>
  <c r="O29" i="174"/>
  <c r="O17" i="174"/>
  <c r="O23" i="174"/>
  <c r="O22" i="174"/>
  <c r="O21" i="174"/>
  <c r="AC15" i="200" l="1"/>
  <c r="R15" i="200"/>
  <c r="Z63" i="87"/>
  <c r="M50" i="126"/>
  <c r="C30" i="192"/>
  <c r="C17" i="192"/>
  <c r="C25" i="192"/>
  <c r="C18" i="192"/>
  <c r="C24" i="192"/>
  <c r="D18" i="87"/>
  <c r="C26" i="192"/>
  <c r="D25" i="87"/>
  <c r="C14" i="192"/>
  <c r="D19" i="87"/>
  <c r="D20" i="87"/>
  <c r="D15" i="87"/>
  <c r="D16" i="87"/>
  <c r="D14" i="87"/>
  <c r="Z64" i="87" l="1"/>
  <c r="E25" i="87"/>
  <c r="D30" i="192"/>
  <c r="G18" i="192"/>
  <c r="D17" i="192"/>
  <c r="D25" i="192"/>
  <c r="G30" i="192"/>
  <c r="G25" i="192"/>
  <c r="G17" i="192"/>
  <c r="D18" i="192"/>
  <c r="G24" i="192"/>
  <c r="D24" i="192"/>
  <c r="D14" i="192"/>
  <c r="G14" i="192"/>
  <c r="G26" i="192"/>
  <c r="D26" i="192"/>
  <c r="Z65" i="87" l="1"/>
  <c r="AL15" i="126"/>
  <c r="Z66" i="87" l="1"/>
  <c r="AN14" i="126"/>
  <c r="AN13" i="126" l="1"/>
  <c r="AM15" i="126"/>
  <c r="AN15" i="126" l="1"/>
  <c r="AN17" i="126" l="1"/>
  <c r="AN18" i="126" l="1"/>
  <c r="L38" i="86"/>
  <c r="L45" i="86" l="1"/>
  <c r="L47" i="86" s="1"/>
  <c r="L49" i="86" s="1"/>
  <c r="AN20" i="126"/>
  <c r="AN59" i="126" s="1"/>
  <c r="M19" i="200" l="1"/>
  <c r="L70" i="86"/>
  <c r="L65" i="86" s="1"/>
  <c r="AA19" i="200" l="1"/>
  <c r="O19" i="200"/>
  <c r="L77" i="86"/>
  <c r="L75" i="86"/>
  <c r="C15" i="192"/>
  <c r="R19" i="200" l="1"/>
  <c r="AC19" i="200"/>
  <c r="D33" i="192"/>
  <c r="F33" i="192"/>
  <c r="F15" i="192"/>
  <c r="D15" i="192"/>
  <c r="BK59" i="87" l="1"/>
  <c r="G53" i="21" l="1"/>
  <c r="G52" i="21"/>
  <c r="G51" i="21"/>
  <c r="G50" i="21" l="1"/>
  <c r="G54" i="21"/>
  <c r="F13" i="183" l="1"/>
  <c r="BK61" i="87" s="1"/>
  <c r="BK60" i="87" l="1"/>
  <c r="G49" i="21" l="1"/>
  <c r="B81" i="21" s="1"/>
  <c r="BG13" i="126" l="1"/>
  <c r="BG15" i="126" l="1"/>
  <c r="O38" i="86"/>
  <c r="BG17" i="126" l="1"/>
  <c r="BG19" i="126" s="1"/>
  <c r="BG59" i="126" s="1"/>
  <c r="O45" i="86" l="1"/>
  <c r="O47" i="86" s="1"/>
  <c r="O49" i="86" s="1"/>
  <c r="M22" i="200" l="1"/>
  <c r="O70" i="86"/>
  <c r="O65" i="86" s="1"/>
  <c r="AA22" i="200" l="1"/>
  <c r="O22" i="200"/>
  <c r="O77" i="86"/>
  <c r="O75" i="86"/>
  <c r="AC22" i="200" l="1"/>
  <c r="R22" i="200"/>
  <c r="AM47" i="86"/>
  <c r="AM49" i="86" s="1"/>
  <c r="C10" i="183"/>
  <c r="AM57" i="86"/>
  <c r="M45" i="200" l="1"/>
  <c r="AA45" i="200" s="1"/>
  <c r="AW18" i="87"/>
  <c r="H10" i="183" l="1"/>
  <c r="I10" i="183" s="1"/>
  <c r="AM59" i="86"/>
  <c r="AX18" i="87"/>
  <c r="AX105" i="87" s="1"/>
  <c r="AM62" i="86" l="1"/>
  <c r="AM70" i="86" s="1"/>
  <c r="AM65" i="86" s="1"/>
  <c r="AM77" i="86" l="1"/>
  <c r="AM51" i="86"/>
  <c r="N45" i="200" l="1"/>
  <c r="AM75" i="86"/>
  <c r="AM66" i="86"/>
  <c r="AB45" i="200" l="1"/>
  <c r="O45" i="200"/>
  <c r="E39" i="126"/>
  <c r="AC45" i="200" l="1"/>
  <c r="R45" i="200"/>
  <c r="E42" i="86"/>
  <c r="F47" i="86" l="1"/>
  <c r="F49" i="86" l="1"/>
  <c r="M14" i="200" l="1"/>
  <c r="F70" i="86"/>
  <c r="F65" i="86" s="1"/>
  <c r="AA14" i="200" l="1"/>
  <c r="O14" i="200"/>
  <c r="F77" i="86"/>
  <c r="F75" i="86"/>
  <c r="AM22" i="87"/>
  <c r="AN15" i="87"/>
  <c r="R14" i="200" l="1"/>
  <c r="AC14" i="200"/>
  <c r="AK56" i="86"/>
  <c r="AM26" i="87"/>
  <c r="AN21" i="87"/>
  <c r="AN22" i="87" l="1"/>
  <c r="AK40" i="86"/>
  <c r="AN26" i="87" l="1"/>
  <c r="AN16" i="87"/>
  <c r="AN28" i="87" l="1"/>
  <c r="AK57" i="86"/>
  <c r="AN29" i="87" l="1"/>
  <c r="AN101" i="87" s="1"/>
  <c r="AK45" i="86"/>
  <c r="AK47" i="86" s="1"/>
  <c r="AK49" i="86" s="1"/>
  <c r="AM18" i="87"/>
  <c r="M43" i="200" l="1"/>
  <c r="AA43" i="200" s="1"/>
  <c r="AN17" i="87"/>
  <c r="AK59" i="86" l="1"/>
  <c r="AK62" i="86" s="1"/>
  <c r="AK70" i="86" s="1"/>
  <c r="AN18" i="87"/>
  <c r="AN105" i="87" s="1"/>
  <c r="AK65" i="86" l="1"/>
  <c r="AK77" i="86"/>
  <c r="AK51" i="86"/>
  <c r="N43" i="200" l="1"/>
  <c r="AB43" i="200" s="1"/>
  <c r="AK75" i="86"/>
  <c r="AK66" i="86"/>
  <c r="O43" i="200" l="1"/>
  <c r="AD15" i="87"/>
  <c r="AD16" i="87"/>
  <c r="AD17" i="87"/>
  <c r="AD18" i="87"/>
  <c r="AD19" i="87"/>
  <c r="AD20" i="87"/>
  <c r="AD21" i="87"/>
  <c r="AD22" i="87"/>
  <c r="AD23" i="87"/>
  <c r="AD24" i="87"/>
  <c r="AD25" i="87"/>
  <c r="AD26" i="87"/>
  <c r="AD27" i="87"/>
  <c r="AD28" i="87"/>
  <c r="AD29" i="87"/>
  <c r="AD30" i="87"/>
  <c r="R43" i="200" l="1"/>
  <c r="AC43" i="200"/>
  <c r="AD14" i="87"/>
  <c r="AD33" i="87" l="1"/>
  <c r="AD105" i="87" s="1"/>
  <c r="E13" i="183"/>
  <c r="BK58" i="87" s="1"/>
  <c r="D13" i="183"/>
  <c r="BK57" i="87" s="1"/>
  <c r="G48" i="21" l="1"/>
  <c r="G55" i="21" l="1"/>
  <c r="BK27" i="87"/>
  <c r="AW59" i="126" l="1"/>
  <c r="M35" i="86"/>
  <c r="M45" i="86" l="1"/>
  <c r="M47" i="86" s="1"/>
  <c r="M49" i="86" s="1"/>
  <c r="BA24" i="87"/>
  <c r="M20" i="200" l="1"/>
  <c r="M70" i="86"/>
  <c r="M65" i="86" s="1"/>
  <c r="BK47" i="87"/>
  <c r="BB24" i="87"/>
  <c r="AA20" i="200" l="1"/>
  <c r="O20" i="200"/>
  <c r="M77" i="86"/>
  <c r="M75" i="86"/>
  <c r="BK48" i="87"/>
  <c r="BC24" i="87"/>
  <c r="G43" i="21"/>
  <c r="R20" i="200" l="1"/>
  <c r="AC20" i="200"/>
  <c r="BC26" i="87"/>
  <c r="BC28" i="87" l="1"/>
  <c r="AN45" i="86" s="1"/>
  <c r="AN47" i="86" s="1"/>
  <c r="BC29" i="87" l="1"/>
  <c r="BC101" i="87" s="1"/>
  <c r="AN49" i="86"/>
  <c r="M46" i="200" l="1"/>
  <c r="BA17" i="87"/>
  <c r="AA46" i="200" l="1"/>
  <c r="BB17" i="87"/>
  <c r="BC14" i="87"/>
  <c r="BC17" i="87" l="1"/>
  <c r="BA20" i="87" l="1"/>
  <c r="BC19" i="87" l="1"/>
  <c r="AN59" i="86" l="1"/>
  <c r="BC18" i="87"/>
  <c r="BB20" i="87"/>
  <c r="AN58" i="86" l="1"/>
  <c r="BK79" i="87"/>
  <c r="G13" i="183"/>
  <c r="BK62" i="87" s="1"/>
  <c r="BC20" i="87"/>
  <c r="BC105" i="87" s="1"/>
  <c r="BK94" i="87" l="1"/>
  <c r="AN62" i="86"/>
  <c r="AN70" i="86" s="1"/>
  <c r="AN77" i="86" l="1"/>
  <c r="AN65" i="86"/>
  <c r="BK95" i="87"/>
  <c r="AN51" i="86"/>
  <c r="N46" i="200" l="1"/>
  <c r="AN75" i="86"/>
  <c r="AN66" i="86"/>
  <c r="I23" i="174"/>
  <c r="J23" i="174" s="1"/>
  <c r="AB46" i="200" l="1"/>
  <c r="O46" i="200"/>
  <c r="C20" i="87"/>
  <c r="R46" i="200" l="1"/>
  <c r="AC46" i="200"/>
  <c r="E20" i="87"/>
  <c r="I28" i="174" l="1"/>
  <c r="J28" i="174" s="1"/>
  <c r="F23" i="21"/>
  <c r="I27" i="174"/>
  <c r="J27" i="174" s="1"/>
  <c r="C24" i="87" l="1"/>
  <c r="K27" i="174"/>
  <c r="N27" i="174" s="1"/>
  <c r="C23" i="87"/>
  <c r="I26" i="174"/>
  <c r="J26" i="174" s="1"/>
  <c r="F17" i="21"/>
  <c r="G24" i="174"/>
  <c r="F18" i="21"/>
  <c r="L26" i="174"/>
  <c r="N26" i="174" s="1"/>
  <c r="H24" i="174"/>
  <c r="F22" i="21"/>
  <c r="I19" i="174"/>
  <c r="N30" i="174" l="1"/>
  <c r="G30" i="174"/>
  <c r="C17" i="87"/>
  <c r="H30" i="174"/>
  <c r="C22" i="87"/>
  <c r="L24" i="174"/>
  <c r="K30" i="174"/>
  <c r="I21" i="174"/>
  <c r="J21" i="174" s="1"/>
  <c r="I18" i="174"/>
  <c r="J20" i="174" s="1"/>
  <c r="C18" i="87" l="1"/>
  <c r="C16" i="87"/>
  <c r="L30" i="174"/>
  <c r="E16" i="87" l="1"/>
  <c r="E18" i="87"/>
  <c r="I17" i="174"/>
  <c r="AD28" i="86" l="1"/>
  <c r="AQ28" i="86" s="1"/>
  <c r="C15" i="87"/>
  <c r="E15" i="87" l="1"/>
  <c r="AR28" i="86"/>
  <c r="AT28" i="86"/>
  <c r="I16" i="174"/>
  <c r="J17" i="174" s="1"/>
  <c r="E24" i="174"/>
  <c r="E25" i="174" s="1"/>
  <c r="AU28" i="86" l="1"/>
  <c r="AW28" i="86" s="1"/>
  <c r="F24" i="174"/>
  <c r="I22" i="174"/>
  <c r="J22" i="174" s="1"/>
  <c r="C14" i="87"/>
  <c r="E30" i="174" l="1"/>
  <c r="E31" i="174" s="1"/>
  <c r="F30" i="174"/>
  <c r="I24" i="174"/>
  <c r="C19" i="87"/>
  <c r="E14" i="87"/>
  <c r="I30" i="174" l="1"/>
  <c r="I31" i="174" s="1"/>
  <c r="E19" i="87"/>
  <c r="AD19" i="86" s="1"/>
  <c r="AQ19" i="86" s="1"/>
  <c r="C26" i="87"/>
  <c r="AD26" i="86"/>
  <c r="AQ26" i="86" s="1"/>
  <c r="I32" i="174" l="1"/>
  <c r="C28" i="87"/>
  <c r="AR19" i="86" l="1"/>
  <c r="AT19" i="86"/>
  <c r="AT26" i="86"/>
  <c r="AR26" i="86"/>
  <c r="AU26" i="86" l="1"/>
  <c r="AU19" i="86"/>
  <c r="C29" i="192" l="1"/>
  <c r="AW26" i="86"/>
  <c r="AW19" i="86"/>
  <c r="G29" i="192" l="1"/>
  <c r="D29" i="192"/>
  <c r="G36" i="192" l="1"/>
  <c r="G38" i="192" l="1"/>
  <c r="G43" i="192" s="1"/>
  <c r="G42" i="192"/>
  <c r="O19" i="87"/>
  <c r="O17" i="87"/>
  <c r="AF57" i="86" l="1"/>
  <c r="C7" i="183"/>
  <c r="CM21" i="126" l="1"/>
  <c r="CM16" i="126" l="1"/>
  <c r="CM31" i="126"/>
  <c r="CM26" i="126"/>
  <c r="CM29" i="126" l="1"/>
  <c r="CM30" i="126" l="1"/>
  <c r="CM32" i="126" l="1"/>
  <c r="CM34" i="126" l="1"/>
  <c r="V38" i="86"/>
  <c r="V45" i="86" l="1"/>
  <c r="CM35" i="126"/>
  <c r="CM59" i="126" s="1"/>
  <c r="AS14" i="87"/>
  <c r="AS17" i="87"/>
  <c r="V47" i="86" l="1"/>
  <c r="V49" i="86" s="1"/>
  <c r="AS30" i="87"/>
  <c r="M29" i="200" l="1"/>
  <c r="V70" i="86"/>
  <c r="AR19" i="87"/>
  <c r="AA29" i="200" l="1"/>
  <c r="O29" i="200"/>
  <c r="V77" i="86"/>
  <c r="V65" i="86"/>
  <c r="AS15" i="87"/>
  <c r="R29" i="200" l="1"/>
  <c r="AC29" i="200"/>
  <c r="V75" i="86"/>
  <c r="AS22" i="87"/>
  <c r="B9" i="183" l="1"/>
  <c r="AL56" i="86"/>
  <c r="CZ15" i="126" l="1"/>
  <c r="DA21" i="126" l="1"/>
  <c r="DB20" i="126"/>
  <c r="DA15" i="126"/>
  <c r="DB14" i="126"/>
  <c r="DB15" i="126" l="1"/>
  <c r="DB21" i="126"/>
  <c r="Y35" i="86" l="1"/>
  <c r="DB23" i="126"/>
  <c r="DB25" i="126" s="1"/>
  <c r="Y45" i="86" l="1"/>
  <c r="Y47" i="86" s="1"/>
  <c r="DB27" i="126"/>
  <c r="DB59" i="126" s="1"/>
  <c r="Y49" i="86" l="1"/>
  <c r="M32" i="200" l="1"/>
  <c r="Y70" i="86"/>
  <c r="Y65" i="86" s="1"/>
  <c r="BV15" i="126"/>
  <c r="BX14" i="126"/>
  <c r="AA32" i="200" l="1"/>
  <c r="O32" i="200"/>
  <c r="Y77" i="86"/>
  <c r="Y75" i="86"/>
  <c r="BX13" i="126"/>
  <c r="BW15" i="126"/>
  <c r="AC32" i="200" l="1"/>
  <c r="R32" i="200"/>
  <c r="BX15" i="126"/>
  <c r="BX17" i="126" s="1"/>
  <c r="S38" i="86" l="1"/>
  <c r="BX19" i="126"/>
  <c r="S45" i="86" l="1"/>
  <c r="BX20" i="126"/>
  <c r="BX59" i="126" s="1"/>
  <c r="S47" i="86" l="1"/>
  <c r="S49" i="86" s="1"/>
  <c r="M26" i="200" l="1"/>
  <c r="S70" i="86"/>
  <c r="S65" i="86" s="1"/>
  <c r="G36" i="21"/>
  <c r="AA26" i="200" l="1"/>
  <c r="O26" i="200"/>
  <c r="S77" i="86"/>
  <c r="S75" i="86"/>
  <c r="CR16" i="126"/>
  <c r="R26" i="200" l="1"/>
  <c r="AC26" i="200"/>
  <c r="CR18" i="126"/>
  <c r="CR20" i="126" l="1"/>
  <c r="CR22" i="126" l="1"/>
  <c r="W38" i="86"/>
  <c r="W45" i="86" l="1"/>
  <c r="W47" i="86" s="1"/>
  <c r="W49" i="86" s="1"/>
  <c r="CR24" i="126"/>
  <c r="CR59" i="126" s="1"/>
  <c r="O18" i="87"/>
  <c r="M20" i="87"/>
  <c r="M30" i="200" l="1"/>
  <c r="W70" i="86"/>
  <c r="W65" i="86" s="1"/>
  <c r="AF59" i="86"/>
  <c r="H7" i="183"/>
  <c r="I7" i="183" s="1"/>
  <c r="O20" i="87"/>
  <c r="O105" i="87" s="1"/>
  <c r="AA30" i="200" l="1"/>
  <c r="O30" i="200"/>
  <c r="W77" i="86"/>
  <c r="W75" i="86"/>
  <c r="AF51" i="86"/>
  <c r="AF62" i="86"/>
  <c r="AF70" i="86" s="1"/>
  <c r="R30" i="200" l="1"/>
  <c r="AC30" i="200"/>
  <c r="N38" i="200"/>
  <c r="AF77" i="86"/>
  <c r="AF65" i="86"/>
  <c r="AF66" i="86"/>
  <c r="AE66" i="86" s="1"/>
  <c r="AB38" i="200" l="1"/>
  <c r="O38" i="200"/>
  <c r="AF75" i="86"/>
  <c r="AD13" i="126"/>
  <c r="AC38" i="200" l="1"/>
  <c r="R38" i="200"/>
  <c r="AD27" i="126"/>
  <c r="AB28" i="126"/>
  <c r="G38" i="21" l="1"/>
  <c r="H6" i="183" l="1"/>
  <c r="I6" i="183" l="1"/>
  <c r="AD26" i="126" l="1"/>
  <c r="AC28" i="126"/>
  <c r="AD28" i="126" l="1"/>
  <c r="AD19" i="126" l="1"/>
  <c r="AC21" i="126"/>
  <c r="J40" i="86"/>
  <c r="AI62" i="86" l="1"/>
  <c r="AI70" i="86" s="1"/>
  <c r="AI65" i="86" l="1"/>
  <c r="AI77" i="86"/>
  <c r="AI51" i="86"/>
  <c r="N41" i="200" l="1"/>
  <c r="AI75" i="86"/>
  <c r="AI66" i="86"/>
  <c r="AB41" i="200" l="1"/>
  <c r="O41" i="200"/>
  <c r="G42" i="21"/>
  <c r="AC41" i="200" l="1"/>
  <c r="R41" i="200"/>
  <c r="I8" i="183"/>
  <c r="AS58" i="86" l="1"/>
  <c r="AS60" i="86" l="1"/>
  <c r="AS61" i="86" l="1"/>
  <c r="AR61" i="86"/>
  <c r="AU61" i="86" l="1"/>
  <c r="AW61" i="86" s="1"/>
  <c r="D62" i="86"/>
  <c r="AS59" i="86"/>
  <c r="AS56" i="86"/>
  <c r="AS57" i="86" l="1"/>
  <c r="D51" i="86"/>
  <c r="D66" i="86" l="1"/>
  <c r="N11" i="200"/>
  <c r="AS51" i="86"/>
  <c r="AS62" i="86"/>
  <c r="AB11" i="200" l="1"/>
  <c r="AS66" i="86"/>
  <c r="AS31" i="87" l="1"/>
  <c r="AS16" i="87" l="1"/>
  <c r="AS18" i="87"/>
  <c r="AQ19" i="87" l="1"/>
  <c r="AS19" i="87"/>
  <c r="AS33" i="87" l="1"/>
  <c r="AQ34" i="87"/>
  <c r="AS24" i="87" l="1"/>
  <c r="AS26" i="87"/>
  <c r="AQ27" i="87" l="1"/>
  <c r="AS32" i="87" l="1"/>
  <c r="AS34" i="87" s="1"/>
  <c r="AS38" i="87" s="1"/>
  <c r="AS39" i="87" s="1"/>
  <c r="AS101" i="87" s="1"/>
  <c r="AR34" i="87"/>
  <c r="AL39" i="86" l="1"/>
  <c r="F39" i="21"/>
  <c r="G39" i="21" s="1"/>
  <c r="G45" i="21" s="1"/>
  <c r="AL45" i="86"/>
  <c r="AS23" i="87"/>
  <c r="AL47" i="86" l="1"/>
  <c r="AL49" i="86" s="1"/>
  <c r="F45" i="21"/>
  <c r="F56" i="21" s="1"/>
  <c r="G56" i="21"/>
  <c r="C9" i="183"/>
  <c r="AL57" i="86"/>
  <c r="M44" i="200" l="1"/>
  <c r="BK25" i="87"/>
  <c r="C13" i="183"/>
  <c r="AA44" i="200" l="1"/>
  <c r="BK28" i="87"/>
  <c r="BK56" i="87"/>
  <c r="AS25" i="87" l="1"/>
  <c r="AR27" i="87"/>
  <c r="H9" i="183" l="1"/>
  <c r="AL59" i="86"/>
  <c r="AS27" i="87"/>
  <c r="AS105" i="87" s="1"/>
  <c r="AL62" i="86" l="1"/>
  <c r="AL70" i="86" s="1"/>
  <c r="H13" i="183"/>
  <c r="BK67" i="87" s="1"/>
  <c r="I9" i="183"/>
  <c r="AL65" i="86" l="1"/>
  <c r="AL77" i="86"/>
  <c r="AL51" i="86"/>
  <c r="N44" i="200" l="1"/>
  <c r="AL75" i="86"/>
  <c r="AL66" i="86"/>
  <c r="AB44" i="200" l="1"/>
  <c r="O44" i="200"/>
  <c r="BK68" i="87"/>
  <c r="AC44" i="200" l="1"/>
  <c r="R44" i="200"/>
  <c r="BK71" i="87"/>
  <c r="I5" i="183" l="1"/>
  <c r="I13" i="183" s="1"/>
  <c r="I19" i="183" s="1"/>
  <c r="B13" i="183"/>
  <c r="BK55" i="87" l="1"/>
  <c r="BK63" i="87" s="1"/>
  <c r="BK73" i="87" l="1"/>
  <c r="I21" i="183" l="1"/>
  <c r="DG21" i="126" l="1"/>
  <c r="DG18" i="126"/>
  <c r="DG27" i="126"/>
  <c r="DG17" i="126" l="1"/>
  <c r="DG16" i="126"/>
  <c r="DG25" i="126"/>
  <c r="DG15" i="126" l="1"/>
  <c r="DG20" i="126"/>
  <c r="Z38" i="86"/>
  <c r="DF30" i="126"/>
  <c r="DG26" i="126"/>
  <c r="DG19" i="126"/>
  <c r="Z57" i="86" l="1"/>
  <c r="Z59" i="86"/>
  <c r="DE22" i="126"/>
  <c r="DG28" i="126"/>
  <c r="DE30" i="126"/>
  <c r="DF22" i="126"/>
  <c r="Z56" i="86"/>
  <c r="DG22" i="126"/>
  <c r="DG63" i="126" s="1"/>
  <c r="DG30" i="126" l="1"/>
  <c r="DG32" i="126" s="1"/>
  <c r="Z39" i="86"/>
  <c r="Z62" i="86"/>
  <c r="Z45" i="86" l="1"/>
  <c r="Z47" i="86" s="1"/>
  <c r="DG34" i="126"/>
  <c r="DG59" i="126" s="1"/>
  <c r="Z51" i="86"/>
  <c r="N33" i="200" l="1"/>
  <c r="Z49" i="86"/>
  <c r="Z66" i="86"/>
  <c r="AB33" i="200" l="1"/>
  <c r="M33" i="200"/>
  <c r="Z70" i="86"/>
  <c r="AA33" i="200" l="1"/>
  <c r="O33" i="200"/>
  <c r="Z77" i="86"/>
  <c r="Z65" i="86"/>
  <c r="BN19" i="126"/>
  <c r="G21" i="21"/>
  <c r="F26" i="21"/>
  <c r="H26" i="21" s="1"/>
  <c r="BK20" i="87" s="1"/>
  <c r="G20" i="21"/>
  <c r="R33" i="200" l="1"/>
  <c r="AC33" i="200"/>
  <c r="Z75" i="86"/>
  <c r="BO19" i="126"/>
  <c r="BO28" i="126" l="1"/>
  <c r="BO30" i="126" l="1"/>
  <c r="Q38" i="86"/>
  <c r="AD15" i="126"/>
  <c r="Q45" i="86" l="1"/>
  <c r="Q47" i="86" s="1"/>
  <c r="Q49" i="86" s="1"/>
  <c r="BO31" i="126"/>
  <c r="BO59" i="126" s="1"/>
  <c r="AD16" i="126"/>
  <c r="AB17" i="126"/>
  <c r="AD30" i="126"/>
  <c r="M24" i="200" l="1"/>
  <c r="AA24" i="200" s="1"/>
  <c r="Q70" i="86"/>
  <c r="Q65" i="86" s="1"/>
  <c r="AD14" i="126"/>
  <c r="AC17" i="126"/>
  <c r="O24" i="200" l="1"/>
  <c r="Q77" i="86"/>
  <c r="Q75" i="86"/>
  <c r="AC23" i="126"/>
  <c r="AD17" i="126"/>
  <c r="AB21" i="126"/>
  <c r="AD20" i="126"/>
  <c r="R24" i="200" l="1"/>
  <c r="AC24" i="200"/>
  <c r="AD21" i="126"/>
  <c r="AB23" i="126"/>
  <c r="AD23" i="126" l="1"/>
  <c r="J39" i="86" l="1"/>
  <c r="AD33" i="126"/>
  <c r="AZ22" i="126"/>
  <c r="AD34" i="126" l="1"/>
  <c r="AD39" i="126"/>
  <c r="BB21" i="126"/>
  <c r="BB17" i="126"/>
  <c r="BB20" i="126"/>
  <c r="BB15" i="126"/>
  <c r="BB18" i="126"/>
  <c r="BB19" i="126"/>
  <c r="BB16" i="126"/>
  <c r="J57" i="86" l="1"/>
  <c r="J45" i="86"/>
  <c r="J47" i="86" s="1"/>
  <c r="J49" i="86" s="1"/>
  <c r="AD35" i="126"/>
  <c r="AD59" i="126" s="1"/>
  <c r="N38" i="86"/>
  <c r="N34" i="86"/>
  <c r="N35" i="86"/>
  <c r="N33" i="86"/>
  <c r="N36" i="86"/>
  <c r="N32" i="86"/>
  <c r="G16" i="21"/>
  <c r="M18" i="200" l="1"/>
  <c r="BA22" i="126"/>
  <c r="BB14" i="126"/>
  <c r="AA18" i="200" l="1"/>
  <c r="BA24" i="126"/>
  <c r="BB22" i="126"/>
  <c r="G15" i="21"/>
  <c r="H16" i="21" s="1"/>
  <c r="N27" i="86"/>
  <c r="BB24" i="126" l="1"/>
  <c r="G25" i="21" s="1"/>
  <c r="N30" i="86"/>
  <c r="BA25" i="126"/>
  <c r="N44" i="86" l="1"/>
  <c r="BB25" i="126"/>
  <c r="BB27" i="126" s="1"/>
  <c r="BB29" i="126" s="1"/>
  <c r="AZ25" i="126"/>
  <c r="N45" i="86" l="1"/>
  <c r="N47" i="86" s="1"/>
  <c r="BB30" i="126"/>
  <c r="BB59" i="126" s="1"/>
  <c r="N49" i="86" l="1"/>
  <c r="M21" i="200" l="1"/>
  <c r="N70" i="86"/>
  <c r="N77" i="86" s="1"/>
  <c r="AA21" i="200" l="1"/>
  <c r="O21" i="200"/>
  <c r="N65" i="86"/>
  <c r="N75" i="86" s="1"/>
  <c r="R21" i="200" l="1"/>
  <c r="AC21" i="200"/>
  <c r="J59" i="86"/>
  <c r="AD42" i="126"/>
  <c r="AD63" i="126" s="1"/>
  <c r="J62" i="86" l="1"/>
  <c r="J70" i="86" l="1"/>
  <c r="J65" i="86" s="1"/>
  <c r="J51" i="86"/>
  <c r="N18" i="200" s="1"/>
  <c r="J77" i="86" l="1"/>
  <c r="AB18" i="200"/>
  <c r="J75" i="86"/>
  <c r="J66" i="86"/>
  <c r="O18" i="200" l="1"/>
  <c r="AS36" i="86"/>
  <c r="R18" i="200" l="1"/>
  <c r="AC18" i="200"/>
  <c r="AS44" i="86" l="1"/>
  <c r="AS38" i="86" l="1"/>
  <c r="AS42" i="86"/>
  <c r="AS40" i="86" l="1"/>
  <c r="AS39" i="86" l="1"/>
  <c r="D47" i="86" l="1"/>
  <c r="AS35" i="86" l="1"/>
  <c r="AS47" i="86" s="1"/>
  <c r="AS49" i="86" s="1"/>
  <c r="D49" i="86" l="1"/>
  <c r="M11" i="200" s="1"/>
  <c r="O11" i="200" l="1"/>
  <c r="D70" i="86"/>
  <c r="D53" i="86"/>
  <c r="U15" i="126"/>
  <c r="D65" i="86" l="1"/>
  <c r="R11" i="200"/>
  <c r="AA11" i="200"/>
  <c r="P11" i="200"/>
  <c r="P22" i="200" s="1"/>
  <c r="AS53" i="86"/>
  <c r="AS70" i="86"/>
  <c r="D77" i="86"/>
  <c r="U16" i="126"/>
  <c r="AC11" i="200" l="1"/>
  <c r="P44" i="200"/>
  <c r="P29" i="200"/>
  <c r="P31" i="200"/>
  <c r="P21" i="200"/>
  <c r="P25" i="200"/>
  <c r="P33" i="200"/>
  <c r="P39" i="200"/>
  <c r="P19" i="200"/>
  <c r="P43" i="200"/>
  <c r="P15" i="200"/>
  <c r="P45" i="200"/>
  <c r="P20" i="200"/>
  <c r="P38" i="200"/>
  <c r="P46" i="200"/>
  <c r="P47" i="200"/>
  <c r="P30" i="200"/>
  <c r="P50" i="200"/>
  <c r="P41" i="200"/>
  <c r="P32" i="200"/>
  <c r="P52" i="200"/>
  <c r="P26" i="200"/>
  <c r="P37" i="200"/>
  <c r="P24" i="200"/>
  <c r="P23" i="200"/>
  <c r="P14" i="200"/>
  <c r="P18" i="200"/>
  <c r="AS65" i="86"/>
  <c r="AS75" i="86" s="1"/>
  <c r="AS77" i="86"/>
  <c r="D75" i="86"/>
  <c r="U21" i="126"/>
  <c r="U30" i="126"/>
  <c r="U32" i="126" l="1"/>
  <c r="U59" i="126" s="1"/>
  <c r="H45" i="86"/>
  <c r="H47" i="86" s="1"/>
  <c r="H49" i="86" l="1"/>
  <c r="M16" i="200" l="1"/>
  <c r="H70" i="86"/>
  <c r="H65" i="86" s="1"/>
  <c r="CA15" i="126"/>
  <c r="AA16" i="200" l="1"/>
  <c r="P16" i="200"/>
  <c r="O16" i="200"/>
  <c r="H77" i="86"/>
  <c r="H75" i="86"/>
  <c r="CB15" i="126"/>
  <c r="CC13" i="126"/>
  <c r="R16" i="200" l="1"/>
  <c r="AC16" i="200"/>
  <c r="G19" i="21"/>
  <c r="H21" i="21" s="1"/>
  <c r="CC15" i="126"/>
  <c r="BK19" i="87" l="1"/>
  <c r="CC17" i="126"/>
  <c r="T38" i="86"/>
  <c r="T45" i="86" l="1"/>
  <c r="T47" i="86" s="1"/>
  <c r="CC18" i="126"/>
  <c r="CC59" i="126" s="1"/>
  <c r="T49" i="86" l="1"/>
  <c r="M27" i="200" l="1"/>
  <c r="T70" i="86"/>
  <c r="T65" i="86" s="1"/>
  <c r="AA27" i="200" l="1"/>
  <c r="P27" i="200"/>
  <c r="O27" i="200"/>
  <c r="T77" i="86"/>
  <c r="T75" i="86"/>
  <c r="DJ15" i="126"/>
  <c r="AC27" i="200" l="1"/>
  <c r="R27" i="200"/>
  <c r="DL13" i="126"/>
  <c r="DK15" i="126"/>
  <c r="DL15" i="126" l="1"/>
  <c r="AA44" i="86"/>
  <c r="DL17" i="126" l="1"/>
  <c r="DL18" i="126" l="1"/>
  <c r="DL19" i="126" l="1"/>
  <c r="DL59" i="126" s="1"/>
  <c r="AA45" i="86"/>
  <c r="AA47" i="86" s="1"/>
  <c r="AA49" i="86" s="1"/>
  <c r="M34" i="200" l="1"/>
  <c r="AA70" i="86"/>
  <c r="AA77" i="86" s="1"/>
  <c r="AA34" i="200" l="1"/>
  <c r="O34" i="200"/>
  <c r="P34" i="200"/>
  <c r="AA65" i="86"/>
  <c r="AA75" i="86" s="1"/>
  <c r="D32" i="126"/>
  <c r="AC34" i="200" l="1"/>
  <c r="R34" i="200"/>
  <c r="E20" i="86"/>
  <c r="D23" i="126" l="1"/>
  <c r="E17" i="86" l="1"/>
  <c r="AQ17" i="86" s="1"/>
  <c r="E33" i="126"/>
  <c r="D41" i="126" l="1"/>
  <c r="D40" i="126"/>
  <c r="D42" i="126"/>
  <c r="E21" i="86"/>
  <c r="E38" i="86" l="1"/>
  <c r="E44" i="86"/>
  <c r="AT17" i="86"/>
  <c r="AR17" i="86"/>
  <c r="E35" i="86"/>
  <c r="E44" i="126"/>
  <c r="E46" i="126" l="1"/>
  <c r="E48" i="126" s="1"/>
  <c r="AU17" i="86"/>
  <c r="H12" i="207" s="1"/>
  <c r="H19" i="207" s="1"/>
  <c r="J12" i="207" l="1"/>
  <c r="J19" i="207"/>
  <c r="E49" i="126"/>
  <c r="E59" i="126" s="1"/>
  <c r="E45" i="86"/>
  <c r="E47" i="86" l="1"/>
  <c r="E49" i="86" l="1"/>
  <c r="M13" i="200" l="1"/>
  <c r="E70" i="86"/>
  <c r="AA13" i="200" l="1"/>
  <c r="P13" i="200"/>
  <c r="O13" i="200"/>
  <c r="E77" i="86"/>
  <c r="E65" i="86"/>
  <c r="AC13" i="200" l="1"/>
  <c r="R13" i="200"/>
  <c r="E75" i="86"/>
  <c r="Y16" i="87" l="1"/>
  <c r="Y17" i="87"/>
  <c r="Y18" i="87"/>
  <c r="Y19" i="87"/>
  <c r="Y20" i="87" l="1"/>
  <c r="Y21" i="87" s="1"/>
  <c r="Y23" i="87" s="1"/>
  <c r="W21" i="87"/>
  <c r="W23" i="87" s="1"/>
  <c r="W28" i="87" s="1"/>
  <c r="X21" i="87"/>
  <c r="X23" i="87" s="1"/>
  <c r="AH33" i="86" l="1"/>
  <c r="Y26" i="87"/>
  <c r="Y28" i="87" s="1"/>
  <c r="X28" i="87"/>
  <c r="AH34" i="86" s="1"/>
  <c r="CF22" i="126" l="1"/>
  <c r="CF25" i="126" s="1"/>
  <c r="CH21" i="126" l="1"/>
  <c r="U38" i="86" s="1"/>
  <c r="CH17" i="126" l="1"/>
  <c r="U34" i="86" s="1"/>
  <c r="AQ34" i="86" s="1"/>
  <c r="CH15" i="126"/>
  <c r="CH19" i="126"/>
  <c r="CH20" i="126"/>
  <c r="CH16" i="126"/>
  <c r="U33" i="86" s="1"/>
  <c r="CH18" i="126"/>
  <c r="U35" i="86" s="1"/>
  <c r="AQ35" i="86" s="1"/>
  <c r="AR34" i="86" l="1"/>
  <c r="AT34" i="86"/>
  <c r="AU34" i="86" s="1"/>
  <c r="AW34" i="86" s="1"/>
  <c r="AT35" i="86"/>
  <c r="AU35" i="86" s="1"/>
  <c r="AR35" i="86"/>
  <c r="CG22" i="126"/>
  <c r="CH14" i="126"/>
  <c r="U36" i="86"/>
  <c r="AQ36" i="86" s="1"/>
  <c r="G14" i="21"/>
  <c r="BK18" i="87" s="1"/>
  <c r="U32" i="86"/>
  <c r="CH22" i="126" l="1"/>
  <c r="G13" i="21"/>
  <c r="H14" i="21" s="1"/>
  <c r="U27" i="86"/>
  <c r="AT36" i="86"/>
  <c r="AU36" i="86" s="1"/>
  <c r="AW36" i="86" s="1"/>
  <c r="AR36" i="86"/>
  <c r="U30" i="86" l="1"/>
  <c r="BK17" i="87"/>
  <c r="BK22" i="87" l="1"/>
  <c r="G24" i="21" l="1"/>
  <c r="H25" i="21" s="1"/>
  <c r="BK32" i="87" s="1"/>
  <c r="U44" i="86"/>
  <c r="CH25" i="126"/>
  <c r="CH27" i="126" s="1"/>
  <c r="CG25" i="126"/>
  <c r="CH28" i="126" l="1"/>
  <c r="U45" i="86" s="1"/>
  <c r="U47" i="86" s="1"/>
  <c r="U49" i="86" s="1"/>
  <c r="BK33" i="87"/>
  <c r="M28" i="200" l="1"/>
  <c r="U70" i="86"/>
  <c r="U65" i="86" s="1"/>
  <c r="CH29" i="126"/>
  <c r="AA28" i="200" l="1"/>
  <c r="P28" i="200"/>
  <c r="O28" i="200"/>
  <c r="U77" i="86"/>
  <c r="CH59" i="126"/>
  <c r="U75" i="86"/>
  <c r="AC28" i="200" l="1"/>
  <c r="R28" i="200"/>
  <c r="AG24" i="87"/>
  <c r="AI23" i="87"/>
  <c r="AI18" i="87" l="1"/>
  <c r="AI16" i="87" l="1"/>
  <c r="AG19" i="87"/>
  <c r="AH24" i="87" l="1"/>
  <c r="AI22" i="87"/>
  <c r="AI15" i="87" l="1"/>
  <c r="AI24" i="87"/>
  <c r="AI26" i="87" s="1"/>
  <c r="AJ39" i="86"/>
  <c r="AI28" i="87" l="1"/>
  <c r="AJ45" i="86" s="1"/>
  <c r="AJ47" i="86" s="1"/>
  <c r="AJ49" i="86" s="1"/>
  <c r="AJ57" i="86"/>
  <c r="M42" i="200" l="1"/>
  <c r="AI29" i="87"/>
  <c r="AI101" i="87" s="1"/>
  <c r="AA42" i="200" l="1"/>
  <c r="AI17" i="87"/>
  <c r="AH19" i="87"/>
  <c r="AJ59" i="86" l="1"/>
  <c r="AI19" i="87"/>
  <c r="AI105" i="87" s="1"/>
  <c r="AJ62" i="86" l="1"/>
  <c r="AJ70" i="86" l="1"/>
  <c r="AJ51" i="86"/>
  <c r="N42" i="200" s="1"/>
  <c r="AJ66" i="86" l="1"/>
  <c r="AB42" i="200"/>
  <c r="AJ77" i="86"/>
  <c r="AJ65" i="86"/>
  <c r="AJ75" i="86" s="1"/>
  <c r="O42" i="200" l="1"/>
  <c r="P42" i="200"/>
  <c r="R42" i="200" l="1"/>
  <c r="AC42" i="200"/>
  <c r="N10" i="174" l="1"/>
  <c r="BL36" i="87"/>
  <c r="BL26" i="87"/>
  <c r="BM26" i="87" s="1"/>
  <c r="BL69" i="87"/>
  <c r="BM69" i="87" s="1"/>
  <c r="BL70" i="87"/>
  <c r="BM70" i="87" s="1"/>
  <c r="BL78" i="87"/>
  <c r="BM78" i="87" s="1"/>
  <c r="BL93" i="87"/>
  <c r="BM93" i="87" s="1"/>
  <c r="BL87" i="87"/>
  <c r="BM87" i="87" s="1"/>
  <c r="BL89" i="87"/>
  <c r="BM89" i="87" s="1"/>
  <c r="BL92" i="87"/>
  <c r="BM92" i="87" s="1"/>
  <c r="BL77" i="87"/>
  <c r="BM77" i="87" s="1"/>
  <c r="BL80" i="87"/>
  <c r="BM80" i="87" s="1"/>
  <c r="BL88" i="87"/>
  <c r="BM88" i="87" s="1"/>
  <c r="BL82" i="87"/>
  <c r="BM82" i="87" s="1"/>
  <c r="BL90" i="87"/>
  <c r="BM90" i="87" s="1"/>
  <c r="BL76" i="87"/>
  <c r="BM76" i="87" s="1"/>
  <c r="BL91" i="87"/>
  <c r="BM91" i="87" s="1"/>
  <c r="BL83" i="87"/>
  <c r="BM83" i="87" s="1"/>
  <c r="BL84" i="87"/>
  <c r="BM84" i="87" s="1"/>
  <c r="BL85" i="87"/>
  <c r="BM85" i="87" s="1"/>
  <c r="BL86" i="87"/>
  <c r="BM86" i="87" s="1"/>
  <c r="BL81" i="87"/>
  <c r="BM81" i="87" s="1"/>
  <c r="BL21" i="87"/>
  <c r="BL37" i="87"/>
  <c r="G58" i="21"/>
  <c r="BL44" i="87"/>
  <c r="BM44" i="87" s="1"/>
  <c r="BL43" i="87"/>
  <c r="BM43" i="87" s="1"/>
  <c r="BL38" i="87"/>
  <c r="BM38" i="87" s="1"/>
  <c r="BL46" i="87"/>
  <c r="BM46" i="87" s="1"/>
  <c r="BL40" i="87"/>
  <c r="BM40" i="87" s="1"/>
  <c r="BL39" i="87"/>
  <c r="BL45" i="87"/>
  <c r="BM45" i="87" s="1"/>
  <c r="BL41" i="87"/>
  <c r="BM41" i="87" s="1"/>
  <c r="BL42" i="87"/>
  <c r="BM42" i="87" s="1"/>
  <c r="BL59" i="87"/>
  <c r="BM59" i="87" s="1"/>
  <c r="BL61" i="87"/>
  <c r="BM61" i="87" s="1"/>
  <c r="BL60" i="87"/>
  <c r="BM60" i="87" s="1"/>
  <c r="BL57" i="87"/>
  <c r="BM57" i="87" s="1"/>
  <c r="BL58" i="87"/>
  <c r="BM58" i="87" s="1"/>
  <c r="BL27" i="87"/>
  <c r="AP40" i="86" s="1"/>
  <c r="AQ40" i="86" s="1"/>
  <c r="BL79" i="87"/>
  <c r="BL62" i="87"/>
  <c r="BM62" i="87" s="1"/>
  <c r="BL25" i="87"/>
  <c r="BL56" i="87"/>
  <c r="BL67" i="87"/>
  <c r="BL68" i="87"/>
  <c r="BM68" i="87" s="1"/>
  <c r="BL55" i="87"/>
  <c r="BL20" i="87"/>
  <c r="BM20" i="87" s="1"/>
  <c r="BL19" i="87"/>
  <c r="BL18" i="87"/>
  <c r="BL17" i="87"/>
  <c r="BL32" i="87"/>
  <c r="AP57" i="86" l="1"/>
  <c r="AQ57" i="86" s="1"/>
  <c r="C23" i="192"/>
  <c r="BL33" i="87"/>
  <c r="AP44" i="86"/>
  <c r="BM32" i="87"/>
  <c r="BM33" i="87" s="1"/>
  <c r="BM56" i="87"/>
  <c r="AT40" i="86"/>
  <c r="AU40" i="86" s="1"/>
  <c r="AW40" i="86" s="1"/>
  <c r="AR40" i="86"/>
  <c r="BM37" i="87"/>
  <c r="AP42" i="86"/>
  <c r="AQ42" i="86" s="1"/>
  <c r="AP27" i="86"/>
  <c r="BL22" i="87"/>
  <c r="BM17" i="87"/>
  <c r="BM18" i="87"/>
  <c r="AP32" i="86"/>
  <c r="BM36" i="87"/>
  <c r="BL47" i="87"/>
  <c r="BM55" i="87"/>
  <c r="BL63" i="87"/>
  <c r="BL28" i="87"/>
  <c r="C32" i="192" s="1"/>
  <c r="AP39" i="86"/>
  <c r="AQ39" i="86" s="1"/>
  <c r="AP41" i="86"/>
  <c r="BM39" i="87"/>
  <c r="C21" i="192"/>
  <c r="BM21" i="87"/>
  <c r="AP38" i="86"/>
  <c r="AQ38" i="86" s="1"/>
  <c r="BM19" i="87"/>
  <c r="C20" i="192"/>
  <c r="BM67" i="87"/>
  <c r="BM71" i="87" s="1"/>
  <c r="BL71" i="87"/>
  <c r="AP59" i="86" s="1"/>
  <c r="BL94" i="87"/>
  <c r="AP58" i="86" s="1"/>
  <c r="BM79" i="87"/>
  <c r="BM94" i="87" s="1"/>
  <c r="C5" i="192" s="1"/>
  <c r="G61" i="21"/>
  <c r="BM27" i="87" s="1"/>
  <c r="G60" i="21"/>
  <c r="BM25" i="87" s="1"/>
  <c r="O10" i="174"/>
  <c r="AP30" i="86" l="1"/>
  <c r="BM28" i="87"/>
  <c r="BM63" i="87"/>
  <c r="BM73" i="87" s="1"/>
  <c r="C7" i="192" s="1"/>
  <c r="C16" i="192" s="1"/>
  <c r="AQ58" i="86"/>
  <c r="AQ59" i="86"/>
  <c r="BL73" i="87"/>
  <c r="BL96" i="87" s="1"/>
  <c r="AP51" i="86" s="1"/>
  <c r="N48" i="200" s="1"/>
  <c r="F48" i="192"/>
  <c r="O28" i="174"/>
  <c r="O26" i="174"/>
  <c r="O27" i="174"/>
  <c r="O19" i="174"/>
  <c r="C13" i="192"/>
  <c r="F20" i="192"/>
  <c r="D20" i="192"/>
  <c r="D21" i="192"/>
  <c r="F21" i="192"/>
  <c r="F32" i="192"/>
  <c r="D32" i="192"/>
  <c r="BM47" i="87"/>
  <c r="AR38" i="86"/>
  <c r="AT38" i="86"/>
  <c r="AU38" i="86" s="1"/>
  <c r="AT42" i="86"/>
  <c r="AU42" i="86" s="1"/>
  <c r="AW42" i="86" s="1"/>
  <c r="AR42" i="86"/>
  <c r="BL49" i="87"/>
  <c r="AR39" i="86"/>
  <c r="AT39" i="86"/>
  <c r="AU39" i="86" s="1"/>
  <c r="AW39" i="86" s="1"/>
  <c r="BM22" i="87"/>
  <c r="AR57" i="86"/>
  <c r="AT57" i="86"/>
  <c r="AU57" i="86" s="1"/>
  <c r="AW57" i="86" s="1"/>
  <c r="D23" i="192"/>
  <c r="F23" i="192"/>
  <c r="BM49" i="87" l="1"/>
  <c r="AP45" i="86" s="1"/>
  <c r="AP47" i="86" s="1"/>
  <c r="AP49" i="86" s="1"/>
  <c r="AT58" i="86"/>
  <c r="AU58" i="86" s="1"/>
  <c r="AW58" i="86" s="1"/>
  <c r="AR58" i="86"/>
  <c r="AT59" i="86"/>
  <c r="AU59" i="86" s="1"/>
  <c r="AW59" i="86" s="1"/>
  <c r="AR59" i="86"/>
  <c r="AP56" i="86"/>
  <c r="D22" i="87"/>
  <c r="E22" i="87" s="1"/>
  <c r="AD32" i="86" s="1"/>
  <c r="AQ32" i="86" s="1"/>
  <c r="C8" i="192"/>
  <c r="D13" i="192"/>
  <c r="F13" i="192"/>
  <c r="BM105" i="87"/>
  <c r="C27" i="192"/>
  <c r="D24" i="87"/>
  <c r="E24" i="87" s="1"/>
  <c r="F16" i="192"/>
  <c r="D16" i="192"/>
  <c r="D23" i="87"/>
  <c r="E23" i="87" s="1"/>
  <c r="AD33" i="86" s="1"/>
  <c r="AQ33" i="86" s="1"/>
  <c r="C31" i="192"/>
  <c r="D17" i="87"/>
  <c r="O24" i="174"/>
  <c r="O30" i="174" s="1"/>
  <c r="O32" i="174" s="1"/>
  <c r="C19" i="192"/>
  <c r="F54" i="192"/>
  <c r="F55" i="192"/>
  <c r="F49" i="192"/>
  <c r="F53" i="192"/>
  <c r="F51" i="192"/>
  <c r="F50" i="192"/>
  <c r="F56" i="192"/>
  <c r="F52" i="192"/>
  <c r="M48" i="200" l="1"/>
  <c r="BM50" i="87"/>
  <c r="BM101" i="87" s="1"/>
  <c r="AT32" i="86"/>
  <c r="AU32" i="86" s="1"/>
  <c r="AR33" i="86"/>
  <c r="AT33" i="86"/>
  <c r="AU33" i="86" s="1"/>
  <c r="AW33" i="86" s="1"/>
  <c r="F27" i="192"/>
  <c r="D27" i="192"/>
  <c r="F19" i="192"/>
  <c r="D19" i="192"/>
  <c r="D26" i="87"/>
  <c r="E17" i="87"/>
  <c r="F57" i="192"/>
  <c r="F31" i="192"/>
  <c r="D31" i="192"/>
  <c r="AD20" i="86"/>
  <c r="AQ20" i="86" s="1"/>
  <c r="AQ21" i="86" s="1"/>
  <c r="E30" i="87"/>
  <c r="AD44" i="86" s="1"/>
  <c r="AQ44" i="86" s="1"/>
  <c r="AA48" i="200" l="1"/>
  <c r="AR32" i="86"/>
  <c r="AW32" i="86"/>
  <c r="C28" i="192"/>
  <c r="F28" i="192" s="1"/>
  <c r="AD21" i="86"/>
  <c r="AD27" i="86"/>
  <c r="AQ27" i="86" s="1"/>
  <c r="AQ30" i="86" s="1"/>
  <c r="E26" i="87"/>
  <c r="E28" i="87" s="1"/>
  <c r="E31" i="87" s="1"/>
  <c r="O31" i="174"/>
  <c r="D28" i="87"/>
  <c r="AR44" i="86"/>
  <c r="AT44" i="86"/>
  <c r="AU44" i="86" s="1"/>
  <c r="C34" i="192"/>
  <c r="F58" i="192"/>
  <c r="G57" i="192"/>
  <c r="D28" i="192" l="1"/>
  <c r="F34" i="192"/>
  <c r="F36" i="192" s="1"/>
  <c r="D34" i="192"/>
  <c r="C36" i="192"/>
  <c r="C38" i="192" s="1"/>
  <c r="AT20" i="86"/>
  <c r="AR20" i="86"/>
  <c r="E32" i="87"/>
  <c r="AD45" i="86" s="1"/>
  <c r="AR21" i="86"/>
  <c r="AD30" i="86"/>
  <c r="D36" i="192" l="1"/>
  <c r="D38" i="192" s="1"/>
  <c r="E33" i="87"/>
  <c r="E101" i="87" s="1"/>
  <c r="F38" i="192"/>
  <c r="F43" i="192" s="1"/>
  <c r="D43" i="192" s="1"/>
  <c r="F42" i="192"/>
  <c r="D42" i="192" s="1"/>
  <c r="AT27" i="86"/>
  <c r="AR27" i="86"/>
  <c r="AU20" i="86"/>
  <c r="AT21" i="86"/>
  <c r="AD47" i="86"/>
  <c r="AD49" i="86" s="1"/>
  <c r="M36" i="200" s="1"/>
  <c r="AT30" i="86" l="1"/>
  <c r="AU27" i="86"/>
  <c r="AR30" i="86"/>
  <c r="AA36" i="200"/>
  <c r="AD70" i="86"/>
  <c r="AW20" i="86"/>
  <c r="AU21" i="86"/>
  <c r="AD77" i="86" l="1"/>
  <c r="AD65" i="86"/>
  <c r="AD75" i="86" s="1"/>
  <c r="AW27" i="86"/>
  <c r="AU30" i="86"/>
  <c r="O36" i="200"/>
  <c r="P36" i="200"/>
  <c r="R36" i="200" l="1"/>
  <c r="AC36" i="200"/>
  <c r="AW30" i="86"/>
  <c r="O48" i="200" l="1"/>
  <c r="AB48" i="200"/>
  <c r="P48" i="200"/>
  <c r="AP62" i="86"/>
  <c r="R48" i="200" l="1"/>
  <c r="AC48" i="200"/>
  <c r="AP70" i="86"/>
  <c r="AP66" i="86"/>
  <c r="AP65" i="86" l="1"/>
  <c r="AP75" i="86" s="1"/>
  <c r="AP77" i="86"/>
  <c r="Y62" i="87" l="1"/>
  <c r="Y64" i="87" l="1"/>
  <c r="AH41" i="86"/>
  <c r="AQ41" i="86" s="1"/>
  <c r="Y66" i="87" l="1"/>
  <c r="AH45" i="86" s="1"/>
  <c r="AH47" i="86" l="1"/>
  <c r="AH49" i="86" s="1"/>
  <c r="M40" i="200" s="1"/>
  <c r="Y68" i="87"/>
  <c r="Y104" i="87" s="1"/>
  <c r="AR41" i="86"/>
  <c r="AT41" i="86"/>
  <c r="AU41" i="86" l="1"/>
  <c r="AH70" i="86"/>
  <c r="AA40" i="200"/>
  <c r="O40" i="200" l="1"/>
  <c r="P40" i="200"/>
  <c r="AH65" i="86"/>
  <c r="AH77" i="86"/>
  <c r="AW41" i="86"/>
  <c r="AC40" i="200" l="1"/>
  <c r="AH75" i="86"/>
  <c r="R40" i="200"/>
  <c r="D19" i="202"/>
  <c r="D34" i="202" l="1"/>
  <c r="D32" i="202"/>
  <c r="AQ56" i="86"/>
  <c r="E42" i="202" l="1"/>
  <c r="AR56" i="86" l="1"/>
  <c r="AT56" i="86"/>
  <c r="AU56" i="86" l="1"/>
  <c r="AW56" i="86" l="1"/>
  <c r="E40" i="202"/>
  <c r="E44" i="202"/>
  <c r="AB60" i="86"/>
  <c r="AQ60" i="86" s="1"/>
  <c r="AR60" i="86" l="1"/>
  <c r="AR62" i="86" s="1"/>
  <c r="AT60" i="86"/>
  <c r="AB62" i="86"/>
  <c r="AQ62" i="86" s="1"/>
  <c r="AQ51" i="86" s="1"/>
  <c r="AB70" i="86" l="1"/>
  <c r="AB65" i="86" s="1"/>
  <c r="AB51" i="86"/>
  <c r="N51" i="200" s="1"/>
  <c r="AU60" i="86"/>
  <c r="AT62" i="86"/>
  <c r="AB51" i="200" l="1"/>
  <c r="O51" i="200"/>
  <c r="P51" i="200"/>
  <c r="N54" i="200"/>
  <c r="AR51" i="86"/>
  <c r="AT51" i="86"/>
  <c r="AT66" i="86" s="1"/>
  <c r="AQ66" i="86"/>
  <c r="AB66" i="86"/>
  <c r="AW60" i="86"/>
  <c r="AW62" i="86" s="1"/>
  <c r="AU62" i="86"/>
  <c r="N55" i="200" l="1"/>
  <c r="AB54" i="200"/>
  <c r="AC51" i="200"/>
  <c r="R51" i="200"/>
  <c r="AU51" i="86"/>
  <c r="AU66" i="86" s="1"/>
  <c r="AR66" i="86"/>
  <c r="AB55" i="200" l="1"/>
  <c r="AW51" i="86"/>
  <c r="X13" i="126" s="1"/>
  <c r="X15" i="126" s="1"/>
  <c r="Y18" i="126" s="1"/>
  <c r="D13" i="127"/>
  <c r="C32" i="127" l="1"/>
  <c r="D16" i="127"/>
  <c r="C35" i="127" l="1"/>
  <c r="Y20" i="126" l="1"/>
  <c r="Y22" i="126" s="1"/>
  <c r="Y23" i="126" l="1"/>
  <c r="Y59" i="126" s="1"/>
  <c r="I45" i="86"/>
  <c r="AQ45" i="86" l="1"/>
  <c r="I47" i="86"/>
  <c r="I49" i="86" s="1"/>
  <c r="M17" i="200" l="1"/>
  <c r="AR45" i="86"/>
  <c r="AR47" i="86" s="1"/>
  <c r="AR49" i="86" s="1"/>
  <c r="AQ47" i="86"/>
  <c r="AQ49" i="86" s="1"/>
  <c r="AQ70" i="86" s="1"/>
  <c r="AT45" i="86"/>
  <c r="I70" i="86"/>
  <c r="AU70" i="86" s="1"/>
  <c r="AA17" i="200" l="1"/>
  <c r="AT47" i="86"/>
  <c r="AT49" i="86" s="1"/>
  <c r="AT70" i="86" s="1"/>
  <c r="AU45" i="86"/>
  <c r="I77" i="86"/>
  <c r="I65" i="86"/>
  <c r="P17" i="200"/>
  <c r="P54" i="200" s="1"/>
  <c r="M54" i="200"/>
  <c r="O17" i="200"/>
  <c r="AQ77" i="86"/>
  <c r="AQ65" i="86"/>
  <c r="AQ75" i="86" s="1"/>
  <c r="AR53" i="86"/>
  <c r="D18" i="127"/>
  <c r="AR70" i="86"/>
  <c r="AC17" i="200" l="1"/>
  <c r="O54" i="200"/>
  <c r="AA54" i="200"/>
  <c r="M55" i="200"/>
  <c r="AR65" i="86"/>
  <c r="AR75" i="86" s="1"/>
  <c r="AR77" i="86"/>
  <c r="R17" i="200"/>
  <c r="AU77" i="86"/>
  <c r="AU47" i="86"/>
  <c r="AU49" i="86" s="1"/>
  <c r="AU53" i="86" s="1"/>
  <c r="D19" i="127"/>
  <c r="C37" i="127"/>
  <c r="I75" i="86"/>
  <c r="AU65" i="86"/>
  <c r="AT65" i="86"/>
  <c r="AT75" i="86" s="1"/>
  <c r="AT77" i="86"/>
  <c r="O55" i="200" l="1"/>
  <c r="R54" i="200"/>
  <c r="R55" i="200" s="1"/>
  <c r="AU75" i="86"/>
  <c r="D22" i="127"/>
  <c r="C38" i="127"/>
  <c r="AC54" i="200"/>
  <c r="P55" i="200"/>
  <c r="AA55" i="200"/>
  <c r="M57" i="200"/>
  <c r="O56" i="200" l="1"/>
  <c r="O61" i="200"/>
  <c r="O62" i="200" s="1"/>
  <c r="D25" i="127"/>
  <c r="AV38" i="86"/>
  <c r="AV44" i="86"/>
  <c r="AV45" i="86"/>
  <c r="AV35" i="86"/>
  <c r="C41" i="127"/>
  <c r="AC55" i="200"/>
  <c r="O57" i="200"/>
  <c r="N57" i="200" s="1"/>
  <c r="BA44" i="86" l="1"/>
  <c r="AW44" i="86"/>
  <c r="BA38" i="86"/>
  <c r="AW38" i="86"/>
  <c r="BA45" i="86"/>
  <c r="AW45" i="86"/>
  <c r="BA35" i="86"/>
  <c r="AV47" i="86"/>
  <c r="AW35" i="86"/>
  <c r="AV17" i="86"/>
  <c r="C44" i="127"/>
  <c r="BA47" i="86" l="1"/>
  <c r="AV21" i="86"/>
  <c r="AW17" i="86"/>
  <c r="AY17" i="86"/>
  <c r="AW47" i="86"/>
  <c r="AW21" i="86" l="1"/>
  <c r="AW49" i="86" s="1"/>
  <c r="H21" i="207"/>
  <c r="H24" i="207" s="1"/>
  <c r="J24" i="207" s="1"/>
  <c r="AV14" i="86"/>
  <c r="AY21" i="86"/>
  <c r="AW14" i="86"/>
  <c r="AV49" i="86"/>
  <c r="AU71" i="86" s="1"/>
  <c r="AU67" i="86"/>
  <c r="H26" i="207" l="1"/>
  <c r="J26" i="207" s="1"/>
  <c r="K26" i="207" s="1"/>
  <c r="H27" i="207"/>
  <c r="AV70" i="86"/>
  <c r="J21" i="207"/>
  <c r="AW53" i="86"/>
  <c r="AW70" i="86"/>
  <c r="H28" i="207" l="1"/>
  <c r="AZ17" i="86" s="1"/>
  <c r="AW65" i="86"/>
  <c r="AW75" i="86" s="1"/>
  <c r="AW77" i="86"/>
  <c r="AV65" i="86"/>
  <c r="AV75" i="86" s="1"/>
  <c r="AV77" i="86"/>
  <c r="E25" i="127" l="1"/>
  <c r="F25" i="127" s="1"/>
  <c r="F22" i="127" s="1"/>
  <c r="AZ21" i="86"/>
  <c r="AZ49" i="86" s="1"/>
  <c r="BA17" i="86"/>
  <c r="J27" i="207"/>
  <c r="BB17" i="86" l="1"/>
  <c r="BA21" i="86"/>
  <c r="K27" i="207"/>
  <c r="J28" i="207"/>
  <c r="BA14" i="86" l="1"/>
  <c r="BB21" i="86"/>
  <c r="BA49" i="86"/>
</calcChain>
</file>

<file path=xl/sharedStrings.xml><?xml version="1.0" encoding="utf-8"?>
<sst xmlns="http://schemas.openxmlformats.org/spreadsheetml/2006/main" count="2552" uniqueCount="1231">
  <si>
    <t>OPERATING EXPENSE</t>
  </si>
  <si>
    <t>ACTUAL O&amp;M:</t>
  </si>
  <si>
    <t>NORMAL STORMS</t>
  </si>
  <si>
    <t xml:space="preserve">OPERATIONS </t>
  </si>
  <si>
    <t>TOTAL NORMAL STORMS</t>
  </si>
  <si>
    <t>INCREASE(DECREASE) OPERATING INCOME</t>
  </si>
  <si>
    <t>INCREASE(DECREASE) FIT @</t>
  </si>
  <si>
    <t>CHARGED TO EXPENSE</t>
  </si>
  <si>
    <t>INCREASE (DECREASE) EXPENSES</t>
  </si>
  <si>
    <t>INCREASE (DECREASE) TAXES OTHER</t>
  </si>
  <si>
    <t>INCREASE (DECREASE) IN EXPENSE</t>
  </si>
  <si>
    <t xml:space="preserve">TRANS. EXP. INCL. 500KV O&amp;M </t>
  </si>
  <si>
    <t>INCREASE (DECREASE) FIT @</t>
  </si>
  <si>
    <t>UNCOLLECTIBLES CHARGED TO EXPENSE IN TEST YEAR</t>
  </si>
  <si>
    <t>INCREASE(DECREASE) NOI</t>
  </si>
  <si>
    <t>INCREASE (DECREASE) INCOME</t>
  </si>
  <si>
    <t>TRANSMISSION</t>
  </si>
  <si>
    <t>INCREASE (DECREASE) FIT</t>
  </si>
  <si>
    <t>SUM OF TAXES OTHER</t>
  </si>
  <si>
    <t xml:space="preserve">INCREASE (DECREASE) FIT @ </t>
  </si>
  <si>
    <t>DISTRIBUTION</t>
  </si>
  <si>
    <t>INCREASE (DECREASE) EXPENSE</t>
  </si>
  <si>
    <t>INCREASE(DECREASE) FIT</t>
  </si>
  <si>
    <t>TOTAL RESTATED FIT</t>
  </si>
  <si>
    <t>CUSTOMER ACCTS</t>
  </si>
  <si>
    <t>CUSTOMER SERVICE</t>
  </si>
  <si>
    <t>UNION EMPLOYEES</t>
  </si>
  <si>
    <t>CAPITAL</t>
  </si>
  <si>
    <t>INCREASE (DECREASE) FIT @ 35%</t>
  </si>
  <si>
    <t>NET PRODUCTION PROPERTY</t>
  </si>
  <si>
    <t>INCREASE (DECREASE) SALES TO CUSTOMERS</t>
  </si>
  <si>
    <t>UNCOLLECTIBLES @</t>
  </si>
  <si>
    <t>ANNUAL FILING FEE @</t>
  </si>
  <si>
    <t>STATE UTILITY TAX @</t>
  </si>
  <si>
    <t>GENERAL RATE INCREASE</t>
  </si>
  <si>
    <t>QUALIFIED RETIREMENT FUND</t>
  </si>
  <si>
    <t>PRODUCTION ADJUSTMENT</t>
  </si>
  <si>
    <t>POWER COSTS</t>
  </si>
  <si>
    <t>OPERATING INCOME REQUIREMENT</t>
  </si>
  <si>
    <t>PRO FORMA OPERATING INCOME</t>
  </si>
  <si>
    <t>Colstrip Def Depr FERC Adj. - Reg Asset</t>
  </si>
  <si>
    <t>Total Production Property Depreciation &amp; Amortization</t>
  </si>
  <si>
    <t>Production Factor</t>
  </si>
  <si>
    <t>DEFERRED BALANCES FOR 10 YEAR AMORTIZATION AT</t>
  </si>
  <si>
    <t>Production Property Depreciation (FERC 403):</t>
  </si>
  <si>
    <t>Production Property Amortization (FERC 403):</t>
  </si>
  <si>
    <t>Tax Benefit of Production Adjusted Depreciation (FERC 403)</t>
  </si>
  <si>
    <t>Tax Benefit of Production Adjusted Amortization (FERC 403)</t>
  </si>
  <si>
    <t>WHITE RIVER PLANT COSTS</t>
  </si>
  <si>
    <t>PRO FORMA COST OF CAPITAL</t>
  </si>
  <si>
    <t>PAY</t>
  </si>
  <si>
    <t>INCENTIVE</t>
  </si>
  <si>
    <t>TOTAL PROFORMA COSTS (LN 4 + LN 9 + LN 14 + LN 19)</t>
  </si>
  <si>
    <t>Reclass</t>
  </si>
  <si>
    <t>SALES FROM RESALE-FIRM/SPECIAL CONTRACT</t>
  </si>
  <si>
    <t>CUSTOMER ACCTS EXPENSES</t>
  </si>
  <si>
    <t>EXPENSES TO BE NORMALIZED:</t>
  </si>
  <si>
    <t>TOTAL INCREASE (DECREASE) EXPENSE</t>
  </si>
  <si>
    <t>GENERAL RATE CASE</t>
  </si>
  <si>
    <t>Remove</t>
  </si>
  <si>
    <t>Net Before</t>
  </si>
  <si>
    <t>FERC</t>
  </si>
  <si>
    <t>Prod Factor</t>
  </si>
  <si>
    <t>Steam Fuel</t>
  </si>
  <si>
    <t>Purchased Power</t>
  </si>
  <si>
    <t>Other Power Expense</t>
  </si>
  <si>
    <t>Wheeling</t>
  </si>
  <si>
    <t>Subtotal Amortization</t>
  </si>
  <si>
    <t>(PREV. SFAS 133)</t>
  </si>
  <si>
    <t>ACCOUNTING STANDARDS CODIFICATION 815 (FORMERLY SFAS 133)</t>
  </si>
  <si>
    <t>ASC 815</t>
  </si>
  <si>
    <t>Sales for Resale</t>
  </si>
  <si>
    <t>CONVERSION FACTOR</t>
  </si>
  <si>
    <t>DESCRIPTION</t>
  </si>
  <si>
    <t>RESTATED</t>
  </si>
  <si>
    <t>(DECREASE)</t>
  </si>
  <si>
    <t>AMOUNT</t>
  </si>
  <si>
    <t>ADJUSTMENT</t>
  </si>
  <si>
    <t>TEST YEAR</t>
  </si>
  <si>
    <t>YEAR</t>
  </si>
  <si>
    <t>REVENUES</t>
  </si>
  <si>
    <t>RESALE OTHER</t>
  </si>
  <si>
    <t>RESALE FIRM</t>
  </si>
  <si>
    <t>TO REVENUE</t>
  </si>
  <si>
    <t>TOTAL</t>
  </si>
  <si>
    <t>RATE YEAR</t>
  </si>
  <si>
    <t>COSTS</t>
  </si>
  <si>
    <t>INCOME TAX</t>
  </si>
  <si>
    <t>INSURANCE</t>
  </si>
  <si>
    <t>DEBTS</t>
  </si>
  <si>
    <t>AMORTIZATION</t>
  </si>
  <si>
    <t>CUST DEPOSITS</t>
  </si>
  <si>
    <t>ENERGY TAX</t>
  </si>
  <si>
    <t>SALES</t>
  </si>
  <si>
    <t>PLAN</t>
  </si>
  <si>
    <t>DAMAGE</t>
  </si>
  <si>
    <t>EXPENSES</t>
  </si>
  <si>
    <t>RESULTS OF</t>
  </si>
  <si>
    <t>OPERATIONS</t>
  </si>
  <si>
    <t>RATE</t>
  </si>
  <si>
    <t>1</t>
  </si>
  <si>
    <t>-</t>
  </si>
  <si>
    <t>TEMP ADJ</t>
  </si>
  <si>
    <t>MWH</t>
  </si>
  <si>
    <t>OPERATING REVENUES</t>
  </si>
  <si>
    <t>CHANGE</t>
  </si>
  <si>
    <t>PROFORMA BAD DEBT RATE</t>
  </si>
  <si>
    <t>RATE BASE</t>
  </si>
  <si>
    <t>ANNUAL FILING FEE</t>
  </si>
  <si>
    <t>INCREASE (DECREASE) NOI</t>
  </si>
  <si>
    <t>PROFORMA BAD DEBTS</t>
  </si>
  <si>
    <t>PAYROLL TAXES ASSOC WITH MERIT PAY</t>
  </si>
  <si>
    <t>BENEFIT CONTRIBUTION:</t>
  </si>
  <si>
    <t>WAGES:</t>
  </si>
  <si>
    <t>TOTAL WAGES &amp; TAXES</t>
  </si>
  <si>
    <t xml:space="preserve"> RESIDENTIAL EXCHANGE</t>
  </si>
  <si>
    <t>TOTAL COMPANY CONTRIBUTION FOR MANAGEMENT</t>
  </si>
  <si>
    <t>INVESTMENT PLAN APPLICABLE TO MANAGEMENT</t>
  </si>
  <si>
    <t>WILD HORSE</t>
  </si>
  <si>
    <t xml:space="preserve"> SOLAR</t>
  </si>
  <si>
    <t>OPERATING EXPENSES:</t>
  </si>
  <si>
    <t>WESTCOAST PIPELINE CAPACITY - UE-100503 (BNP PARIBUS)</t>
  </si>
  <si>
    <t>WESTCOAST PIPELINE CAPACITY - UE-082013 (FB ENERGY)</t>
  </si>
  <si>
    <t>PRO FORMA COSTS APPLICABLE TO OPERATIONS</t>
  </si>
  <si>
    <t>REVENUE</t>
  </si>
  <si>
    <t>PENSION PLAN</t>
  </si>
  <si>
    <t>WAGE INCREASE</t>
  </si>
  <si>
    <t>INVESTMENT PLAN</t>
  </si>
  <si>
    <t>EMPLOYEE INSURANCE</t>
  </si>
  <si>
    <t>TEMPERATURE NORMALIZATION ADJUSTMENT:</t>
  </si>
  <si>
    <t>PROFORMA INTEREST</t>
  </si>
  <si>
    <t>PRO FORMA</t>
  </si>
  <si>
    <t>FIT</t>
  </si>
  <si>
    <t>PLANT BALANCE</t>
  </si>
  <si>
    <t>DEPRECIATION EXPENSE</t>
  </si>
  <si>
    <t>AMA OF REGULATORY ASSET/LIABILITY NET OF ACCUM AMORT AND DFIT</t>
  </si>
  <si>
    <t>Adjustment Detail (Page 1)</t>
  </si>
  <si>
    <t>Adjustment Detail (Page 2)</t>
  </si>
  <si>
    <t>ADJUSTMENT TO RATE BASE</t>
  </si>
  <si>
    <t>ADJUSTMENTS</t>
  </si>
  <si>
    <t>OPERATING INCOME DEFICIENCY</t>
  </si>
  <si>
    <t>REVENUE REQUIREMENT DEFICIENCY</t>
  </si>
  <si>
    <t xml:space="preserve">  DEFERRED TAXES</t>
  </si>
  <si>
    <t xml:space="preserve">  OTHER</t>
  </si>
  <si>
    <t xml:space="preserve">  ALLOWANCE FOR WORKING CAPITAL</t>
  </si>
  <si>
    <t>TEMPERATURE</t>
  </si>
  <si>
    <t xml:space="preserve">INCREASE (DECREASE) DEFERRED FIT @ </t>
  </si>
  <si>
    <t>Test Year Depreciable Production Property</t>
  </si>
  <si>
    <t>IBEW</t>
  </si>
  <si>
    <t>INVESTMENT PLAN APPLICABLE TO IBEW</t>
  </si>
  <si>
    <t xml:space="preserve">RATE YEAR IBEW WAGE INCREASE                   </t>
  </si>
  <si>
    <t>TOTAL COMPANY CONTRIBUTION FOR IBEW</t>
  </si>
  <si>
    <t>UA</t>
  </si>
  <si>
    <t>INVESTMENT PLAN APPLICABLE TO UA</t>
  </si>
  <si>
    <t xml:space="preserve">RATE YEAR UA WAGE INCREASE                   </t>
  </si>
  <si>
    <t>TOTAL COMPANY CONTRIBUTION FOR UA</t>
  </si>
  <si>
    <t>AMORTIZATION (OTHER THAN REGULATORY ASSETS/LIAB)</t>
  </si>
  <si>
    <t>LIBR. DEPREC. POST 1980 (AMA)</t>
  </si>
  <si>
    <t>NORMALIZATION</t>
  </si>
  <si>
    <t>REVENUE ADJUSTMENT:</t>
  </si>
  <si>
    <t>Total</t>
  </si>
  <si>
    <t>PAYROLL TAXES</t>
  </si>
  <si>
    <t>AND RESTATED</t>
  </si>
  <si>
    <t>INJURIES &amp; DAMAGES ACCRUALS</t>
  </si>
  <si>
    <t>INJURIES &amp; DAMAGES PAYMENTS IN EXCESS OF ACCRUALS</t>
  </si>
  <si>
    <t>INCREASE/(DECREASE) IN EXPENSE</t>
  </si>
  <si>
    <t>INCREASE/(DECREASE) IN OPERATING EXPENSE (LINE 3)</t>
  </si>
  <si>
    <t>AMORTIZATION OF DEFERRED NET GAIN FOR TEST YEAR</t>
  </si>
  <si>
    <t>3-YR AVERAGE OF NET WRITE OFF RATE</t>
  </si>
  <si>
    <t>TEST PERIOD REVENUES</t>
  </si>
  <si>
    <t>D&amp;O</t>
  </si>
  <si>
    <t>DIRECTORS &amp; OFFICERS INSURANCE</t>
  </si>
  <si>
    <t>D &amp; O INS. CHG  EXPENSE</t>
  </si>
  <si>
    <t>MT ELECTRIC</t>
  </si>
  <si>
    <t xml:space="preserve">WILD HORSE SOLAR </t>
  </si>
  <si>
    <t>STORM DAMAGE</t>
  </si>
  <si>
    <t>REGULATORY ASSETS AND LIABILITIES</t>
  </si>
  <si>
    <t>TEMPERATURE NORMALIZATION</t>
  </si>
  <si>
    <t>REVENUES AND EXPENSES</t>
  </si>
  <si>
    <t>PASS-THROUGH REVENUES AND EXPENSES</t>
  </si>
  <si>
    <t>FEDERAL INCOME TAX</t>
  </si>
  <si>
    <t>TAX BENEFIT OF PRO FORMA INTEREST</t>
  </si>
  <si>
    <t>INCENTIVE PAY</t>
  </si>
  <si>
    <t>INTEREST ON CUSTOMER DEPOSITS</t>
  </si>
  <si>
    <t>RATE CASE EXPENSES</t>
  </si>
  <si>
    <t>DEFERRED GAINS/LOSSES ON PROPERTY SALES</t>
  </si>
  <si>
    <t>PROPERTY &amp; LIABILITY INSURANCE</t>
  </si>
  <si>
    <t>SCHEDULE 7</t>
  </si>
  <si>
    <t>SCHEDULE 29</t>
  </si>
  <si>
    <t>SCHEDULE 43</t>
  </si>
  <si>
    <t>SCHEDULE 40 - MED SEC VOLTAGE</t>
  </si>
  <si>
    <t>FIRM RESALE</t>
  </si>
  <si>
    <t>FERC PART 12 STUDY NON-CONSTRUCTION COSTS UE-070074</t>
  </si>
  <si>
    <t>&amp; LIABILITIES</t>
  </si>
  <si>
    <t>Rate Year</t>
  </si>
  <si>
    <t>REMOVE RESIDENTIAL EXCHANGE - SCH 194</t>
  </si>
  <si>
    <t>NORMALIZE INJURIES AND DAMAGES</t>
  </si>
  <si>
    <t>NORMALIZE</t>
  </si>
  <si>
    <t>INJ &amp; DMGS</t>
  </si>
  <si>
    <t>INCREASE (DECREASE) OPERATING EXPENSE</t>
  </si>
  <si>
    <t xml:space="preserve">ACCUM DEPRECIATION </t>
  </si>
  <si>
    <t>BEP</t>
  </si>
  <si>
    <t>&amp; EXPENSES</t>
  </si>
  <si>
    <t>REMOVE CONSERVATION RIDER - SCHEDULE 120</t>
  </si>
  <si>
    <t>REMOVE MUNICIPAL TAXES - SCHEDULE 81</t>
  </si>
  <si>
    <t>REMOVE LOW INCOME AMORTIZATION - SCHEDULE 129</t>
  </si>
  <si>
    <t>STATE UTILITY TAX</t>
  </si>
  <si>
    <t>PASS-THROUGH</t>
  </si>
  <si>
    <t>REVS. &amp; EXPS.</t>
  </si>
  <si>
    <t>REG ASSETS</t>
  </si>
  <si>
    <t>DEPRECIATION / AMORTIZATION:</t>
  </si>
  <si>
    <t>Factor</t>
  </si>
  <si>
    <t>various</t>
  </si>
  <si>
    <t>Puget Sound Energy</t>
  </si>
  <si>
    <t>% Tax</t>
  </si>
  <si>
    <t>Proforma</t>
  </si>
  <si>
    <t>Production</t>
  </si>
  <si>
    <t>Per Books</t>
  </si>
  <si>
    <t>Line</t>
  </si>
  <si>
    <t>Deductible</t>
  </si>
  <si>
    <t>Amount</t>
  </si>
  <si>
    <t>FIT Amount</t>
  </si>
  <si>
    <t>Subtotal Depreciation</t>
  </si>
  <si>
    <t>Non-Depreciable Production Property:</t>
  </si>
  <si>
    <t>Non-Depreciable Production Property</t>
  </si>
  <si>
    <t>ADMIN. &amp; GENERAL</t>
  </si>
  <si>
    <t>PRO FORMA INSURANCE COSTS</t>
  </si>
  <si>
    <t>CATASTROPHIC STORMS</t>
  </si>
  <si>
    <t>TOTAL WAGE INCREASE</t>
  </si>
  <si>
    <t>APPLICABLE TO OPERATIONS @</t>
  </si>
  <si>
    <t>OTHER POWER SUPPLY EXPENSES</t>
  </si>
  <si>
    <t xml:space="preserve">INCREASE(DECREASE) NOI </t>
  </si>
  <si>
    <t>RATE BASE:</t>
  </si>
  <si>
    <t>COST OF</t>
  </si>
  <si>
    <t>CAPITAL %</t>
  </si>
  <si>
    <t>12 MOS ENDED</t>
  </si>
  <si>
    <t>Rate Base</t>
  </si>
  <si>
    <t>DEFERRED G/L ON</t>
  </si>
  <si>
    <t>CUSTOMER SERVICE EXPENSES</t>
  </si>
  <si>
    <t>REMOVE REVENUE ASSOCIATED WITH RIDERS:</t>
  </si>
  <si>
    <t>TOTAL (INCREASE) DECREASE IN REVENUES</t>
  </si>
  <si>
    <t>DECREASE REVENUE SENSITIVE ITEMS FOR DECREASE IN REVENUES:</t>
  </si>
  <si>
    <t>REMOVE EXPENSES ASSOCIATED WITH RIDERS</t>
  </si>
  <si>
    <t>INCREASE (DECREASE) OPERATING INCOME BEFORE FIT</t>
  </si>
  <si>
    <t>CONSERVATION AMORTIZATION</t>
  </si>
  <si>
    <t>ADMIN &amp; GENERAL EXPENSE</t>
  </si>
  <si>
    <t>OTHER OPERATING EXPENSES</t>
  </si>
  <si>
    <t>DEFERRED INCOME TAXES</t>
  </si>
  <si>
    <t>TOTAL OPERATING REV. DEDUCT.</t>
  </si>
  <si>
    <t>NET OPERATING INCOME</t>
  </si>
  <si>
    <t xml:space="preserve">RATE BASE </t>
  </si>
  <si>
    <t>RATE OF RETURN</t>
  </si>
  <si>
    <t/>
  </si>
  <si>
    <t xml:space="preserve"> </t>
  </si>
  <si>
    <t>BAD DEBTS</t>
  </si>
  <si>
    <t>MONTANA ELECTRIC ENERGY TAX</t>
  </si>
  <si>
    <r>
      <t xml:space="preserve">ANNUAL NORMALIZATION (LINE 3 </t>
    </r>
    <r>
      <rPr>
        <sz val="8.8000000000000007"/>
        <rFont val="Symbol"/>
        <family val="1"/>
        <charset val="2"/>
      </rPr>
      <t>¸</t>
    </r>
    <r>
      <rPr>
        <sz val="10"/>
        <rFont val="Times New Roman"/>
        <family val="1"/>
      </rPr>
      <t xml:space="preserve"> 2 YEARS)</t>
    </r>
  </si>
  <si>
    <r>
      <t xml:space="preserve">ANNUAL NORMALIZATION (LINE 9 </t>
    </r>
    <r>
      <rPr>
        <sz val="8.8000000000000007"/>
        <rFont val="Symbol"/>
        <family val="1"/>
        <charset val="2"/>
      </rPr>
      <t>¸</t>
    </r>
    <r>
      <rPr>
        <sz val="10"/>
        <rFont val="Times New Roman"/>
        <family val="1"/>
      </rPr>
      <t xml:space="preserve"> 4 YEARS)</t>
    </r>
  </si>
  <si>
    <t>LESS TEST YEAR EXPENSE</t>
  </si>
  <si>
    <t>OTHER OPERATING</t>
  </si>
  <si>
    <t>INCREASE (DECREASE ) EXPENSE</t>
  </si>
  <si>
    <t>Production Plant</t>
  </si>
  <si>
    <t>SALES TO CUSTOMERS:</t>
  </si>
  <si>
    <t>TAXES OTHER THAN INCOME TAXES</t>
  </si>
  <si>
    <t>INCOME TAXES</t>
  </si>
  <si>
    <t>SALES TO CUSTOMERS</t>
  </si>
  <si>
    <t>SALES FROM RESALE-FIRM</t>
  </si>
  <si>
    <t>SALES TO OTHER UTILITIES</t>
  </si>
  <si>
    <t>OTHER OPERATING REVENUES</t>
  </si>
  <si>
    <t>TOTAL OPERATING REVENUES</t>
  </si>
  <si>
    <t>OPERATING REVENUE DEDUCTIONS:</t>
  </si>
  <si>
    <t>POWER COSTS:</t>
  </si>
  <si>
    <t xml:space="preserve"> FUEL</t>
  </si>
  <si>
    <t xml:space="preserve"> PURCHASED AND INTERCHANGED</t>
  </si>
  <si>
    <t xml:space="preserve"> WHEELING</t>
  </si>
  <si>
    <t>TOTAL PRODUCTION EXPENSES</t>
  </si>
  <si>
    <t>TRANSMISSION EXPENSE</t>
  </si>
  <si>
    <t>DISTRIBUTION EXPENSE</t>
  </si>
  <si>
    <t>TOTAL INCREASE (DECREASE) REVENUES</t>
  </si>
  <si>
    <t xml:space="preserve">  DEFERRED DEBITS AND CREDITS</t>
  </si>
  <si>
    <t>NET WILD HORSE SOLAR PLANT RATEBASE</t>
  </si>
  <si>
    <t>RATEBASE (AMA) UTILITY PLANT RATEBASE</t>
  </si>
  <si>
    <t>ASC 815 OPERATING EXPENSE</t>
  </si>
  <si>
    <t>INTEREST EXPENSE AT MOST CURRENT INTEREST RATE</t>
  </si>
  <si>
    <t>LINE</t>
  </si>
  <si>
    <t>INCREASE</t>
  </si>
  <si>
    <t>NET</t>
  </si>
  <si>
    <t>GROSS</t>
  </si>
  <si>
    <t>SALES FOR</t>
  </si>
  <si>
    <t>WRITEOFF'S</t>
  </si>
  <si>
    <t>POWER</t>
  </si>
  <si>
    <t>FEDERAL</t>
  </si>
  <si>
    <t>BAD</t>
  </si>
  <si>
    <t xml:space="preserve">INTEREST ON </t>
  </si>
  <si>
    <t>EMPLOYEE</t>
  </si>
  <si>
    <t>INVESTMENT</t>
  </si>
  <si>
    <t>PRODUCTION</t>
  </si>
  <si>
    <t>PROFORMA</t>
  </si>
  <si>
    <t>STORM</t>
  </si>
  <si>
    <t>RATE CASE</t>
  </si>
  <si>
    <t>ACTUAL</t>
  </si>
  <si>
    <t>NO.</t>
  </si>
  <si>
    <t>Test Year</t>
  </si>
  <si>
    <t>PRODUCTION O&amp;M</t>
  </si>
  <si>
    <t>AMORTIZATION OF REGULATORY ASSET/LIABILITY</t>
  </si>
  <si>
    <t xml:space="preserve">ACTUAL RESUTLS </t>
  </si>
  <si>
    <t>OF OPERATIONS</t>
  </si>
  <si>
    <t>CHARGED TO EXPENSE DURING TEST YEAR</t>
  </si>
  <si>
    <t>TOTAL RATE BASE</t>
  </si>
  <si>
    <t>ADJUSTED</t>
  </si>
  <si>
    <t>REQUIREMENT</t>
  </si>
  <si>
    <t>AFTER</t>
  </si>
  <si>
    <t>PUGET SOUND ENERGY-ELECTRIC</t>
  </si>
  <si>
    <t>GROSS UTILITY PLANT IN SERVICE</t>
  </si>
  <si>
    <t>ACCUM DEPR AND AMORT</t>
  </si>
  <si>
    <t>DEFERRED INCOME TAX LIABILITY</t>
  </si>
  <si>
    <t>AMORTIZ OF PROPERTY GAIN/LOSS</t>
  </si>
  <si>
    <t>PROPERTY INSURANCE EXPENSE</t>
  </si>
  <si>
    <t>LIABILITY INSURANCE EXPENSE</t>
  </si>
  <si>
    <t>INCREASE(DECREASE) EXPENSE</t>
  </si>
  <si>
    <t>PROPERTY &amp;</t>
  </si>
  <si>
    <t>LIABILITY INS</t>
  </si>
  <si>
    <t>NET RATE BASE</t>
  </si>
  <si>
    <t>PROPERTY SALES</t>
  </si>
  <si>
    <t>WAGE</t>
  </si>
  <si>
    <t>PENSION</t>
  </si>
  <si>
    <t>TOTAL INCENTIVE/MERIT PAY</t>
  </si>
  <si>
    <t>GREEN POWER - SCH 135/136 BENEFITS PORTION OF ADMIN</t>
  </si>
  <si>
    <t>GREEN POWER - SCH 135/136 TAXES PORTION OF ADMIN</t>
  </si>
  <si>
    <t>COLSTRIP COMMON FERC ADJUSTMENT</t>
  </si>
  <si>
    <t>COLSTRIP DEFERRED DEPRECIATION FERC ADJ.</t>
  </si>
  <si>
    <t>TEST</t>
  </si>
  <si>
    <t>DEPRECIATION</t>
  </si>
  <si>
    <t>Description</t>
  </si>
  <si>
    <t>NEW</t>
  </si>
  <si>
    <t>WRITE-OFF'S</t>
  </si>
  <si>
    <t>Net</t>
  </si>
  <si>
    <t>Production O&amp;M</t>
  </si>
  <si>
    <t>456-17</t>
  </si>
  <si>
    <t>n/a</t>
  </si>
  <si>
    <t>Equity Return on Centralia Coal Transition PPA</t>
  </si>
  <si>
    <t>May</t>
  </si>
  <si>
    <t>PRODUCTION EXPENSES:</t>
  </si>
  <si>
    <t>501-STEAM FUEL</t>
  </si>
  <si>
    <t>547-FUEL</t>
  </si>
  <si>
    <t>555-PURCHASED POWER</t>
  </si>
  <si>
    <t>EQUITY RETURN ON CENTRALIA TRANSITION COAL PPA</t>
  </si>
  <si>
    <t>COLSTRIP 1&amp;2 (WECo) PREPAYMENT</t>
  </si>
  <si>
    <t>TOTAL DEPRECIATION / AMORTIZATION</t>
  </si>
  <si>
    <t>PRODUCTION RATE BASE:</t>
  </si>
  <si>
    <t xml:space="preserve">    PRODUCTION PROPERTY ACCUM DEPR. </t>
  </si>
  <si>
    <t xml:space="preserve">    NON-DEPRECIABLE PRODUCTION PROPERTY</t>
  </si>
  <si>
    <t xml:space="preserve">    PRODUCTION PROPERTY ACCUM AMORT.</t>
  </si>
  <si>
    <t>ACQUISITION ADJUSTMENT</t>
  </si>
  <si>
    <t xml:space="preserve">    ACCUMULATED AMORTIZATION ON ACQUISTION ADJ</t>
  </si>
  <si>
    <t>DEDUCT:</t>
  </si>
  <si>
    <t xml:space="preserve">    NOL DEFERRED TAX ASSET ATTRIBUTABLE TO PRODUCTION</t>
  </si>
  <si>
    <t xml:space="preserve">    TREASURY GRANTS FOR SNOQUALMIE AND BAKER</t>
  </si>
  <si>
    <t xml:space="preserve">    ACCUM AMORT OF TREASURY GRANTS FOR SNOQUALMIE AND BAKER</t>
  </si>
  <si>
    <t>TOTAL ADJUSTMENT TO PRODUCTION RATE BASE</t>
  </si>
  <si>
    <t>TREASURY GRANTS DEFERRAL - SNOQUALMIE</t>
  </si>
  <si>
    <t>TREASURY GRANTS DEFERRAL - BAKER</t>
  </si>
  <si>
    <t>CHELAN PUD CONTRACT INITITATION</t>
  </si>
  <si>
    <t xml:space="preserve">CHELAN - ROCK ISLAND SECURITY DEPOSIT </t>
  </si>
  <si>
    <t>LOWER SNAKE RIVER PREPAID TRANSM PRINCIPAL</t>
  </si>
  <si>
    <t>CARRYING CHARGES ON LSR PREPAID TRANSM</t>
  </si>
  <si>
    <t>MINT FARM DEFFRED - UE-090704 (ends Mar 2025)</t>
  </si>
  <si>
    <t>FERNDALE PLANT DEFERRAL (ends Oct 2019)</t>
  </si>
  <si>
    <t>ELECTRON UNRECOVERED PLANT COSTS</t>
  </si>
  <si>
    <t>TOTAL ADJUSTMENT TO REGULATORY ASSETS RATE BASE</t>
  </si>
  <si>
    <t>REMOVE PROPERTY TAX TRACKER - SCHEDULE 140</t>
  </si>
  <si>
    <t>REMOVE LOW INCOME RIDER - SCHEDULE 129</t>
  </si>
  <si>
    <t>REMOVE REC PROCEEDS - SCH 137</t>
  </si>
  <si>
    <t>REMOVE EXPENSES ASSOCIATED WITH SCH 137 REC PROCEEDS</t>
  </si>
  <si>
    <t>GREEN POWER - SCH 135/136</t>
  </si>
  <si>
    <t>GREEN POWER - SCH 135/136 ELIMINATE OVER EXPENSED</t>
  </si>
  <si>
    <t>REMOVE JPUD GAIN ON SALE SCH 133</t>
  </si>
  <si>
    <t>REMOVE CONSERVATION AMORTIZATON - SCHEDULE 120</t>
  </si>
  <si>
    <t>REMOVE PROPERTY TAX AMORTIZATION EXP - SCHEDULE 140</t>
  </si>
  <si>
    <t>REMOVE AMORT ON INTEREST ON REC PROCEEDS SCH 137</t>
  </si>
  <si>
    <t>GREEN POWER - SCH 135/136 CHARGED TO 908/909</t>
  </si>
  <si>
    <t>REMOVE JPUD AMORT EXPENSE SCH 133</t>
  </si>
  <si>
    <t>DEFERRED GAIN PENDING APPROVAL SINCE UE-111048</t>
  </si>
  <si>
    <t>DEFERRED LOSS PENDING APPROVAL SINCE UE-111048</t>
  </si>
  <si>
    <t>AMORTIZATION EXPENSE</t>
  </si>
  <si>
    <t>Exhibit A-1 Power Cost Baseline Rate</t>
  </si>
  <si>
    <t>Row</t>
  </si>
  <si>
    <t xml:space="preserve">Test Year </t>
  </si>
  <si>
    <t>Transmission Rate Base (Fixed)</t>
  </si>
  <si>
    <t>Production Rate Base (Fixed)</t>
  </si>
  <si>
    <t>Net of tax rate of return</t>
  </si>
  <si>
    <t>Test Yr</t>
  </si>
  <si>
    <t>$/MWh</t>
  </si>
  <si>
    <t>9A</t>
  </si>
  <si>
    <t>(I)</t>
  </si>
  <si>
    <t>(II)</t>
  </si>
  <si>
    <t>Regulatory Asset Recovery (on Row 3)</t>
  </si>
  <si>
    <t>10a</t>
  </si>
  <si>
    <t>Equity Adder Centralia Coal Transition PPA</t>
  </si>
  <si>
    <t>Fixed Asset Recovery Other (on Row 4)</t>
  </si>
  <si>
    <t>Fixed Asset Recovery-Prod Factored (on Row 5)</t>
  </si>
  <si>
    <t>557-Other Power Exp</t>
  </si>
  <si>
    <t>15a</t>
  </si>
  <si>
    <t>Payroll Overheads - Benefits (Inc. Worker's Comp)</t>
  </si>
  <si>
    <t>15b</t>
  </si>
  <si>
    <t>Property Insurance</t>
  </si>
  <si>
    <t>15c</t>
  </si>
  <si>
    <t>Montana Electric Energy Tax</t>
  </si>
  <si>
    <t>15d</t>
  </si>
  <si>
    <t>Payroll Taxes on Production Wages</t>
  </si>
  <si>
    <t>447-Sales to Others</t>
  </si>
  <si>
    <t>456-Purch/Sales Non-Core Gas</t>
  </si>
  <si>
    <t>Transmission Exp - 500KV</t>
  </si>
  <si>
    <t>Depreciation-Production (FERC 403)</t>
  </si>
  <si>
    <t>Depreciation-Transmission</t>
  </si>
  <si>
    <t>Subtotal &amp; Baseline Rate</t>
  </si>
  <si>
    <t>Revenue Sensitive Items</t>
  </si>
  <si>
    <t>SNOQUALMIE UPGRADE PLANT DEFERRAL (ends Oct 2019)</t>
  </si>
  <si>
    <t>BAKER UPGRADE PLANT DEFERRAL (ends Oct 2019)</t>
  </si>
  <si>
    <t>TREASURY GRANT DEFERRAL SNOQ &amp; BAKER (ends Dec 2018)</t>
  </si>
  <si>
    <t>ELECTRON UNRECOVERED COSTS</t>
  </si>
  <si>
    <t>TOTAL NON-POWER COST RELATED</t>
  </si>
  <si>
    <t>Encogen Acq. Adjustment</t>
  </si>
  <si>
    <t>Whitehorn Acq. Adjustment</t>
  </si>
  <si>
    <t>Mint Farm Acq. Adjustment</t>
  </si>
  <si>
    <t>Ferndale Acq. Adjustment</t>
  </si>
  <si>
    <t>REMOVE OVEREARNINGS ACCRUALS</t>
  </si>
  <si>
    <t>REMOVE EXPENSE RECOGNIZED FOR FUTURE PTC LIABILITY</t>
  </si>
  <si>
    <t>TOTAL INCREASE (DECREASE) EXPENSES</t>
  </si>
  <si>
    <t>TOTAL INCREASE (DECREASE) RSI</t>
  </si>
  <si>
    <t xml:space="preserve">Gross Plant - </t>
  </si>
  <si>
    <t xml:space="preserve">A/D Plant - </t>
  </si>
  <si>
    <t>Acquisition</t>
  </si>
  <si>
    <t>Accum</t>
  </si>
  <si>
    <t>Deferred</t>
  </si>
  <si>
    <t>Amort</t>
  </si>
  <si>
    <t>Gross Plant - Depr</t>
  </si>
  <si>
    <t>A/D - Depr</t>
  </si>
  <si>
    <t>Non Depr</t>
  </si>
  <si>
    <t>Adjustment</t>
  </si>
  <si>
    <t>Taxes</t>
  </si>
  <si>
    <t>Colstrip Common Ferc Adjustment</t>
  </si>
  <si>
    <t>Colstrip Deferred Depreciation Ferc Adj.</t>
  </si>
  <si>
    <t>NOL Deferred Tax Asset Attributable to Production</t>
  </si>
  <si>
    <t>Total Production Rate Base</t>
  </si>
  <si>
    <t>check=&gt;</t>
  </si>
  <si>
    <t>15e</t>
  </si>
  <si>
    <t>Brokerage Fees</t>
  </si>
  <si>
    <t xml:space="preserve">Variable </t>
  </si>
  <si>
    <t xml:space="preserve">Fixed </t>
  </si>
  <si>
    <t>Grossed up for RSI</t>
  </si>
  <si>
    <t>(III)</t>
  </si>
  <si>
    <t>ENERGY IMBALANCE MARKET</t>
  </si>
  <si>
    <t>GLACIER BATTERY STORAGE</t>
  </si>
  <si>
    <t>GLACIER</t>
  </si>
  <si>
    <t>BATTERY STRG</t>
  </si>
  <si>
    <t>STUDY</t>
  </si>
  <si>
    <t>2014 AND 2013 PCORC EXPENSES TO BE NORMALIZED</t>
  </si>
  <si>
    <t>Total Power Cost Adjustment</t>
  </si>
  <si>
    <t>V</t>
  </si>
  <si>
    <t>F</t>
  </si>
  <si>
    <t>500KV Trans Exp/O&amp;M</t>
  </si>
  <si>
    <t>Net power costs from  TY Margin or RY DEM Exh</t>
  </si>
  <si>
    <t>Purchses/(Sales) of Non-Core Gase</t>
  </si>
  <si>
    <t>GFG Fuel</t>
  </si>
  <si>
    <t xml:space="preserve">Factored </t>
  </si>
  <si>
    <t>Ben &amp; Tax</t>
  </si>
  <si>
    <t>F/V</t>
  </si>
  <si>
    <t>12MOE</t>
  </si>
  <si>
    <t>Variable PF</t>
  </si>
  <si>
    <t>Fixed PF</t>
  </si>
  <si>
    <t>(Pre-PF)</t>
  </si>
  <si>
    <t>BLR Net of RSI</t>
  </si>
  <si>
    <t>Baseline Rate Summarized</t>
  </si>
  <si>
    <t>Test Year DELIVERED Load (MWH's)</t>
  </si>
  <si>
    <t>Brokerage Fees 55700003</t>
  </si>
  <si>
    <t>Complement</t>
  </si>
  <si>
    <t xml:space="preserve"> GENERAL RATE CASE</t>
  </si>
  <si>
    <t>DEFERRED BALANCES FOR 6 YEAR AMORTIZATION AT</t>
  </si>
  <si>
    <t>Check=&gt;</t>
  </si>
  <si>
    <t>Transmission Revenue 456.1</t>
  </si>
  <si>
    <t xml:space="preserve">  ZO12                      Orders: Actual 12 Month Ended</t>
  </si>
  <si>
    <t>Cost elements</t>
  </si>
  <si>
    <t>Act. Costs</t>
  </si>
  <si>
    <t>92500701  1412 - Workers Compensation Admin - Com</t>
  </si>
  <si>
    <t>92500702  1412 - Workers Comp Insurance - Common</t>
  </si>
  <si>
    <t>92500703  1412 - Workers Comp Pmts to Employees-C</t>
  </si>
  <si>
    <t>92500704  1412-Move Part of Workr Comp Exp to B/S</t>
  </si>
  <si>
    <t>Debit</t>
  </si>
  <si>
    <t>Credit</t>
  </si>
  <si>
    <t>Over/underabsorption</t>
  </si>
  <si>
    <t>GPI MWh</t>
  </si>
  <si>
    <t>ENVIRONMENTAL REMEDIATION</t>
  </si>
  <si>
    <t>ELECTRIC ENVIRONMENTAL REMEDIATION</t>
  </si>
  <si>
    <r>
      <t xml:space="preserve">ANNUAL AMORTIZATION (LINE 3 </t>
    </r>
    <r>
      <rPr>
        <sz val="8.8000000000000007"/>
        <rFont val="Symbol"/>
        <family val="1"/>
        <charset val="2"/>
      </rPr>
      <t>¸</t>
    </r>
    <r>
      <rPr>
        <sz val="10"/>
        <rFont val="Times New Roman"/>
        <family val="1"/>
      </rPr>
      <t xml:space="preserve"> 5 YEARS)</t>
    </r>
  </si>
  <si>
    <t>INCREASE (DECREASE) FIT @ 35% (LINE 11 X 35%)</t>
  </si>
  <si>
    <t>TOTAL RATE YEAR AMORTIZATION ENVIRONMENTAL (LINE 4 + LINE 9)</t>
  </si>
  <si>
    <t>ENVIRONMENTAL</t>
  </si>
  <si>
    <t>REMEDIATION</t>
  </si>
  <si>
    <t>ENERGY IMB</t>
  </si>
  <si>
    <t>MARKET</t>
  </si>
  <si>
    <t>Adjustment Detail (Page 3)</t>
  </si>
  <si>
    <t>INCENTIVE / MERIT PAY</t>
  </si>
  <si>
    <t>O&amp;M / A&amp;G  PRODUCTION RELATED</t>
  </si>
  <si>
    <t>TOTAL OTHER TAXES</t>
  </si>
  <si>
    <t>OTHER TAXES:</t>
  </si>
  <si>
    <t>Amount to be</t>
  </si>
  <si>
    <t>Factored</t>
  </si>
  <si>
    <t>DEPRECIATION STUDY</t>
  </si>
  <si>
    <t>403 ELEC. DEPRECIATION EXPENSE</t>
  </si>
  <si>
    <t>403 ELEC. PORTION OF COMMON</t>
  </si>
  <si>
    <t>403 DEPR. EXP. ON ASSETS NOT INCLUDED IN STUDY</t>
  </si>
  <si>
    <t>SUBTOTAL DEPRECIATION EXPENSE 403</t>
  </si>
  <si>
    <t>403.1 DEPR. EXP- FAS 143 (RECOVERED IN RATES)</t>
  </si>
  <si>
    <t>403.1 DEPR. EXP - FAS 143 (NOT RECOVERED IN RATES)</t>
  </si>
  <si>
    <t>SUBTOTAL DEPRECIATION EXPENSE 403.1</t>
  </si>
  <si>
    <t>TOTAL DEPRECIATION EXPENSE</t>
  </si>
  <si>
    <t>TOTAL  ADJUSTMENT TO RATEBASE</t>
  </si>
  <si>
    <t>TOTAL OPERATING EXPENSES</t>
  </si>
  <si>
    <t>TOTAL PRODUCTION O&amp;M / A&amp;G</t>
  </si>
  <si>
    <t>TOTAL REGULATORY ASSET ADJUSTMENT TO DECOUPLING RATE</t>
  </si>
  <si>
    <t>Calculated by Rates Department:</t>
  </si>
  <si>
    <t>Allocation</t>
  </si>
  <si>
    <t>MONTANA ENERGY TAX</t>
  </si>
  <si>
    <t xml:space="preserve">TAXABLE INCOME (LOSS)  </t>
  </si>
  <si>
    <t>CURRENTLY PAYABLE</t>
  </si>
  <si>
    <t>DEFERRED FIT-OTHER</t>
  </si>
  <si>
    <t>DEFERRED FIT - INV TAX CREDIT, NET OF AMORT</t>
  </si>
  <si>
    <t>FIT PER BOOKS:</t>
  </si>
  <si>
    <t>DEFERRED FIT - DEBT</t>
  </si>
  <si>
    <t>DEFERRED FIT-CREDIT</t>
  </si>
  <si>
    <t>DEFERRED FIT- INV TAX CREDIT, NET OF AMORT</t>
  </si>
  <si>
    <t>TOTAL CHARED TO EXPENSE</t>
  </si>
  <si>
    <t>INCREASE(DECREASE) DEFERRED FIT</t>
  </si>
  <si>
    <t>NON-UNION (INCLUDING. EXECUTIVES)</t>
  </si>
  <si>
    <t>Notes:</t>
  </si>
  <si>
    <t xml:space="preserve"> (1)</t>
  </si>
  <si>
    <t xml:space="preserve"> (2)</t>
  </si>
  <si>
    <t xml:space="preserve"> (3)</t>
  </si>
  <si>
    <t>b</t>
  </si>
  <si>
    <t>Colstrip Common FERC Adj. - Reg Asset (3)</t>
  </si>
  <si>
    <t xml:space="preserve">     TREASURY GRANTS DEFERRAL - SNOQUALMIE</t>
  </si>
  <si>
    <t xml:space="preserve">     TREASURY GRANTS DEFERRAL - BAKER</t>
  </si>
  <si>
    <t xml:space="preserve">     ELECTRON UNRECOVERED COSTS</t>
  </si>
  <si>
    <t xml:space="preserve">     MINT FARM DEFFRAL - UE-090704</t>
  </si>
  <si>
    <t xml:space="preserve">     LSR PLANT DEFERRAL - UE-111048</t>
  </si>
  <si>
    <t xml:space="preserve">     FERNDALE PLANT DEFERRAL - UE-130617</t>
  </si>
  <si>
    <t xml:space="preserve">      SNOQUALMIE UPGRADE PLANT DEFERRAL UE-130617</t>
  </si>
  <si>
    <t xml:space="preserve">     BAKER UPGRADE PLANT DEFERRAL UE-130617</t>
  </si>
  <si>
    <t xml:space="preserve">     FERC PART 12 STUDY NON-CONSTRUCTION COSTS UE-070074</t>
  </si>
  <si>
    <t xml:space="preserve">     CARRYING CHARGES ON LSR PREPAID TRANSM</t>
  </si>
  <si>
    <t>REGULATORY ASSETS RATE BASE (INCLUDES POWER COST REG ASSETS/LIAB):</t>
  </si>
  <si>
    <t>DEPRECIABLE PRODUCTION PROPERTY (INCLUDES HYDRO GRANTS)</t>
  </si>
  <si>
    <t>MINT FARM DEFFRED - UE-090704 (ENDS MAR 2025)</t>
  </si>
  <si>
    <t>LOWER SNAKE RIVER PLANT DEFERRAL (ENDS APR 2016)</t>
  </si>
  <si>
    <t>FERNDALE PLANT DEFERRAL (ENDS OCT 2019)</t>
  </si>
  <si>
    <t>SNOQUALMIE UPGRADE PLANT DEFERRAL (ENDS OCT 2018)</t>
  </si>
  <si>
    <t>BAKER UPGRADE PLANT DEFERRAL (ENDS OCT 2018)</t>
  </si>
  <si>
    <t>REMOVE SCHEDULE 132 - MERGER RATE CREDIT</t>
  </si>
  <si>
    <t>REMOVE SCHEDULE 95A - FEDERAL INCENTIVE TRACKER</t>
  </si>
  <si>
    <t>REMOVE SCHEDULE 95 - POWER COST ONLY RATE CASE</t>
  </si>
  <si>
    <t>REMOVE SCHEDULE 141 - EXPEDITED RATE FILING</t>
  </si>
  <si>
    <t>REMOVE SCHEDULE 142 - DECOUPLING AND K-FACTOR REVENUE</t>
  </si>
  <si>
    <t>TOTAL ADJUSTMENTS TO SALES TO CUSTOMERS</t>
  </si>
  <si>
    <t>OTHER</t>
  </si>
  <si>
    <t>REMOVE MUNICIPAL TAXES - SCHEDULE 81 - SALES FOR RESALE</t>
  </si>
  <si>
    <t>ADJUSTMENTS SALES TO CUSTOMERS</t>
  </si>
  <si>
    <t>Item</t>
  </si>
  <si>
    <t xml:space="preserve">Note </t>
  </si>
  <si>
    <t>Wages</t>
  </si>
  <si>
    <t>Incentives</t>
  </si>
  <si>
    <t>Benefits</t>
  </si>
  <si>
    <t>Payroll Tax</t>
  </si>
  <si>
    <t>TY Prod O&amp;M</t>
  </si>
  <si>
    <t>Production Portion</t>
  </si>
  <si>
    <t>Pension Adj</t>
  </si>
  <si>
    <t>Empl Insurance Adj</t>
  </si>
  <si>
    <t>Wage Adj</t>
  </si>
  <si>
    <t>Incentive Adj</t>
  </si>
  <si>
    <t>Workers Comp</t>
  </si>
  <si>
    <t>In SAP</t>
  </si>
  <si>
    <t>Total by Cost</t>
  </si>
  <si>
    <t>For Depreciation Related Costs</t>
  </si>
  <si>
    <t>For Wage, Incentive, Benefits, and Payroll Tax, and other Related Costs:</t>
  </si>
  <si>
    <t>Per Renewal Period</t>
  </si>
  <si>
    <t xml:space="preserve"> (4)</t>
  </si>
  <si>
    <t>Adjustment ("change")</t>
  </si>
  <si>
    <t>Found in TY or  Adj to in Following Costs</t>
  </si>
  <si>
    <t>factored in this adjustment.</t>
  </si>
  <si>
    <t>Power Costs (which include production O&amp;M and 557) are presented pro-forma, already net of the production factor in Adjustment 9.01.</t>
  </si>
  <si>
    <t>exclude them from being presented Pro-forma with the rest of the Power Costs and why they must be production factored here.  Once the test</t>
  </si>
  <si>
    <r>
      <t xml:space="preserve">(1)  TY Production </t>
    </r>
    <r>
      <rPr>
        <b/>
        <i/>
        <sz val="10"/>
        <rFont val="Arial"/>
        <family val="2"/>
      </rPr>
      <t>Wages</t>
    </r>
    <r>
      <rPr>
        <sz val="10"/>
        <rFont val="Arial"/>
        <family val="2"/>
      </rPr>
      <t xml:space="preserve"> and </t>
    </r>
    <r>
      <rPr>
        <b/>
        <i/>
        <sz val="10"/>
        <rFont val="Arial"/>
        <family val="2"/>
      </rPr>
      <t>Incentive</t>
    </r>
    <r>
      <rPr>
        <sz val="10"/>
        <rFont val="Arial"/>
        <family val="2"/>
      </rPr>
      <t xml:space="preserve"> plan costs are included in  Production O&amp;M and 557 Power Costs by way of the Income Statement.</t>
    </r>
  </si>
  <si>
    <r>
      <t xml:space="preserve">Therefore, only the </t>
    </r>
    <r>
      <rPr>
        <b/>
        <i/>
        <sz val="10"/>
        <rFont val="Arial"/>
        <family val="2"/>
      </rPr>
      <t>change</t>
    </r>
    <r>
      <rPr>
        <sz val="10"/>
        <rFont val="Arial"/>
        <family val="2"/>
      </rPr>
      <t xml:space="preserve"> to production wages  and incentive costs (which are not included in Adjustment 9.01) needs to be production</t>
    </r>
  </si>
  <si>
    <r>
      <t xml:space="preserve">(2)  TY </t>
    </r>
    <r>
      <rPr>
        <b/>
        <i/>
        <sz val="10"/>
        <rFont val="Arial"/>
        <family val="2"/>
      </rPr>
      <t>Benefits</t>
    </r>
    <r>
      <rPr>
        <sz val="10"/>
        <rFont val="Arial"/>
        <family val="2"/>
      </rPr>
      <t xml:space="preserve"> and </t>
    </r>
    <r>
      <rPr>
        <b/>
        <i/>
        <sz val="10"/>
        <rFont val="Arial"/>
        <family val="2"/>
      </rPr>
      <t>Payroll Tax</t>
    </r>
    <r>
      <rPr>
        <sz val="10"/>
        <rFont val="Arial"/>
        <family val="2"/>
      </rPr>
      <t xml:space="preserve"> are </t>
    </r>
    <r>
      <rPr>
        <b/>
        <i/>
        <sz val="10"/>
        <rFont val="Arial"/>
        <family val="2"/>
      </rPr>
      <t>removed</t>
    </r>
    <r>
      <rPr>
        <sz val="10"/>
        <rFont val="Arial"/>
        <family val="2"/>
      </rPr>
      <t xml:space="preserve"> from Power Costs in the "Power Cost Bridge to A-1" tab.  The removal of these test year costs</t>
    </r>
  </si>
  <si>
    <r>
      <t>year costs are considered, only the</t>
    </r>
    <r>
      <rPr>
        <b/>
        <i/>
        <sz val="10"/>
        <rFont val="Arial"/>
        <family val="2"/>
      </rPr>
      <t xml:space="preserve"> change</t>
    </r>
    <r>
      <rPr>
        <sz val="10"/>
        <rFont val="Arial"/>
        <family val="2"/>
      </rPr>
      <t xml:space="preserve"> to the test year must be production factored in other adjustments that impact Benefits and Tax costs</t>
    </r>
  </si>
  <si>
    <t>Wage - Prod O&amp;M</t>
  </si>
  <si>
    <t>Incent - Prod O&amp;M</t>
  </si>
  <si>
    <t>WAGES &amp; INCENTIVE - PROD O&amp;M</t>
  </si>
  <si>
    <t>Wage - Other Pwr 557</t>
  </si>
  <si>
    <t>Incent - Other Pwr 557</t>
  </si>
  <si>
    <t>TY Other Pwr 557</t>
  </si>
  <si>
    <t>OTHER POWER SUPPLY (PROD O&amp;M)</t>
  </si>
  <si>
    <t>OTHER PWR - 557</t>
  </si>
  <si>
    <t>WAGES &amp; INCENTIVE - OTHER PWR 557</t>
  </si>
  <si>
    <t xml:space="preserve"> &lt;-- includes Firm Wholesale</t>
  </si>
  <si>
    <t>BENEFITS - A&amp;G 926</t>
  </si>
  <si>
    <t>WORKER'S COMP - A&amp;G 926</t>
  </si>
  <si>
    <t>PROPERTY INSURANCE - A&amp;G 926</t>
  </si>
  <si>
    <t xml:space="preserve">(3)  Because of Flow-through Taxes, the FIT on Production Book Depreciation will be higher or lower than 35% depending on the increase or decrease </t>
  </si>
  <si>
    <t xml:space="preserve">of the Flow-through Depreciation Turnaround (difference between Book and Tax Flow-through Depreciation).  For the Test Year as a whole, Flow- </t>
  </si>
  <si>
    <t xml:space="preserve">through Book production depreciation is greater than Flow-through Tax production depreciation which results in a "Tax Detriment of Flow-through </t>
  </si>
  <si>
    <t xml:space="preserve">Depreciation" (as opposed to a "Tax Benefit of Flow-through Depreciation").  The Flow-through Depreciation is tracked and provided by the Tax Department.  </t>
  </si>
  <si>
    <t>&lt;==Prod Depr ETR</t>
  </si>
  <si>
    <t>EQUITY</t>
  </si>
  <si>
    <t>TOTAL AFTER TAX COST OF CAPITAL</t>
  </si>
  <si>
    <t>TOTAL COST OF CAPITAL</t>
  </si>
  <si>
    <t>GOLDENDALE</t>
  </si>
  <si>
    <t>CAPACITY UPGRADE</t>
  </si>
  <si>
    <t>GOLDENDALE CAPACITY UPGRADE</t>
  </si>
  <si>
    <t>EIM RATEBASE (AMA)</t>
  </si>
  <si>
    <t>UTILITY PLANT RATEBASE</t>
  </si>
  <si>
    <t xml:space="preserve">DEFERRED FIT </t>
  </si>
  <si>
    <t>TOTAL  RATEBASE</t>
  </si>
  <si>
    <t>EIM OPERATING EXPENSE</t>
  </si>
  <si>
    <t>MINT FARM</t>
  </si>
  <si>
    <t>Goldendale Capacity Upgrade</t>
  </si>
  <si>
    <t>MINT FARM CAPACITY UPGRADE</t>
  </si>
  <si>
    <t>MINT FARM CAPACITY UPGRADE RATEBASE (AMA)</t>
  </si>
  <si>
    <t>Mint Farm Capacity Upgrade</t>
  </si>
  <si>
    <t>ADJUSTMENTS TO OTHER OPERATING REVENUE:</t>
  </si>
  <si>
    <t>557-OTHER POWER EXPENSE</t>
  </si>
  <si>
    <t xml:space="preserve">INCREASE (DECREASE) OPERATING INCOME </t>
  </si>
  <si>
    <t xml:space="preserve">    565-WHEELING</t>
  </si>
  <si>
    <t xml:space="preserve">    447-SALES FOR RESALE</t>
  </si>
  <si>
    <t xml:space="preserve">    456-PURCHASES/SALES OF NON-CORE GAS</t>
  </si>
  <si>
    <t>Rate Year:  Jan - Dec 2018</t>
  </si>
  <si>
    <t>Test Year - Depreciable Prop + T Grants</t>
  </si>
  <si>
    <t>Wild Horse Solar Depreciation Expense (9.03)</t>
  </si>
  <si>
    <t>Detailed support for above adjustments - Test Year Worker's Comp</t>
  </si>
  <si>
    <t>Detailed support for above adjustments - Flow Thru Tax on Production Depreciation</t>
  </si>
  <si>
    <t>f/t</t>
  </si>
  <si>
    <t>total</t>
  </si>
  <si>
    <t>electric</t>
  </si>
  <si>
    <t>gas</t>
  </si>
  <si>
    <t>total with RTP</t>
  </si>
  <si>
    <t>net of RTP</t>
  </si>
  <si>
    <t>prorated for Oct-Dec</t>
  </si>
  <si>
    <t xml:space="preserve">prorated for Jan-Sept </t>
  </si>
  <si>
    <t>total test year</t>
  </si>
  <si>
    <t xml:space="preserve">2017 GENERAL RATE CASE </t>
  </si>
  <si>
    <t>FOR THE TWELVE MONTHS ENDED SEPTEMBER 30, 2016</t>
  </si>
  <si>
    <t>SOUTH KING SERVICE CENTER</t>
  </si>
  <si>
    <t>WHITE RIVER</t>
  </si>
  <si>
    <t xml:space="preserve">WHITE </t>
  </si>
  <si>
    <t>RIVER</t>
  </si>
  <si>
    <t>TOTAL AMORTIZATION OF REG ASSETS/LIABS</t>
  </si>
  <si>
    <t>SOUTH KING</t>
  </si>
  <si>
    <t>SERVICE CENTER</t>
  </si>
  <si>
    <t>SOUTH KING SERVICE CENTER RATEBASE (AMA)</t>
  </si>
  <si>
    <t>GLACIER BATTERY STORAGE RATEBASE</t>
  </si>
  <si>
    <t>NET SOUTH KING RATEBASE</t>
  </si>
  <si>
    <t xml:space="preserve">September </t>
  </si>
  <si>
    <t xml:space="preserve">Test Year:  12MOE Sept 2016  </t>
  </si>
  <si>
    <t>2017 GRC</t>
  </si>
  <si>
    <t>OATT Transmission Revenue</t>
  </si>
  <si>
    <t>9/30/2016</t>
  </si>
  <si>
    <t>Oct 1, 2015_Sept 30, 2016 17GRC</t>
  </si>
  <si>
    <t>POWERTAX PRORATION CALCULATION (WITH Bonus)</t>
  </si>
  <si>
    <t>For the Twelve Months Ended 9/30/2016</t>
  </si>
  <si>
    <t>Rate Year:  Twelve Months Ended 12/31/2018</t>
  </si>
  <si>
    <t xml:space="preserve">In this case Flow-through Depreciation for 12MOE Sept 2016 is negative $13.4M and must be subtracted from (subtracting a negative effectively adds to)  </t>
  </si>
  <si>
    <t>Regulatory Assets (1) (Fixed)</t>
  </si>
  <si>
    <t>N/A (formerly hedging line of credit)</t>
  </si>
  <si>
    <t>(IV)</t>
  </si>
  <si>
    <t>(V)</t>
  </si>
  <si>
    <t>Prod Cost</t>
  </si>
  <si>
    <t>In Decoupling</t>
  </si>
  <si>
    <t>In PCA</t>
  </si>
  <si>
    <t>Variable</t>
  </si>
  <si>
    <t>RECLASSIFY TRANSPORTATION REVENUE TO SALES TO CUSTOMERS</t>
  </si>
  <si>
    <t>SALES FOR RESALE FIRM</t>
  </si>
  <si>
    <t>SCHEDULE 40 - LARGE DEC VOLTAGE</t>
  </si>
  <si>
    <t>SCHEDULE 40 - PRIMARY VOLTAGE</t>
  </si>
  <si>
    <t>REMOVE CURRENT PERIOD DECOUPLING DEFERRALS</t>
  </si>
  <si>
    <t>REMOVE AMORTIZATION DECOUPLING DEFERRALS</t>
  </si>
  <si>
    <t>TREASURY GRANTS</t>
  </si>
  <si>
    <t>TOTAL TREASURY GRANTS RATEBASE</t>
  </si>
  <si>
    <t>TOTAL TREASURY GRANTS EXPENSE</t>
  </si>
  <si>
    <t>DEPR-LEASEHOLD IMPROV.</t>
  </si>
  <si>
    <t>PLANT BALANCE-LEASE IMPROV</t>
  </si>
  <si>
    <t>ACCUM DEP-LEASE. IMPROVE.</t>
  </si>
  <si>
    <t>HYDRO TREASURY GRANTS RATEBASE</t>
  </si>
  <si>
    <t>HYDRO TREASURY GRANTS OPERATING EXPENSE</t>
  </si>
  <si>
    <t>RECLASS OF HYDRO</t>
  </si>
  <si>
    <t>NON POWER COST RELATED REG ASSETS &amp; LIAB</t>
  </si>
  <si>
    <t>Rate Year KWh</t>
  </si>
  <si>
    <t>WETT Tax Rate</t>
  </si>
  <si>
    <t xml:space="preserve">     WETT Tax</t>
  </si>
  <si>
    <t>EEELT Tax Rate</t>
  </si>
  <si>
    <t xml:space="preserve">     EEELT Tax</t>
  </si>
  <si>
    <t>RESTATED ENERGY TAX (LINE 1 X LINE 2)</t>
  </si>
  <si>
    <t>TRANSFER OF HYDRO TREASURY GRANTS IN RATEBASE</t>
  </si>
  <si>
    <t>PORTION INCLUDED IN DEPRECIATION STUDY ADJ</t>
  </si>
  <si>
    <t xml:space="preserve">     WHITE RIVER AMA</t>
  </si>
  <si>
    <t xml:space="preserve">WHITE RIVER PLANT REGULATORY ASSET </t>
  </si>
  <si>
    <t>WHITE RIVER PLANT IN SERVICE FERC 101</t>
  </si>
  <si>
    <t>WHITE RIVER FUTURE USE PLANT FERC 105</t>
  </si>
  <si>
    <t>TOTAL WHITE RIVER</t>
  </si>
  <si>
    <t xml:space="preserve">ACCUMULATED AMORTIZATION </t>
  </si>
  <si>
    <t xml:space="preserve">    TOTAL WHITE RIVER NET</t>
  </si>
  <si>
    <t xml:space="preserve">     WHITE RIVER AMORTIZATION</t>
  </si>
  <si>
    <t>WHITE RIVER AMORTIZATION</t>
  </si>
  <si>
    <t xml:space="preserve">    TOTAL WHITE RIVER EXPENSES</t>
  </si>
  <si>
    <t xml:space="preserve">    INCREASE (DECREASE ) EXPENSE</t>
  </si>
  <si>
    <t xml:space="preserve">     INCREASE (DECREASE) FIT</t>
  </si>
  <si>
    <t xml:space="preserve">     INCREASE (DECREASE) NOI</t>
  </si>
  <si>
    <t>PLANT BALANCE-BUILDING PURCHASE</t>
  </si>
  <si>
    <t>ACCUM DEPRECIATION-ON BUILDING PURCHASE</t>
  </si>
  <si>
    <t>ACC DEP-NEW BLG-PORTION INC IN DEP STUDY</t>
  </si>
  <si>
    <t xml:space="preserve">RENT CHARGED TO O&amp;M </t>
  </si>
  <si>
    <t>DEPR EXP-PORTION INC DEPR STUDY ADJ</t>
  </si>
  <si>
    <t>STATE UTILITY TAX SAVINGS FOR LINE 12</t>
  </si>
  <si>
    <t>For stand alone adjustments impacting ratebase</t>
  </si>
  <si>
    <t>ETIF</t>
  </si>
  <si>
    <t>Reported in FERC</t>
  </si>
  <si>
    <t>12MOE SAP</t>
  </si>
  <si>
    <t>Check</t>
  </si>
  <si>
    <t>to I/S</t>
  </si>
  <si>
    <t>PURCHASED POWER</t>
  </si>
  <si>
    <t>OTHER POWER SUPPLY</t>
  </si>
  <si>
    <t>ADFIT PORTION INCLUDED IN DEPRECIATION STUDY ADJ</t>
  </si>
  <si>
    <t>ACCUM DEPR-PORTION NEW DEPR STUDY</t>
  </si>
  <si>
    <t>DEPR EXP-PORTION FOR NEW DEPR STUDY</t>
  </si>
  <si>
    <t xml:space="preserve">   DEPRECIATION EXPENSE</t>
  </si>
  <si>
    <t xml:space="preserve">   DEFERRED INCOME TAX LIABILITY</t>
  </si>
  <si>
    <t xml:space="preserve">   DEF IN TAX LIAB-PORT NEW DEPR STUDY</t>
  </si>
  <si>
    <t>Glacier Battery Depreciation Expense (9.07)</t>
  </si>
  <si>
    <t xml:space="preserve">RATE YEAR NON-UNION WAGE INCREASE </t>
  </si>
  <si>
    <r>
      <t>UTILITY PLANT RATEBASE -</t>
    </r>
    <r>
      <rPr>
        <i/>
        <u/>
        <sz val="10"/>
        <rFont val="Times New Roman"/>
        <family val="1"/>
      </rPr>
      <t xml:space="preserve"> </t>
    </r>
    <r>
      <rPr>
        <b/>
        <i/>
        <u/>
        <sz val="10"/>
        <rFont val="Times New Roman"/>
        <family val="1"/>
      </rPr>
      <t>RETIRED ASSET</t>
    </r>
  </si>
  <si>
    <t xml:space="preserve">ACCUM DEFERRED FIT </t>
  </si>
  <si>
    <r>
      <t xml:space="preserve">UTILITY PLANT RATEBASE - </t>
    </r>
    <r>
      <rPr>
        <b/>
        <i/>
        <u/>
        <sz val="10"/>
        <rFont val="Times New Roman"/>
        <family val="1"/>
      </rPr>
      <t>NEW ADDITION</t>
    </r>
  </si>
  <si>
    <t>GOLDENDALE CAPACITY UPGRADE OPERATING EXPENSE</t>
  </si>
  <si>
    <t>TOTAL DEPRECIATION</t>
  </si>
  <si>
    <t>RETIRED ASSET DERPRECATION EXPENSE</t>
  </si>
  <si>
    <t>NEW ASSET DEPRECIATION EXPENSE</t>
  </si>
  <si>
    <t>NEW SERVICE AGREEMENT</t>
  </si>
  <si>
    <t>CUST REC &amp; COLLECTION EXPENSE</t>
  </si>
  <si>
    <t>DOCKET UE-160203 &amp; UG-160204 CREDIT CARD FEES</t>
  </si>
  <si>
    <t>EXPECTED RATE YEAR LEVEL OF FEES</t>
  </si>
  <si>
    <t>2017 GRC Depreciation Study (8.06)</t>
  </si>
  <si>
    <t>NON-UNION EMPLOYEES</t>
  </si>
  <si>
    <t>EXCISE TAXES</t>
  </si>
  <si>
    <t>WUTC FILING FEE</t>
  </si>
  <si>
    <t>INCREASE(DECREASE) EXCISE AND WUTC FILING FEE</t>
  </si>
  <si>
    <t xml:space="preserve">INCREASE(DECREASE) OPERATING EXPENSE </t>
  </si>
  <si>
    <t>FILING FEE AND EXCISE TAX</t>
  </si>
  <si>
    <t>DFIT</t>
  </si>
  <si>
    <t>FOR TEST YEAR 9/30/16</t>
  </si>
  <si>
    <t>EXCISE TAX AND</t>
  </si>
  <si>
    <t>A/D PORTION INCLUDED IN DEPRECIATION STUDY</t>
  </si>
  <si>
    <t>DFIT PORTION INCLUDED IN DEPRECIATION STUDY</t>
  </si>
  <si>
    <t>DEP EXP PORTION INCLUDED IN DEPRECIATION STUDY</t>
  </si>
  <si>
    <t xml:space="preserve">       the Book Production Depreciation before applying the 35% tax rate, in this case resulting in an effective tax rate that is higher than 35%.  </t>
  </si>
  <si>
    <t>AMORTIZATION OF TREASURY GRANTS (407.4)</t>
  </si>
  <si>
    <t>check =&gt;</t>
  </si>
  <si>
    <t>Electric Labor Allocation:</t>
  </si>
  <si>
    <t>TY A&amp;G 926 (related to Other Pwr 557)</t>
  </si>
  <si>
    <t>TY A&amp;G 926 (related to Prod O&amp;M)</t>
  </si>
  <si>
    <t>Investment Plan Adj</t>
  </si>
  <si>
    <t>such as:  Pension, Investment Plan, Employee Insurance.</t>
  </si>
  <si>
    <t>DEF TAX LIAB-PORT INC IN DEPR STUDY</t>
  </si>
  <si>
    <t xml:space="preserve">     WHITE RIVER REGULATORY ASSET</t>
  </si>
  <si>
    <t>WHITE RIVER REGULATORY ASSET</t>
  </si>
  <si>
    <t>(1) - Amortization is picked up in Regulatory Assets and Liabilities Adjustment and White River Adjustment.</t>
  </si>
  <si>
    <t>404 DEPR. EXP. ON ASSETS NOT INCLUDED IN STUDY</t>
  </si>
  <si>
    <t>411.10 ACCRETION EXP. - ASC 410 (RECOVERED IN RATES)</t>
  </si>
  <si>
    <t>411.10 ACCRETION EXP. - ASC 410 (NOT RECOVERED IN RATES)</t>
  </si>
  <si>
    <t>SUBTOTAL ACCRETION EXPENSE 411.10</t>
  </si>
  <si>
    <t>DEPRECIATION EXPENSE 403 ASSOCIATED WITH FLEET</t>
  </si>
  <si>
    <t xml:space="preserve">  Depreciation  Study (6.06)</t>
  </si>
  <si>
    <t>Wild Horse Solar (7.03)</t>
  </si>
  <si>
    <t>Glacier Battery (7.07)</t>
  </si>
  <si>
    <t>Goldendale Capacity Upgrade (7.09)</t>
  </si>
  <si>
    <t>Mint Farm Capacity Upgrade (7.10)</t>
  </si>
  <si>
    <t>White River (7.11)</t>
  </si>
  <si>
    <t>Hydro Grant Transfer to Accum Deprec (7.12)</t>
  </si>
  <si>
    <t xml:space="preserve">TOTAL REGULATORY ASSETS AND LIABILITIES RATEBASE </t>
  </si>
  <si>
    <t>a</t>
  </si>
  <si>
    <t xml:space="preserve">c  </t>
  </si>
  <si>
    <t>d</t>
  </si>
  <si>
    <t xml:space="preserve">e  </t>
  </si>
  <si>
    <t>f</t>
  </si>
  <si>
    <t>g</t>
  </si>
  <si>
    <t>h</t>
  </si>
  <si>
    <t>i</t>
  </si>
  <si>
    <t>j</t>
  </si>
  <si>
    <t>k</t>
  </si>
  <si>
    <t>l</t>
  </si>
  <si>
    <t>&lt;==Check to Prod Adj</t>
  </si>
  <si>
    <t>PF'd</t>
  </si>
  <si>
    <t>PAYMENT</t>
  </si>
  <si>
    <t>PROCESSING COSTS</t>
  </si>
  <si>
    <t>PAYMENT PROCESSING COSTS</t>
  </si>
  <si>
    <t>STATEMENT OF OPERATING INCOME AND ADJUSTMENTS</t>
  </si>
  <si>
    <t>Adjustment Detail (Page 4)</t>
  </si>
  <si>
    <t>Adjustment Detail (Page 5)</t>
  </si>
  <si>
    <r>
      <t xml:space="preserve">501-Steam Fuel </t>
    </r>
    <r>
      <rPr>
        <sz val="9"/>
        <color rgb="FFFF0000"/>
        <rFont val="Arial"/>
        <family val="2"/>
      </rPr>
      <t>Incl PC Reg Amort</t>
    </r>
  </si>
  <si>
    <r>
      <t xml:space="preserve">555-Purchased power </t>
    </r>
    <r>
      <rPr>
        <sz val="9"/>
        <color rgb="FFFF0000"/>
        <rFont val="Arial"/>
        <family val="2"/>
      </rPr>
      <t>Incl PC Reg Amort</t>
    </r>
  </si>
  <si>
    <r>
      <t xml:space="preserve">547-Fuel </t>
    </r>
    <r>
      <rPr>
        <sz val="9"/>
        <color rgb="FFFF0000"/>
        <rFont val="Arial"/>
        <family val="2"/>
      </rPr>
      <t>Incl PC Reg Amort</t>
    </r>
  </si>
  <si>
    <r>
      <t xml:space="preserve">565-Wheeling </t>
    </r>
    <r>
      <rPr>
        <sz val="9"/>
        <color rgb="FFFF0000"/>
        <rFont val="Arial"/>
        <family val="2"/>
      </rPr>
      <t>Incl PC Reg Amort</t>
    </r>
  </si>
  <si>
    <r>
      <t xml:space="preserve">Amortization  - Regulatory Assets &amp; Liab - </t>
    </r>
    <r>
      <rPr>
        <sz val="9"/>
        <color rgb="FFFF0000"/>
        <rFont val="Arial"/>
        <family val="2"/>
      </rPr>
      <t>Non PC Only</t>
    </r>
    <r>
      <rPr>
        <sz val="9"/>
        <rFont val="Arial"/>
        <family val="2"/>
      </rPr>
      <t xml:space="preserve"> (1)</t>
    </r>
  </si>
  <si>
    <t>COST</t>
  </si>
  <si>
    <t>%</t>
  </si>
  <si>
    <t xml:space="preserve"> OF INTEREST AND GRANTS</t>
  </si>
  <si>
    <t>REMOVE SCHEDULE 95A TREASURY GRANTS AMORTIZATION</t>
  </si>
  <si>
    <t>RECLASSIFY TRANSPORTATION REVENUE FROM OTHER OP. REVENUES</t>
  </si>
  <si>
    <t>DEFERRED FIT-DEBIT</t>
  </si>
  <si>
    <t>WEIGHTED AVERAGE COST OF DEBT</t>
  </si>
  <si>
    <t>ADJUSTMENT TO ACCUM. DEPREC. AT 50% DEPREC. EXP. LINE 21</t>
  </si>
  <si>
    <t>2009 AND 2011 GRC EXPENSES TO BE NORMALIZED</t>
  </si>
  <si>
    <t>DEFERRED GAIN RECORDED FOR UE-111048, at 12/31/2017</t>
  </si>
  <si>
    <t>DEFERRED LOSS RECORDED FOR UE-111048, at 12/31/2017</t>
  </si>
  <si>
    <t>TOTAL DEFERRED NET LOSS FOR UE-111048, at 12/31/2017 TO AMORTIZE (LN 1 + LN 2)</t>
  </si>
  <si>
    <t>NET LOSS PENDING APPROVAL (LN 5 + LN 6)</t>
  </si>
  <si>
    <t>NET GAIN (LN 3 + LN 7)</t>
  </si>
  <si>
    <t>ANNUAL AMORTIZATION (LN 9 ÷ 36) x 12</t>
  </si>
  <si>
    <t>INCREASE (DECREASE) EXPENSE  (LN 13 - LN 11)</t>
  </si>
  <si>
    <t>DEFERRED COSTS NET OF SITE SPECIFIC RECOVERIES AS OF SEPTEMBER 30, 2016</t>
  </si>
  <si>
    <t>INCREASE (DECREASE) OPERATING EXPENSE (LINES 3 &amp; 9)</t>
  </si>
  <si>
    <t>456-1 VARIABLE TRANSM. INCOME - COLSTRIP, 3RD AC &amp; NI</t>
  </si>
  <si>
    <t>TRANSMISSION LINE LOSS % FOR WECC</t>
  </si>
  <si>
    <t xml:space="preserve">   A/D PORTION INCLUDED IN DEPRECIATION STUDY ADJ</t>
  </si>
  <si>
    <t>`</t>
  </si>
  <si>
    <t xml:space="preserve">  TWELVE MONTHS ENDED 09/30/11</t>
  </si>
  <si>
    <t xml:space="preserve">  TWELVE MONTHS ENDED 09/30/12</t>
  </si>
  <si>
    <t xml:space="preserve">  TWELVE MONTHS ENDED 09/30/13</t>
  </si>
  <si>
    <t xml:space="preserve">(NOTE 1) THE ADJUSTMENTS FOR AMORTIZATION OF POWER COST RELATED REGULATORY ASSETS AND </t>
  </si>
  <si>
    <t xml:space="preserve">LIABILITIES ARE PERFORMED IN THE POWER COST ADJUSTMENT (ADJUSTMENT NO. 9.01) </t>
  </si>
  <si>
    <t>AND THEREFORE ARE NOT ADJUSTED HERE.</t>
  </si>
  <si>
    <t xml:space="preserve"> YEAR</t>
  </si>
  <si>
    <t>NET HYDRO TREASURY GRANTS BALANCE IN DEFFERED DEBITS &amp; CREDITS</t>
  </si>
  <si>
    <t>OPERATING EXPENSE:</t>
  </si>
  <si>
    <t>FACTOR</t>
  </si>
  <si>
    <t>AMORTIZATION ON REGULATORY ASSETS (EXXLUDES POWER REG AMORT)</t>
  </si>
  <si>
    <t>RATEBASE:</t>
  </si>
  <si>
    <t>TAX BENEFIT OF</t>
  </si>
  <si>
    <t xml:space="preserve"> PROFORMA INTEREST</t>
  </si>
  <si>
    <t>|------------------------ (NOTE 1) -------------------------|</t>
  </si>
  <si>
    <t>Determination of Net Power Costs in Adjustment KJB 14.01</t>
  </si>
  <si>
    <t>For Op Expense Portion of Production Adjustment 14.13</t>
  </si>
  <si>
    <t>For Ratebase Portion of Production Adjustment 14.13</t>
  </si>
  <si>
    <t>REVISED</t>
  </si>
  <si>
    <t>Note:  Amounts in bold and italics are different from January 13, 2017 original filing.</t>
  </si>
  <si>
    <t>ELECTRIC COST OF SERVICE SUMMARY</t>
  </si>
  <si>
    <t>Line No.</t>
  </si>
  <si>
    <t>Total Company</t>
  </si>
  <si>
    <t>(a)</t>
  </si>
  <si>
    <t>(b)</t>
  </si>
  <si>
    <t>(c)</t>
  </si>
  <si>
    <t>(d)</t>
  </si>
  <si>
    <t>(e)</t>
  </si>
  <si>
    <t>(g)</t>
  </si>
  <si>
    <t>(h)</t>
  </si>
  <si>
    <t>(k)</t>
  </si>
  <si>
    <t>(l)</t>
  </si>
  <si>
    <t>(m)</t>
  </si>
  <si>
    <t>(n)</t>
  </si>
  <si>
    <t>(o)</t>
  </si>
  <si>
    <t>Plant in Service</t>
  </si>
  <si>
    <t>Accumulated Reserve</t>
  </si>
  <si>
    <t>Firm Sales</t>
  </si>
  <si>
    <t>Non-Firm Sales</t>
  </si>
  <si>
    <t>Other Operating Revenue</t>
  </si>
  <si>
    <t>Operation and Maintenance</t>
  </si>
  <si>
    <t>Depreciation Expense</t>
  </si>
  <si>
    <t>Taxes Other Than Income</t>
  </si>
  <si>
    <t>Income Taxes</t>
  </si>
  <si>
    <t>Required Return</t>
  </si>
  <si>
    <t>Required Operating Income</t>
  </si>
  <si>
    <t>Revenue Conversion Factor</t>
  </si>
  <si>
    <t>Revenue Requirement</t>
  </si>
  <si>
    <t>Revenues Other Than Rate Sch. Rev.</t>
  </si>
  <si>
    <t>Rate Schedule Revenue Requirement</t>
  </si>
  <si>
    <t>Proposed Revenue Increase</t>
  </si>
  <si>
    <t>CONTESTED</t>
  </si>
  <si>
    <t>Rate of Return</t>
  </si>
  <si>
    <t>Conversion Factor</t>
  </si>
  <si>
    <t>NOI Requirement</t>
  </si>
  <si>
    <t>Change</t>
  </si>
  <si>
    <t>CHECK</t>
  </si>
  <si>
    <t>Common Adjustments</t>
  </si>
  <si>
    <t>Electric Only Adjustments</t>
  </si>
  <si>
    <t>INVESTOR SUPPLIED WORKING CAPITAL</t>
  </si>
  <si>
    <t>Difference</t>
  </si>
  <si>
    <t>NOI</t>
  </si>
  <si>
    <t>PSE</t>
  </si>
  <si>
    <t>Weighted Cost</t>
  </si>
  <si>
    <t xml:space="preserve">PUGET SOUND ENERGY </t>
  </si>
  <si>
    <t>INDEX BY COLOR CODE</t>
  </si>
  <si>
    <t>EXHIBITS OF MELISSA CHEESMAN</t>
  </si>
  <si>
    <t>STAFF POSITION</t>
  </si>
  <si>
    <t>Page 1</t>
  </si>
  <si>
    <t>Adj. 14.01</t>
  </si>
  <si>
    <t>PUGET SOUND ENERGY - ELECTRIC</t>
  </si>
  <si>
    <t>COMPARISON OF PSE-STAFF REVENUE REQUIREMENTS</t>
  </si>
  <si>
    <t>PSE Direct (Supplemental)</t>
  </si>
  <si>
    <t>Rev Req</t>
  </si>
  <si>
    <t>Cost of Capital</t>
  </si>
  <si>
    <t>Return on</t>
  </si>
  <si>
    <t xml:space="preserve">Staff </t>
  </si>
  <si>
    <t>Staff-PSE</t>
  </si>
  <si>
    <t>STAFF</t>
  </si>
  <si>
    <t>Adj. No.</t>
  </si>
  <si>
    <t>Pre Tax ROR</t>
  </si>
  <si>
    <t>Cap Structure</t>
  </si>
  <si>
    <t>Cost%</t>
  </si>
  <si>
    <t>Actual Results of Operations</t>
  </si>
  <si>
    <t>Preferred Stock</t>
  </si>
  <si>
    <t>Common Equity</t>
  </si>
  <si>
    <t>After Tax ROR</t>
  </si>
  <si>
    <t>Total Adjustment</t>
  </si>
  <si>
    <t>Adjusted Results of Operations</t>
  </si>
  <si>
    <t>check</t>
  </si>
  <si>
    <t>Staff Only Adjustments</t>
  </si>
  <si>
    <t>Short&amp;Long-term Debt</t>
  </si>
  <si>
    <t>@7.74%</t>
  </si>
  <si>
    <t>PSE Supplemental Revenue Requirement</t>
  </si>
  <si>
    <t>PSE Supplemental NOI Requirement</t>
  </si>
  <si>
    <t>PSE's SUPPLEMENTAL INCREASE (DECREASE) NOI</t>
  </si>
  <si>
    <t>PSE's SUPPLEMENTAL INCREASE (DECREASE) RB</t>
  </si>
  <si>
    <t xml:space="preserve">Puget Sound Energy </t>
  </si>
  <si>
    <t>STAFF ADJUSTMENT</t>
  </si>
  <si>
    <t>REVISED TOTAL AS ADJUSTED BY STAFF</t>
  </si>
  <si>
    <t>AMA</t>
  </si>
  <si>
    <t>FOOTNOTE</t>
  </si>
  <si>
    <t>Total Average Invested Capital</t>
  </si>
  <si>
    <t>(1)</t>
  </si>
  <si>
    <t>Total Non Operating Investment</t>
  </si>
  <si>
    <t>Total Average Investments</t>
  </si>
  <si>
    <t>Rounding</t>
  </si>
  <si>
    <t>Total Investor Supplied Capital</t>
  </si>
  <si>
    <t>Electric Working Capital</t>
  </si>
  <si>
    <t>Gas Working Capital</t>
  </si>
  <si>
    <t>Non Operating Working Capital</t>
  </si>
  <si>
    <t>Footnotes:</t>
  </si>
  <si>
    <t>For the Twelve Months Ended September 30, 2016</t>
  </si>
  <si>
    <t>PSE WP - "5.03 E&amp;G RB - 5.04 E&amp;G WC 17GRC.xlsx"</t>
  </si>
  <si>
    <t>WORKPAPERS</t>
  </si>
  <si>
    <t>UE-170033/UG-170034</t>
  </si>
  <si>
    <t>ELECTRIC OPERATIONS</t>
  </si>
  <si>
    <t>Electric (Rate Base and Deferrals)</t>
  </si>
  <si>
    <t>Total Electric (Rate Base and Deferrals)</t>
  </si>
  <si>
    <t>Gas (Rate Base and Deferrals)</t>
  </si>
  <si>
    <t>Total Gas (Rate Base and Deferrals)</t>
  </si>
  <si>
    <t>Total Electric &amp; Gas Investment</t>
  </si>
  <si>
    <t>AVERAGE INVESTED CAPITAL</t>
  </si>
  <si>
    <t>INVESTMENTS</t>
  </si>
  <si>
    <t>INVESTED SUPPLIED WORKING CAPITAL</t>
  </si>
  <si>
    <t xml:space="preserve">Non-Operating </t>
  </si>
  <si>
    <t>PER PSE SUPPLEMENTAL</t>
  </si>
  <si>
    <t>DIFF</t>
  </si>
  <si>
    <t>(i)</t>
  </si>
  <si>
    <t>(j)</t>
  </si>
  <si>
    <t>(p)</t>
  </si>
  <si>
    <t>Construction Work in Progress</t>
  </si>
  <si>
    <t>Working Capital Assets</t>
  </si>
  <si>
    <t>Other Items</t>
  </si>
  <si>
    <t>Revenue</t>
  </si>
  <si>
    <t>TOTAL REVENUE</t>
  </si>
  <si>
    <t>Expense</t>
  </si>
  <si>
    <t>TOTAL EXPENSES</t>
  </si>
  <si>
    <t>Operating Income</t>
  </si>
  <si>
    <t>Present Rate of Return</t>
  </si>
  <si>
    <t>Cost of Service</t>
  </si>
  <si>
    <t>Operating Income Deficiency</t>
  </si>
  <si>
    <t>Revenue Deficiency</t>
  </si>
  <si>
    <t>Percentage Increase</t>
  </si>
  <si>
    <t>Proposed Revenue Requirement</t>
  </si>
  <si>
    <t>Proposed Rate of Return</t>
  </si>
  <si>
    <t>Proposed Operating Income</t>
  </si>
  <si>
    <t>Revenue to Revenue Requirement</t>
  </si>
  <si>
    <t>Adjusted Revenue to Revenue Requirement</t>
  </si>
  <si>
    <t>Functional Rate Base</t>
  </si>
  <si>
    <t>System Total</t>
  </si>
  <si>
    <t>Functional Revenue Requirement</t>
  </si>
  <si>
    <t>TOTAL REVENUE REQUIREMENT</t>
  </si>
  <si>
    <t>Unit Costs (per kWh)</t>
  </si>
  <si>
    <t>kWh</t>
  </si>
  <si>
    <t>Allocate Deficiency to Cost</t>
  </si>
  <si>
    <t>Uncollectible Expense</t>
  </si>
  <si>
    <t>Regulatory Exp</t>
  </si>
  <si>
    <t>Utility Tax</t>
  </si>
  <si>
    <t>Total Deficiency (Expense)</t>
  </si>
  <si>
    <t>Allocation to Class</t>
  </si>
  <si>
    <t>Revenue Deficiency (Surplus)</t>
  </si>
  <si>
    <t>Source: "Copy of 170033_UE 170034_UG PSE Resp KROGER DR 005_Attach A.xls", tab "SUMMARY"</t>
  </si>
  <si>
    <t>Diff</t>
  </si>
  <si>
    <t xml:space="preserve">                    CONTESTED</t>
  </si>
  <si>
    <t>(LESS)</t>
  </si>
  <si>
    <t>EXHIBIT NO.___(MCC-6)</t>
  </si>
  <si>
    <t>EXHIBIT NO.___(MCC-5)</t>
  </si>
  <si>
    <t>EXHIBIT NO.___(MCC-4)</t>
  </si>
  <si>
    <t>EXHIBIT NO.___(MCC-3)</t>
  </si>
  <si>
    <t>EXHIBIT NO.___(MCC-2)</t>
  </si>
  <si>
    <t xml:space="preserve">                           CONTESTED</t>
  </si>
  <si>
    <t xml:space="preserve">                             STAFF ADJUSTMENT</t>
  </si>
  <si>
    <t>Adj. 13.06 A</t>
  </si>
  <si>
    <t>REGULATORY ASSET COLSTRIP</t>
  </si>
  <si>
    <t>COLSTRIP RATEBASE (AMA)</t>
  </si>
  <si>
    <t>AMORTIZATION EXPENSE (over 18 years)</t>
  </si>
  <si>
    <t>LONG TERM DEBT</t>
  </si>
  <si>
    <t>AFTER TAX SHORT TERM DEBT</t>
  </si>
  <si>
    <t>AFTER TAX LONG TERM DEBT</t>
  </si>
  <si>
    <t>Power/EIM/CAR Costs (14.01)</t>
  </si>
  <si>
    <t>Processing Costs (13.20)</t>
  </si>
  <si>
    <t>AMORTIZATION OF DEFERRAL (over 3 years)</t>
  </si>
  <si>
    <t>Mint Farm (14.10)</t>
  </si>
  <si>
    <t>White River (14.11)</t>
  </si>
  <si>
    <t>Energy Imbalance Market (14.08)</t>
  </si>
  <si>
    <t>Storm Damage (14.05)</t>
  </si>
  <si>
    <t>GRC Expense (13.12)</t>
  </si>
  <si>
    <t>Depr Study (13.06)</t>
  </si>
  <si>
    <t>Reg Asset Colstrip (13.06 A)</t>
  </si>
  <si>
    <t>Temp Normalization (13.02)</t>
  </si>
  <si>
    <t>13.06A</t>
  </si>
  <si>
    <t>REG. ASSET</t>
  </si>
  <si>
    <t>COLSTRIP</t>
  </si>
  <si>
    <t>OVERALL REVENUE DEFICIENCY CALCULATION</t>
  </si>
  <si>
    <t>FINAL REVENUE</t>
  </si>
  <si>
    <t>CURRENT OTHER SCHEDULE</t>
  </si>
  <si>
    <t>Exh. MCC-6</t>
  </si>
  <si>
    <t>Exh. KJB-12</t>
  </si>
  <si>
    <t>Page 2 of 6</t>
  </si>
  <si>
    <t>Page 3 of 6</t>
  </si>
  <si>
    <t>Page 4 of 6</t>
  </si>
  <si>
    <t>Page 5 of 6</t>
  </si>
  <si>
    <t>Page 6 of 6</t>
  </si>
  <si>
    <t>Page 1 of 6</t>
  </si>
  <si>
    <t>PSE Supplemental Filing</t>
  </si>
  <si>
    <t>Staff Proposal</t>
  </si>
  <si>
    <t>Sales to Customers</t>
  </si>
  <si>
    <t>Sales From Resale</t>
  </si>
  <si>
    <t>Source</t>
  </si>
  <si>
    <t>Base Sales to Customers @ 2011 Rates</t>
  </si>
  <si>
    <t>Base Sales from Resale @ 2011 Rates</t>
  </si>
  <si>
    <t>Schedules Merged into Base Rates</t>
  </si>
  <si>
    <t>Schedule 95
PCORC</t>
  </si>
  <si>
    <t>JAP-44</t>
  </si>
  <si>
    <t>Schedule 141
ERF</t>
  </si>
  <si>
    <t>Schedule 142
 Rate Plan, Deferral &amp; 
K-Factor</t>
  </si>
  <si>
    <t>Total Revenues @ Todays Rates</t>
  </si>
  <si>
    <t>As Filed Revenue Requirement</t>
  </si>
  <si>
    <t>Adjustment for Rate Year Schedules</t>
  </si>
  <si>
    <t>Schedule 142
Decoupling (Deferral)</t>
  </si>
  <si>
    <t>Schedule 149
Electric CRM</t>
  </si>
  <si>
    <t>Final Revenue Requirement (Including Rate Year Schedules)</t>
  </si>
  <si>
    <t>Revenue Change from 2011 Base Rates</t>
  </si>
  <si>
    <t xml:space="preserve">Revenue Change from Total Revenue </t>
  </si>
  <si>
    <t>Equals KJB-12 Sum Column AQ, Line No. 2</t>
  </si>
  <si>
    <t>STAFF'S ADJUSTMENT TO INVESTOR SUPPLIED WORKING CAPITAL AND RATE BASE</t>
  </si>
  <si>
    <t>ISWC and RB</t>
  </si>
  <si>
    <t>Big but not CATASTROPHIC STORMS</t>
  </si>
  <si>
    <t xml:space="preserve">Remove from deferred accounts.  Add back to normal storms </t>
  </si>
  <si>
    <t>2012 Deferred Balance Oct. 2011 to Sep. 2012</t>
  </si>
  <si>
    <t>2013 Deferred Balance Oct. 2012 to Sep. 2013</t>
  </si>
  <si>
    <t>2014 Deferred Balance Oct. 2013 to Sep. 2014</t>
  </si>
  <si>
    <t>2015 Deferred Balance Oct. 2014 to Sep. 2015</t>
  </si>
  <si>
    <t>2016 Deferred Balance Oct. 2015 to Sep. 2016 - return to test year expense</t>
  </si>
  <si>
    <t xml:space="preserve">  TWELVE MONTHS ENDED 09/30/14 + balance from line 23 allocated to T &amp; D</t>
  </si>
  <si>
    <t xml:space="preserve">  TWELVE MONTHS ENDED 09/30/15 + balance from line 24</t>
  </si>
  <si>
    <t xml:space="preserve">  TWELVE MONTHS ENDED 09/30/16 + balance from line 25</t>
  </si>
  <si>
    <t>SIX-YEAR AVERAGE STORM EXPENSE FOR RATE YEAR (LINE 9 ÷ 6 YEARS)</t>
  </si>
  <si>
    <t>CHARGED TO EXPENSE  12 MONTH ENDED 09/30/16</t>
  </si>
  <si>
    <t xml:space="preserve">  STORM DAMAGE EXPENSE (per PSE Supplemental Filing)</t>
  </si>
  <si>
    <t>INCREASE (DECREASE) OPERATING EXPENSE (LINE 11-LINE 14)</t>
  </si>
  <si>
    <t>TOTAL (LINE 21 THROUGH LINE 25) - WORKING CAPITAL INCREACE (DECREASE)</t>
  </si>
  <si>
    <t xml:space="preserve">   DEFERRED TAXES (Remove) - </t>
  </si>
  <si>
    <t>PSE added Oct. 2016 Storm  -- out of test period. No deferral, captured in a future average</t>
  </si>
  <si>
    <t>PSE added 2017 Storm -- out of test period. No deferral, captured in a future average</t>
  </si>
  <si>
    <t>START OF RATE YEAR (01/31/18):</t>
  </si>
  <si>
    <t>2010 STORM DAMAGE over amortization balance at Dec. 2017</t>
  </si>
  <si>
    <t>12/13/06 WIND STORM - recover EOY 2017 balance from 2010 over amortization*</t>
  </si>
  <si>
    <t>Remaining balance of 2010 over amortization.  Apply to 1/18/12 storm</t>
  </si>
  <si>
    <t>01/18/12 SNOW STORM - Approve.  Apply remaining 2010 over amortization</t>
  </si>
  <si>
    <t xml:space="preserve">      Less remaining 2010 over amortization</t>
  </si>
  <si>
    <t>AMORTIZE balance over six years</t>
  </si>
  <si>
    <t>TOTAL RATE YEAR AMORTIZATION (LINE 27 + LINE 34 + LINE 38)</t>
  </si>
  <si>
    <t>LESS TOTAL RATE YEAR AMORTIZATION per books</t>
  </si>
  <si>
    <t>TOTAL INCREASE (DECREASE) OPERATING EXPENSE (LINE 16 + LINE 43)</t>
  </si>
  <si>
    <t>INCREASE (DECREASE) FIT @ 35% (LINE 45 X 35%)</t>
  </si>
  <si>
    <t>Per Exh. BAE-3 ISWC</t>
  </si>
  <si>
    <t>(c) = (d) - (b)</t>
  </si>
  <si>
    <t>Electric Allocation (Line 28 / Line 23)</t>
  </si>
  <si>
    <t>Gas Allocation (Line 30 / Line 23)</t>
  </si>
  <si>
    <t>Non-Operating Allocation (Line 32 / Line 23)</t>
  </si>
  <si>
    <t>Exh. MCC-5</t>
  </si>
  <si>
    <t>Exh. MCC-3</t>
  </si>
  <si>
    <t>Exh. MCC-2</t>
  </si>
  <si>
    <t>@7.37%</t>
  </si>
  <si>
    <t>Environ. Rem (13.19)</t>
  </si>
  <si>
    <t>LEGAL COST</t>
  </si>
  <si>
    <t>Legal Cost (13.24)</t>
  </si>
  <si>
    <t>Hydro Treasury Grants (14.12)</t>
  </si>
  <si>
    <t>SCHEDULE 8 and 24</t>
  </si>
  <si>
    <t>SCHEDULE 11 and 25</t>
  </si>
  <si>
    <t>SCHEDULE 12 and 26</t>
  </si>
  <si>
    <t>SCHEDULE 10 and 31</t>
  </si>
  <si>
    <t>FINAL OVERALL</t>
  </si>
  <si>
    <t>REVENUE REQUIREMENT</t>
  </si>
  <si>
    <t>Adj. 13.24</t>
  </si>
  <si>
    <t>ELECTRIC LEGAL COSTS</t>
  </si>
  <si>
    <t>TOTAL RATE YEAR LEGAL COSTS</t>
  </si>
  <si>
    <t>LEGAL COSTS</t>
  </si>
  <si>
    <t>@7.74</t>
  </si>
  <si>
    <t>NOI*</t>
  </si>
  <si>
    <t>Rate Base*</t>
  </si>
  <si>
    <t>(N) = (E) - (I)</t>
  </si>
  <si>
    <t>(O) = (E) - (L)</t>
  </si>
  <si>
    <t>PSE Proposed</t>
  </si>
  <si>
    <t>ROR Impact</t>
  </si>
  <si>
    <t>Staff Proposed</t>
  </si>
  <si>
    <t>* Note:</t>
  </si>
  <si>
    <t>PSE Cost of Capital in Staff Format</t>
  </si>
  <si>
    <t>SHORT TERM DEBT (PSE combined)</t>
  </si>
  <si>
    <t>(A)</t>
  </si>
  <si>
    <t>(B)</t>
  </si>
  <si>
    <t xml:space="preserve">(C) </t>
  </si>
  <si>
    <t>(D)</t>
  </si>
  <si>
    <t>(E)</t>
  </si>
  <si>
    <t>(F)</t>
  </si>
  <si>
    <t>(G)</t>
  </si>
  <si>
    <t>(H)</t>
  </si>
  <si>
    <t>(J)</t>
  </si>
  <si>
    <t>(K)</t>
  </si>
  <si>
    <t>(L)</t>
  </si>
  <si>
    <t>(M)</t>
  </si>
  <si>
    <t>UE-170033 - UG-170034 Barnard Supplemental Exhibit KJB-11, KJB-12, KJB-13, KJB-14, KJB-15 PSE 04-03-2017.xlsx</t>
  </si>
  <si>
    <t>UE-170033 - UG-170034 Piliaris Supplemental Exhibit JAP-44 PSE 04-03-2017.xlsx</t>
  </si>
  <si>
    <t xml:space="preserve">Source Exhibits: </t>
  </si>
  <si>
    <t>Adjusted Test Year Twelve Months ended September 2016 @ Proforma Rev Requirement</t>
  </si>
  <si>
    <t>Change in ISWC (13.23)</t>
  </si>
  <si>
    <t>Change in Weather Normal. (13.02)</t>
  </si>
  <si>
    <t>Production Factor (14.13)</t>
  </si>
  <si>
    <t>Page 1 of 3</t>
  </si>
  <si>
    <t>Page 2 of 3</t>
  </si>
  <si>
    <t>Page 3 of 3</t>
  </si>
  <si>
    <t>Page 1 of 45</t>
  </si>
  <si>
    <t>Page 6 of 45</t>
  </si>
  <si>
    <t>Page 5 of 45</t>
  </si>
  <si>
    <t>Page 4 of 45</t>
  </si>
  <si>
    <t>Page 3 of 45</t>
  </si>
  <si>
    <t>Page 2 of 45</t>
  </si>
  <si>
    <t>Page 7 of 45</t>
  </si>
  <si>
    <t>Page 8 of 45</t>
  </si>
  <si>
    <t>Page 9 of 45</t>
  </si>
  <si>
    <t>Page 10 of 45</t>
  </si>
  <si>
    <t>Page 11 of 45</t>
  </si>
  <si>
    <t>Page 12 of 45</t>
  </si>
  <si>
    <t>Page 13 of 45</t>
  </si>
  <si>
    <t>Page 14 of 45</t>
  </si>
  <si>
    <t>Page 15 of 45</t>
  </si>
  <si>
    <t>Page 16 of 45</t>
  </si>
  <si>
    <t>Page 17 of 45</t>
  </si>
  <si>
    <t>Page 18 of 45</t>
  </si>
  <si>
    <t>Page 19 of 45</t>
  </si>
  <si>
    <t>Page 20 of 45</t>
  </si>
  <si>
    <t>Page 21 of 45</t>
  </si>
  <si>
    <t>Page 22 of 45</t>
  </si>
  <si>
    <t>Page 23 of 45</t>
  </si>
  <si>
    <t>Page 24 of 45</t>
  </si>
  <si>
    <t>Page 25 of 45</t>
  </si>
  <si>
    <t>Page 26 of 45</t>
  </si>
  <si>
    <t>Page 27 of 45</t>
  </si>
  <si>
    <t>Page 28 of 45</t>
  </si>
  <si>
    <t>Page 29 of 45</t>
  </si>
  <si>
    <t>Page 30 of 45</t>
  </si>
  <si>
    <t>Dockets UE-170033/UG-170034</t>
  </si>
  <si>
    <t>Page 31 of 45</t>
  </si>
  <si>
    <t>Page 32 of 45</t>
  </si>
  <si>
    <t>Page 33 of 45</t>
  </si>
  <si>
    <t>Page 34 of 45</t>
  </si>
  <si>
    <t>Page 35 of 45</t>
  </si>
  <si>
    <t>Page 36 of 45</t>
  </si>
  <si>
    <t>Page 37 of 45</t>
  </si>
  <si>
    <t>Page 38 of 45</t>
  </si>
  <si>
    <t>Page 39 of 45</t>
  </si>
  <si>
    <t>Page 40 of 45</t>
  </si>
  <si>
    <t>Page 41 of 45</t>
  </si>
  <si>
    <t>Page 42 of 45</t>
  </si>
  <si>
    <t>Page 43 of 45</t>
  </si>
  <si>
    <t>Page 44 of 45</t>
  </si>
  <si>
    <t>Page 45 of 45</t>
  </si>
  <si>
    <t>Exh. MCC-4</t>
  </si>
  <si>
    <t>LESS: Sales from Resale-Firm</t>
  </si>
  <si>
    <t>Production Factor (14.13) - reflect Decoupling proposal</t>
  </si>
  <si>
    <t>APPLIED TO ALL BUT LINE 19</t>
  </si>
  <si>
    <t>FIXED</t>
  </si>
  <si>
    <t>APPLIED ONLY TO LINE 19</t>
  </si>
  <si>
    <t>VARIABLE</t>
  </si>
  <si>
    <t>Equals MCC-2 Sum Column AW, Line No. 2 &amp; 3 (Sales to Customers and Resale)</t>
  </si>
  <si>
    <t>Page 1 of 1</t>
  </si>
  <si>
    <t>Equals KJB-12 Sum Column AS, Line No. 2 &amp; 3 (Sales to Customers and Resale)</t>
  </si>
  <si>
    <t>EXHIBIT NO.___(MCC-12)</t>
  </si>
  <si>
    <t>Equals MCC-2 Sum Column AU, Line No. 2</t>
  </si>
  <si>
    <t>Equals MCC-2 Sum Column AU, Line No. 3</t>
  </si>
  <si>
    <t>Equals KJB-12 Sum Column AQ, Line No. 3</t>
  </si>
  <si>
    <t xml:space="preserve">STAFF REVENUE BRIDGE </t>
  </si>
  <si>
    <t>BETWEEN 2011 REVENUE AND CURRENT REVENUE</t>
  </si>
  <si>
    <t>Page 1 of 2</t>
  </si>
  <si>
    <t>Page 2 of 2</t>
  </si>
  <si>
    <t>Exh. MCC-12</t>
  </si>
  <si>
    <t>@ 2011 REVENUE</t>
  </si>
  <si>
    <t>DEFICIENCY</t>
  </si>
  <si>
    <t>SUFFICIENCY</t>
  </si>
  <si>
    <r>
      <t>CURRENT OTHER SCHEDULE</t>
    </r>
    <r>
      <rPr>
        <b/>
        <sz val="12"/>
        <rFont val="Times New Roman"/>
        <family val="1"/>
      </rPr>
      <t>*</t>
    </r>
  </si>
  <si>
    <t>* Note: Current 2017 revenues related to PSE's PCORC, ERF, and Decoupling that will be folded into base rates.</t>
  </si>
  <si>
    <t>SHORT TERM DEBT</t>
  </si>
  <si>
    <t>Mint Farm (14.10) ADD BACK</t>
  </si>
  <si>
    <t>ISWC Staff Adjustment (13.23)</t>
  </si>
  <si>
    <t>2010 STORM DAMAGE - APPROVE, recover from 2010 over amortization</t>
  </si>
  <si>
    <t>(1) Non-Operating includes accounts that accrue or earn interest, CWIP, Non-utility, and or accounts not allowed for rate making purposes.</t>
  </si>
  <si>
    <t>Subtotal Additional Schedules Revenue</t>
  </si>
  <si>
    <t>2nd Change in ISWC (13.23)</t>
  </si>
  <si>
    <t>REVENUE REQUIREMENT SUFFICIENCY</t>
  </si>
  <si>
    <t>Rate Decr</t>
  </si>
  <si>
    <t>Rate Incr</t>
  </si>
  <si>
    <t>OVERALL REVENUE SUFFICIENCY CALCULATION</t>
  </si>
  <si>
    <r>
      <t>Numbers are hardcoded in these table columns (G) and (H). In order to capture Staff's developing Rev Req (revenue requirement) prior to adding Staff's proposed cost of capital in Staff's proposed format (below). To reproduce the hardcoded figures: Go to MCC-</t>
    </r>
    <r>
      <rPr>
        <b/>
        <sz val="8"/>
        <rFont val="Times New Roman"/>
        <family val="1"/>
      </rPr>
      <t>3</t>
    </r>
    <r>
      <rPr>
        <sz val="8"/>
        <rFont val="Times New Roman"/>
        <family val="1"/>
      </rPr>
      <t xml:space="preserve"> and add back PSE's proposed cost of capital. Go back to MCC-</t>
    </r>
    <r>
      <rPr>
        <b/>
        <sz val="8"/>
        <rFont val="Times New Roman"/>
        <family val="1"/>
      </rPr>
      <t>4</t>
    </r>
    <r>
      <rPr>
        <sz val="8"/>
        <rFont val="Times New Roman"/>
        <family val="1"/>
      </rPr>
      <t xml:space="preserve"> and you will observe that table columns G/J, H/K, and I/L are exactly the same.</t>
    </r>
  </si>
  <si>
    <t xml:space="preserve">     REVISED</t>
  </si>
  <si>
    <t xml:space="preserve">                                        REVISED</t>
  </si>
  <si>
    <t xml:space="preserve">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</si>
</sst>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6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0.00\)"/>
    <numFmt numFmtId="165" formatCode="0.0000%"/>
    <numFmt numFmtId="166" formatCode="0.0%"/>
    <numFmt numFmtId="167" formatCode="0.000%"/>
    <numFmt numFmtId="168" formatCode="0.00000"/>
    <numFmt numFmtId="169" formatCode="#,##0.0000000;\(#,##0.0000000\)"/>
    <numFmt numFmtId="170" formatCode="#,##0;\(#,##0\)"/>
    <numFmt numFmtId="171" formatCode="yyyy"/>
    <numFmt numFmtId="172" formatCode="0.0000000%"/>
    <numFmt numFmtId="173" formatCode="_(* #,##0_);_(* \(#,##0\);_(* &quot;-&quot;??_);_(@_)"/>
    <numFmt numFmtId="174" formatCode="_(&quot;$&quot;* #,##0_);_(&quot;$&quot;* \(#,##0\);_(&quot;$&quot;* &quot;-&quot;??_);_(@_)"/>
    <numFmt numFmtId="175" formatCode="_(* #,##0_);[Red]_(* \(#,##0\);_(* &quot;-&quot;_);_(@_)"/>
    <numFmt numFmtId="176" formatCode="_(&quot;$&quot;* #,##0_);[Red]_(&quot;$&quot;* \(#,##0\);_(&quot;$&quot;* &quot;-&quot;_);_(@_)"/>
    <numFmt numFmtId="177" formatCode="_(* #,##0.00000_);_(* \(#,##0.00000\);_(* &quot;-&quot;??_);_(@_)"/>
    <numFmt numFmtId="178" formatCode="0.000000"/>
    <numFmt numFmtId="179" formatCode="_(* #,##0.0_);_(* \(#,##0.0\);_(* &quot;-&quot;_);_(@_)"/>
    <numFmt numFmtId="180" formatCode="0.00000%"/>
    <numFmt numFmtId="181" formatCode="&quot;PAGE&quot;\ 0.00"/>
    <numFmt numFmtId="182" formatCode="_(* #,##0.000000_);_(* \(#,##0.000000\);_(* &quot;-&quot;??????_);_(@_)"/>
    <numFmt numFmtId="183" formatCode="_(* #,##0.000000_);_(* \(#,##0.000000\);_(* &quot;-&quot;??_);_(@_)"/>
    <numFmt numFmtId="184" formatCode="_(&quot;$&quot;* #,##0.000_);_(&quot;$&quot;* \(#,##0.000\);_(&quot;$&quot;* &quot;-&quot;??_);_(@_)"/>
    <numFmt numFmtId="185" formatCode="_(* #,##0.0000000_);_(* \(#,##0.0000000\);_(* &quot;-&quot;??_);_(@_)"/>
    <numFmt numFmtId="186" formatCode="0.00_);\(0.00\)"/>
    <numFmt numFmtId="187" formatCode="0.0"/>
    <numFmt numFmtId="188" formatCode="0.00_)"/>
    <numFmt numFmtId="189" formatCode="0.0000000"/>
    <numFmt numFmtId="190" formatCode="0000"/>
    <numFmt numFmtId="191" formatCode="000000"/>
    <numFmt numFmtId="192" formatCode="_-* ###0_-;\(###0\);_-* &quot;–&quot;_-;_-@_-"/>
    <numFmt numFmtId="193" formatCode="_-* #,###_-;\(#,###\);_-* &quot;–&quot;_-;_-@_-"/>
    <numFmt numFmtId="194" formatCode="_-\ #,##0.0_-;\(#,##0.0\);_-* &quot;–&quot;_-;_-@_-"/>
    <numFmt numFmtId="195" formatCode="d\.mmm\.yy"/>
    <numFmt numFmtId="196" formatCode="0.000_)"/>
    <numFmt numFmtId="197" formatCode="[$-409]mmm\-yy;@"/>
    <numFmt numFmtId="198" formatCode="#."/>
    <numFmt numFmtId="199" formatCode="#,##0.0"/>
    <numFmt numFmtId="200" formatCode="#,##0.0_);[Red]\(#,##0.0\)"/>
    <numFmt numFmtId="201" formatCode="_(* ###0_);_(* \(###0\);_(* &quot;-&quot;_);_(@_)"/>
    <numFmt numFmtId="202" formatCode="m/d/yy\ h:mm\ AM/PM"/>
    <numFmt numFmtId="203" formatCode="m/d/yy\ h:mm"/>
    <numFmt numFmtId="204" formatCode="_([$€-2]* #,##0.00_);_([$€-2]* \(#,##0.00\);_([$€-2]* &quot;-&quot;??_)"/>
    <numFmt numFmtId="205" formatCode="#,###,##0.00;\(#,###,##0.00\)"/>
    <numFmt numFmtId="206" formatCode="&quot;$&quot;#,###,##0.00;\(&quot;$&quot;#,###,##0.00\)"/>
    <numFmt numFmtId="207" formatCode="#,##0.00%;\(#,##0.00%\)"/>
    <numFmt numFmtId="208" formatCode="_(&quot;$&quot;* #,##0.0_);_(&quot;$&quot;* \(#,##0.0\);_(&quot;$&quot;* &quot;-&quot;??_);_(@_)"/>
    <numFmt numFmtId="209" formatCode="0.0000_);\(0.0000\)"/>
    <numFmt numFmtId="210" formatCode="mmm\-yyyy"/>
    <numFmt numFmtId="211" formatCode="&quot;$&quot;#,"/>
    <numFmt numFmtId="212" formatCode="&quot;$&quot;#,##0;\-&quot;$&quot;#,##0"/>
    <numFmt numFmtId="213" formatCode="0000000"/>
    <numFmt numFmtId="214" formatCode="#,##0_);\-#,##0_);\-_)"/>
    <numFmt numFmtId="215" formatCode="#,##0.00_);\-#,##0.00_);\-_)"/>
    <numFmt numFmtId="216" formatCode="#,##0.000_);[Red]\(#,##0.000\)"/>
    <numFmt numFmtId="217" formatCode="0.00\ ;\-0.00\ ;&quot;- &quot;"/>
    <numFmt numFmtId="218" formatCode="_(&quot;$&quot;* #,##0.0000_);_(&quot;$&quot;* \(#,##0.0000\);_(&quot;$&quot;* &quot;-&quot;????_);_(@_)"/>
    <numFmt numFmtId="219" formatCode="#,##0.0_);\-#,##0.0_);\-_)"/>
    <numFmt numFmtId="220" formatCode="mmm\ dd\,\ yyyy"/>
    <numFmt numFmtId="221" formatCode="&quot;$&quot;#,##0.00"/>
    <numFmt numFmtId="222" formatCode="0.00\ "/>
    <numFmt numFmtId="223" formatCode="&quot;Adj.&quot;\ 0.00"/>
    <numFmt numFmtId="224" formatCode="#,##0.0000000_);\(#,##0.0000000\)"/>
    <numFmt numFmtId="225" formatCode="_(&quot;$&quot;* #,##0.000000_);_(&quot;$&quot;* \(#,##0.000000\);_(&quot;$&quot;* &quot;-&quot;??_);_(@_)"/>
  </numFmts>
  <fonts count="236">
    <font>
      <sz val="8"/>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univers (E1)"/>
    </font>
    <font>
      <sz val="10"/>
      <name val="Times New Roman"/>
      <family val="1"/>
    </font>
    <font>
      <b/>
      <sz val="10"/>
      <name val="Times New Roman"/>
      <family val="1"/>
    </font>
    <font>
      <u/>
      <sz val="10"/>
      <name val="Times New Roman"/>
      <family val="1"/>
    </font>
    <font>
      <i/>
      <sz val="10"/>
      <name val="Times New Roman"/>
      <family val="1"/>
    </font>
    <font>
      <b/>
      <sz val="12"/>
      <name val="Times New Roman"/>
      <family val="1"/>
    </font>
    <font>
      <sz val="10"/>
      <name val="Arial"/>
      <family val="2"/>
    </font>
    <font>
      <sz val="8"/>
      <name val="Times New Roman"/>
      <family val="1"/>
    </font>
    <font>
      <sz val="8"/>
      <name val="Arial"/>
      <family val="2"/>
    </font>
    <font>
      <sz val="8"/>
      <name val="Helv"/>
    </font>
    <font>
      <b/>
      <sz val="10"/>
      <name val="Arial"/>
      <family val="2"/>
    </font>
    <font>
      <b/>
      <i/>
      <sz val="10"/>
      <name val="Arial"/>
      <family val="2"/>
    </font>
    <font>
      <sz val="10"/>
      <color indexed="8"/>
      <name val="MS Sans Serif"/>
      <family val="2"/>
    </font>
    <font>
      <b/>
      <i/>
      <sz val="10"/>
      <name val="Times New Roman"/>
      <family val="1"/>
    </font>
    <font>
      <b/>
      <sz val="14"/>
      <name val="Arial"/>
      <family val="2"/>
    </font>
    <font>
      <sz val="10"/>
      <color indexed="12"/>
      <name val="Arial"/>
      <family val="2"/>
    </font>
    <font>
      <b/>
      <sz val="12"/>
      <name val="Arial"/>
      <family val="2"/>
    </font>
    <font>
      <b/>
      <sz val="10"/>
      <color indexed="8"/>
      <name val="Arial"/>
      <family val="2"/>
    </font>
    <font>
      <sz val="10"/>
      <color indexed="8"/>
      <name val="Arial"/>
      <family val="2"/>
    </font>
    <font>
      <sz val="10"/>
      <name val="Helv"/>
    </font>
    <font>
      <sz val="8.8000000000000007"/>
      <name val="Symbol"/>
      <family val="1"/>
      <charset val="2"/>
    </font>
    <font>
      <sz val="8"/>
      <name val="Helv"/>
    </font>
    <font>
      <sz val="12"/>
      <name val="Arial"/>
      <family val="2"/>
    </font>
    <font>
      <b/>
      <sz val="11"/>
      <color theme="1"/>
      <name val="Calibri"/>
      <family val="2"/>
      <scheme val="minor"/>
    </font>
    <font>
      <b/>
      <u/>
      <sz val="10"/>
      <name val="Times New Roman"/>
      <family val="1"/>
    </font>
    <font>
      <sz val="8"/>
      <color rgb="FFFF0000"/>
      <name val="Arial"/>
      <family val="2"/>
    </font>
    <font>
      <b/>
      <sz val="12"/>
      <color rgb="FFFF0000"/>
      <name val="Arial"/>
      <family val="2"/>
    </font>
    <font>
      <b/>
      <sz val="11"/>
      <name val="Arial"/>
      <family val="2"/>
    </font>
    <font>
      <sz val="10"/>
      <color rgb="FF0000FF"/>
      <name val="Arial"/>
      <family val="2"/>
    </font>
    <font>
      <b/>
      <sz val="8"/>
      <color rgb="FF0000FF"/>
      <name val="Arial"/>
      <family val="2"/>
    </font>
    <font>
      <sz val="8"/>
      <color rgb="FF0000FF"/>
      <name val="Arial"/>
      <family val="2"/>
    </font>
    <font>
      <b/>
      <sz val="8"/>
      <color rgb="FFFF0000"/>
      <name val="Helv"/>
    </font>
    <font>
      <sz val="11"/>
      <color rgb="FFFF0000"/>
      <name val="Calibri"/>
      <family val="2"/>
      <scheme val="minor"/>
    </font>
    <font>
      <b/>
      <sz val="14"/>
      <color theme="1"/>
      <name val="Arial"/>
      <family val="2"/>
    </font>
    <font>
      <sz val="10"/>
      <color theme="1"/>
      <name val="Arial"/>
      <family val="2"/>
    </font>
    <font>
      <b/>
      <sz val="10"/>
      <name val="Helv"/>
    </font>
    <font>
      <sz val="12"/>
      <name val="Times New Roman"/>
      <family val="1"/>
    </font>
    <font>
      <sz val="10"/>
      <name val="Genev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9"/>
      <color theme="1"/>
      <name val="Calibri"/>
      <family val="2"/>
    </font>
    <font>
      <sz val="11"/>
      <color indexed="8"/>
      <name val="Calibri"/>
      <family val="2"/>
    </font>
    <font>
      <sz val="12"/>
      <color theme="1"/>
      <name val="Calibri"/>
      <family val="2"/>
      <scheme val="minor"/>
    </font>
    <font>
      <sz val="11"/>
      <color indexed="9"/>
      <name val="Calibri"/>
      <family val="2"/>
    </font>
    <font>
      <sz val="9"/>
      <color theme="0"/>
      <name val="Calibri"/>
      <family val="2"/>
    </font>
    <font>
      <sz val="12"/>
      <color theme="0"/>
      <name val="Calibri"/>
      <family val="2"/>
      <scheme val="minor"/>
    </font>
    <font>
      <sz val="11"/>
      <color indexed="20"/>
      <name val="Calibri"/>
      <family val="2"/>
    </font>
    <font>
      <sz val="9"/>
      <color rgb="FF9C0006"/>
      <name val="Calibri"/>
      <family val="2"/>
    </font>
    <font>
      <sz val="12"/>
      <color rgb="FF9C0006"/>
      <name val="Calibri"/>
      <family val="2"/>
      <scheme val="minor"/>
    </font>
    <font>
      <b/>
      <sz val="11"/>
      <color indexed="10"/>
      <name val="Calibri"/>
      <family val="2"/>
    </font>
    <font>
      <b/>
      <sz val="11"/>
      <color indexed="52"/>
      <name val="Calibri"/>
      <family val="2"/>
    </font>
    <font>
      <b/>
      <sz val="9"/>
      <color rgb="FFFA7D00"/>
      <name val="Calibri"/>
      <family val="2"/>
    </font>
    <font>
      <b/>
      <sz val="12"/>
      <color rgb="FFFA7D00"/>
      <name val="Calibri"/>
      <family val="2"/>
      <scheme val="minor"/>
    </font>
    <font>
      <b/>
      <sz val="11"/>
      <color indexed="9"/>
      <name val="Calibri"/>
      <family val="2"/>
    </font>
    <font>
      <b/>
      <sz val="9"/>
      <color theme="0"/>
      <name val="Calibri"/>
      <family val="2"/>
    </font>
    <font>
      <b/>
      <sz val="12"/>
      <color theme="0"/>
      <name val="Calibri"/>
      <family val="2"/>
      <scheme val="minor"/>
    </font>
    <font>
      <i/>
      <sz val="11"/>
      <color indexed="23"/>
      <name val="Calibri"/>
      <family val="2"/>
    </font>
    <font>
      <i/>
      <sz val="9"/>
      <color rgb="FF7F7F7F"/>
      <name val="Calibri"/>
      <family val="2"/>
    </font>
    <font>
      <i/>
      <sz val="12"/>
      <color rgb="FF7F7F7F"/>
      <name val="Calibri"/>
      <family val="2"/>
      <scheme val="minor"/>
    </font>
    <font>
      <sz val="11"/>
      <color indexed="17"/>
      <name val="Calibri"/>
      <family val="2"/>
    </font>
    <font>
      <sz val="9"/>
      <color rgb="FF006100"/>
      <name val="Calibri"/>
      <family val="2"/>
    </font>
    <font>
      <sz val="12"/>
      <color rgb="FF006100"/>
      <name val="Calibri"/>
      <family val="2"/>
      <scheme val="minor"/>
    </font>
    <font>
      <b/>
      <sz val="15"/>
      <color indexed="62"/>
      <name val="Calibri"/>
      <family val="2"/>
    </font>
    <font>
      <b/>
      <sz val="15"/>
      <color indexed="56"/>
      <name val="Calibri"/>
      <family val="2"/>
    </font>
    <font>
      <b/>
      <sz val="15"/>
      <color theme="3"/>
      <name val="Calibri"/>
      <family val="2"/>
    </font>
    <font>
      <b/>
      <sz val="13"/>
      <color indexed="62"/>
      <name val="Calibri"/>
      <family val="2"/>
    </font>
    <font>
      <b/>
      <sz val="13"/>
      <color indexed="56"/>
      <name val="Calibri"/>
      <family val="2"/>
    </font>
    <font>
      <b/>
      <sz val="13"/>
      <color theme="3"/>
      <name val="Calibri"/>
      <family val="2"/>
    </font>
    <font>
      <b/>
      <sz val="11"/>
      <color indexed="62"/>
      <name val="Calibri"/>
      <family val="2"/>
    </font>
    <font>
      <b/>
      <sz val="11"/>
      <color indexed="56"/>
      <name val="Calibri"/>
      <family val="2"/>
    </font>
    <font>
      <b/>
      <sz val="11"/>
      <color theme="3"/>
      <name val="Calibri"/>
      <family val="2"/>
    </font>
    <font>
      <sz val="11"/>
      <color indexed="62"/>
      <name val="Calibri"/>
      <family val="2"/>
    </font>
    <font>
      <sz val="9"/>
      <color rgb="FF3F3F76"/>
      <name val="Calibri"/>
      <family val="2"/>
    </font>
    <font>
      <sz val="12"/>
      <color rgb="FF3F3F76"/>
      <name val="Calibri"/>
      <family val="2"/>
      <scheme val="minor"/>
    </font>
    <font>
      <sz val="11"/>
      <color indexed="10"/>
      <name val="Calibri"/>
      <family val="2"/>
    </font>
    <font>
      <sz val="11"/>
      <color indexed="52"/>
      <name val="Calibri"/>
      <family val="2"/>
    </font>
    <font>
      <sz val="9"/>
      <color rgb="FFFA7D00"/>
      <name val="Calibri"/>
      <family val="2"/>
    </font>
    <font>
      <sz val="12"/>
      <color rgb="FFFA7D00"/>
      <name val="Calibri"/>
      <family val="2"/>
      <scheme val="minor"/>
    </font>
    <font>
      <sz val="11"/>
      <color indexed="19"/>
      <name val="Calibri"/>
      <family val="2"/>
    </font>
    <font>
      <sz val="11"/>
      <color indexed="60"/>
      <name val="Calibri"/>
      <family val="2"/>
    </font>
    <font>
      <sz val="9"/>
      <color rgb="FF9C6500"/>
      <name val="Calibri"/>
      <family val="2"/>
    </font>
    <font>
      <sz val="12"/>
      <color rgb="FF9C6500"/>
      <name val="Calibri"/>
      <family val="2"/>
      <scheme val="minor"/>
    </font>
    <font>
      <b/>
      <i/>
      <sz val="16"/>
      <name val="Helv"/>
    </font>
    <font>
      <sz val="10"/>
      <name val="MS Sans Serif"/>
      <family val="2"/>
    </font>
    <font>
      <b/>
      <sz val="11"/>
      <color indexed="63"/>
      <name val="Calibri"/>
      <family val="2"/>
    </font>
    <font>
      <b/>
      <sz val="9"/>
      <color rgb="FF3F3F3F"/>
      <name val="Calibri"/>
      <family val="2"/>
    </font>
    <font>
      <b/>
      <sz val="12"/>
      <color rgb="FF3F3F3F"/>
      <name val="Calibri"/>
      <family val="2"/>
      <scheme val="minor"/>
    </font>
    <font>
      <b/>
      <sz val="18"/>
      <color indexed="62"/>
      <name val="Cambria"/>
      <family val="2"/>
    </font>
    <font>
      <b/>
      <sz val="18"/>
      <color indexed="56"/>
      <name val="Cambria"/>
      <family val="2"/>
    </font>
    <font>
      <b/>
      <sz val="11"/>
      <color indexed="8"/>
      <name val="Calibri"/>
      <family val="2"/>
    </font>
    <font>
      <b/>
      <sz val="9"/>
      <color theme="1"/>
      <name val="Calibri"/>
      <family val="2"/>
    </font>
    <font>
      <b/>
      <sz val="12"/>
      <color theme="1"/>
      <name val="Calibri"/>
      <family val="2"/>
      <scheme val="minor"/>
    </font>
    <font>
      <sz val="9"/>
      <color rgb="FFFF0000"/>
      <name val="Calibri"/>
      <family val="2"/>
    </font>
    <font>
      <sz val="12"/>
      <color rgb="FFFF0000"/>
      <name val="Calibri"/>
      <family val="2"/>
      <scheme val="minor"/>
    </font>
    <font>
      <sz val="10"/>
      <name val="Arial"/>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theme="0"/>
      <name val="Calibri"/>
      <family val="2"/>
    </font>
    <font>
      <sz val="11"/>
      <color rgb="FF9C0006"/>
      <name val="Calibri"/>
      <family val="2"/>
    </font>
    <font>
      <sz val="8"/>
      <color indexed="13"/>
      <name val="Arial"/>
      <family val="2"/>
    </font>
    <font>
      <b/>
      <sz val="11"/>
      <name val="Calibri"/>
      <family val="2"/>
    </font>
    <font>
      <sz val="11"/>
      <name val="Calibri"/>
      <family val="2"/>
    </font>
    <font>
      <b/>
      <sz val="8"/>
      <color indexed="57"/>
      <name val="Arial"/>
      <family val="2"/>
    </font>
    <font>
      <sz val="6.5"/>
      <name val="Arial"/>
      <family val="2"/>
    </font>
    <font>
      <b/>
      <sz val="8"/>
      <name val="Arial"/>
      <family val="2"/>
    </font>
    <font>
      <b/>
      <sz val="11"/>
      <color indexed="10"/>
      <name val="Calibri"/>
      <family val="2"/>
      <scheme val="minor"/>
    </font>
    <font>
      <b/>
      <sz val="11"/>
      <color theme="0"/>
      <name val="Calibri"/>
      <family val="2"/>
    </font>
    <font>
      <b/>
      <sz val="9"/>
      <color indexed="18"/>
      <name val="Arial"/>
      <family val="2"/>
    </font>
    <font>
      <sz val="11"/>
      <name val="Tms Rmn"/>
    </font>
    <font>
      <sz val="10"/>
      <name val="Calibri"/>
      <family val="2"/>
    </font>
    <font>
      <sz val="12"/>
      <color indexed="8"/>
      <name val="Arial"/>
      <family val="2"/>
    </font>
    <font>
      <sz val="12"/>
      <color indexed="24"/>
      <name val="Arial"/>
      <family val="2"/>
    </font>
    <font>
      <sz val="12"/>
      <name val="TIMES"/>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i/>
      <sz val="11"/>
      <color rgb="FF7F7F7F"/>
      <name val="Calibri"/>
      <family val="2"/>
    </font>
    <font>
      <sz val="14"/>
      <color indexed="32"/>
      <name val="Times New Roman"/>
      <family val="1"/>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font>
    <font>
      <sz val="12"/>
      <name val="Arial MT"/>
    </font>
    <font>
      <sz val="9"/>
      <color indexed="13"/>
      <name val="Arial"/>
      <family val="2"/>
    </font>
    <font>
      <u/>
      <sz val="10"/>
      <color indexed="12"/>
      <name val="Arial"/>
      <family val="2"/>
    </font>
    <font>
      <sz val="11"/>
      <color rgb="FF3F3F76"/>
      <name val="Calibri"/>
      <family val="2"/>
    </font>
    <font>
      <b/>
      <sz val="12"/>
      <color indexed="20"/>
      <name val="Arial"/>
      <family val="2"/>
    </font>
    <font>
      <sz val="11"/>
      <color rgb="FFFA7D00"/>
      <name val="Calibri"/>
      <family val="2"/>
    </font>
    <font>
      <sz val="11"/>
      <color indexed="19"/>
      <name val="Calibri"/>
      <family val="2"/>
      <scheme val="minor"/>
    </font>
    <font>
      <sz val="11"/>
      <color rgb="FF9C6500"/>
      <name val="Calibri"/>
      <family val="2"/>
    </font>
    <font>
      <sz val="7"/>
      <name val="Small Fonts"/>
      <family val="2"/>
    </font>
    <font>
      <sz val="9"/>
      <color theme="1"/>
      <name val="Arial"/>
      <family val="2"/>
    </font>
    <font>
      <sz val="11"/>
      <color indexed="8"/>
      <name val="Calibri"/>
      <family val="2"/>
      <scheme val="minor"/>
    </font>
    <font>
      <sz val="12"/>
      <color theme="1"/>
      <name val="Arial"/>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i/>
      <sz val="10"/>
      <name val="Arial"/>
      <family val="2"/>
    </font>
    <font>
      <b/>
      <sz val="8"/>
      <color indexed="18"/>
      <name val="Arial"/>
      <family val="2"/>
    </font>
    <font>
      <sz val="10"/>
      <color indexed="39"/>
      <name val="Arial"/>
      <family val="2"/>
    </font>
    <font>
      <b/>
      <sz val="12"/>
      <color indexed="8"/>
      <name val="Arial"/>
      <family val="2"/>
    </font>
    <font>
      <b/>
      <sz val="8"/>
      <color indexed="62"/>
      <name val="Arial"/>
      <family val="2"/>
    </font>
    <font>
      <b/>
      <sz val="18"/>
      <color indexed="62"/>
      <name val="Arial"/>
      <family val="2"/>
    </font>
    <font>
      <sz val="10"/>
      <color indexed="10"/>
      <name val="Arial"/>
      <family val="2"/>
    </font>
    <font>
      <b/>
      <i/>
      <sz val="12"/>
      <color indexed="12"/>
      <name val="Arial"/>
      <family val="2"/>
    </font>
    <font>
      <b/>
      <i/>
      <sz val="12"/>
      <color indexed="4"/>
      <name val="Arial"/>
      <family val="2"/>
    </font>
    <font>
      <b/>
      <sz val="12"/>
      <color indexed="0"/>
      <name val="Times New Roman"/>
      <family val="1"/>
    </font>
    <font>
      <b/>
      <sz val="12"/>
      <color indexed="18"/>
      <name val="Arial"/>
      <family val="2"/>
    </font>
    <font>
      <b/>
      <u val="double"/>
      <sz val="12"/>
      <name val="Arial MT"/>
    </font>
    <font>
      <b/>
      <sz val="8"/>
      <color indexed="8"/>
      <name val="Helv"/>
    </font>
    <font>
      <sz val="9"/>
      <color indexed="29"/>
      <name val="Arial"/>
      <family val="2"/>
    </font>
    <font>
      <b/>
      <sz val="9"/>
      <color indexed="29"/>
      <name val="Arial"/>
      <family val="2"/>
    </font>
    <font>
      <b/>
      <sz val="8"/>
      <name val="Times New Roman"/>
      <family val="1"/>
    </font>
    <font>
      <b/>
      <sz val="10"/>
      <color indexed="10"/>
      <name val="Arial"/>
      <family val="2"/>
    </font>
    <font>
      <b/>
      <sz val="12"/>
      <color indexed="56"/>
      <name val="Arial"/>
      <family val="2"/>
    </font>
    <font>
      <b/>
      <sz val="14"/>
      <color indexed="56"/>
      <name val="Arial"/>
      <family val="2"/>
    </font>
    <font>
      <b/>
      <sz val="9"/>
      <name val="Arial"/>
      <family val="2"/>
    </font>
    <font>
      <sz val="11"/>
      <color rgb="FFFF0000"/>
      <name val="Calibri"/>
      <family val="2"/>
    </font>
    <font>
      <sz val="12"/>
      <name val="Times"/>
      <family val="1"/>
    </font>
    <font>
      <sz val="12"/>
      <color indexed="10"/>
      <name val="Times"/>
      <family val="1"/>
    </font>
    <font>
      <sz val="12"/>
      <name val="Helv"/>
    </font>
    <font>
      <b/>
      <i/>
      <sz val="10"/>
      <name val="Helv"/>
    </font>
    <font>
      <i/>
      <sz val="10"/>
      <name val="Helv"/>
    </font>
    <font>
      <sz val="10"/>
      <color theme="1"/>
      <name val="Calibri"/>
      <family val="2"/>
    </font>
    <font>
      <sz val="9"/>
      <name val="Helv"/>
    </font>
    <font>
      <b/>
      <u/>
      <sz val="11"/>
      <name val="Times New Roman"/>
      <family val="1"/>
    </font>
    <font>
      <sz val="11"/>
      <name val="Times New Roman"/>
      <family val="1"/>
    </font>
    <font>
      <i/>
      <u/>
      <sz val="10"/>
      <name val="Times New Roman"/>
      <family val="1"/>
    </font>
    <font>
      <b/>
      <i/>
      <u/>
      <sz val="10"/>
      <name val="Times New Roman"/>
      <family val="1"/>
    </font>
    <font>
      <sz val="9"/>
      <name val="Arial"/>
      <family val="2"/>
    </font>
    <font>
      <sz val="9"/>
      <color theme="1"/>
      <name val="Calibri"/>
      <family val="2"/>
      <scheme val="minor"/>
    </font>
    <font>
      <b/>
      <sz val="9"/>
      <color theme="1"/>
      <name val="Arial"/>
      <family val="2"/>
    </font>
    <font>
      <sz val="9"/>
      <color rgb="FFFF0000"/>
      <name val="Arial"/>
      <family val="2"/>
    </font>
    <font>
      <b/>
      <sz val="9"/>
      <color theme="1"/>
      <name val="Calibri"/>
      <family val="2"/>
      <scheme val="minor"/>
    </font>
    <font>
      <sz val="9"/>
      <color rgb="FF0000FF"/>
      <name val="Arial"/>
      <family val="2"/>
    </font>
    <font>
      <sz val="10"/>
      <name val="Arial"/>
      <family val="2"/>
    </font>
    <font>
      <sz val="10"/>
      <name val="Calibri"/>
      <family val="2"/>
      <scheme val="minor"/>
    </font>
    <font>
      <b/>
      <i/>
      <sz val="10"/>
      <color rgb="FF0000FF"/>
      <name val="Times New Roman"/>
      <family val="1"/>
    </font>
    <font>
      <b/>
      <i/>
      <sz val="9"/>
      <color rgb="FF0000FF"/>
      <name val="Arial"/>
      <family val="2"/>
    </font>
    <font>
      <b/>
      <sz val="8"/>
      <name val="Helv"/>
    </font>
    <font>
      <b/>
      <sz val="12"/>
      <color theme="1"/>
      <name val="Times New Roman"/>
      <family val="1"/>
    </font>
    <font>
      <u/>
      <sz val="12"/>
      <name val="Times New Roman"/>
      <family val="1"/>
    </font>
    <font>
      <b/>
      <sz val="14"/>
      <name val="Times New Roman"/>
      <family val="1"/>
    </font>
    <font>
      <sz val="11"/>
      <name val="Calibri"/>
      <family val="2"/>
      <scheme val="minor"/>
    </font>
    <font>
      <sz val="14"/>
      <name val="Calibri"/>
      <family val="2"/>
      <scheme val="minor"/>
    </font>
    <font>
      <b/>
      <i/>
      <sz val="14"/>
      <name val="Calibri"/>
      <family val="2"/>
      <scheme val="minor"/>
    </font>
    <font>
      <sz val="8"/>
      <name val="Calibri"/>
      <family val="2"/>
      <scheme val="minor"/>
    </font>
    <font>
      <b/>
      <i/>
      <sz val="11"/>
      <name val="Calibri"/>
      <family val="2"/>
      <scheme val="minor"/>
    </font>
    <font>
      <b/>
      <sz val="10"/>
      <color rgb="FFFF0066"/>
      <name val="Times New Roman"/>
      <family val="1"/>
    </font>
    <font>
      <b/>
      <i/>
      <sz val="10"/>
      <color rgb="FFFF0000"/>
      <name val="Times New Roman"/>
      <family val="1"/>
    </font>
    <font>
      <sz val="10"/>
      <color rgb="FF0000FF"/>
      <name val="Times New Roman"/>
      <family val="1"/>
    </font>
    <font>
      <sz val="10"/>
      <color indexed="8"/>
      <name val="Times New Roman"/>
      <family val="1"/>
    </font>
    <font>
      <sz val="12"/>
      <color theme="1"/>
      <name val="Times New Roman"/>
      <family val="1"/>
    </font>
    <font>
      <b/>
      <sz val="9"/>
      <color theme="1"/>
      <name val="Times New Roman"/>
      <family val="1"/>
    </font>
    <font>
      <sz val="14"/>
      <color theme="1"/>
      <name val="Times New Roman"/>
      <family val="1"/>
    </font>
    <font>
      <b/>
      <sz val="14"/>
      <color theme="1"/>
      <name val="Times New Roman"/>
      <family val="1"/>
    </font>
    <font>
      <b/>
      <u/>
      <sz val="12"/>
      <color theme="1"/>
      <name val="Times New Roman"/>
      <family val="1"/>
    </font>
    <font>
      <sz val="7"/>
      <name val="Times New Roman"/>
      <family val="1"/>
    </font>
    <font>
      <b/>
      <sz val="12"/>
      <color rgb="FFFF0000"/>
      <name val="Times New Roman"/>
      <family val="1"/>
    </font>
    <font>
      <b/>
      <sz val="9"/>
      <name val="Times New Roman"/>
      <family val="1"/>
    </font>
    <font>
      <b/>
      <u/>
      <sz val="8"/>
      <name val="Times New Roman"/>
      <family val="1"/>
    </font>
    <font>
      <b/>
      <i/>
      <sz val="8"/>
      <name val="Times New Roman"/>
      <family val="1"/>
    </font>
    <font>
      <sz val="11"/>
      <color theme="1"/>
      <name val="Times New Roman"/>
      <family val="1"/>
    </font>
    <font>
      <i/>
      <sz val="10"/>
      <color theme="1"/>
      <name val="Times New Roman"/>
      <family val="1"/>
    </font>
    <font>
      <i/>
      <sz val="8"/>
      <color theme="1"/>
      <name val="Times New Roman"/>
      <family val="1"/>
    </font>
  </fonts>
  <fills count="99">
    <fill>
      <patternFill patternType="none"/>
    </fill>
    <fill>
      <patternFill patternType="gray125"/>
    </fill>
    <fill>
      <patternFill patternType="solid">
        <fgColor indexed="31"/>
        <bgColor indexed="64"/>
      </patternFill>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32"/>
        <bgColor indexed="64"/>
      </patternFill>
    </fill>
    <fill>
      <patternFill patternType="solid">
        <fgColor indexed="3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Down">
        <fgColor indexed="22"/>
        <bgColor indexed="23"/>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0625"/>
    </fill>
    <fill>
      <patternFill patternType="gray125">
        <fgColor indexed="8"/>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indexed="13"/>
        <bgColor indexed="64"/>
      </patternFill>
    </fill>
    <fill>
      <patternFill patternType="solid">
        <fgColor indexed="8"/>
      </patternFill>
    </fill>
    <fill>
      <patternFill patternType="lightGray">
        <fgColor indexed="8"/>
        <bgColor indexed="8"/>
      </patternFill>
    </fill>
    <fill>
      <patternFill patternType="solid">
        <fgColor theme="8"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CCFF"/>
        <bgColor indexed="64"/>
      </patternFill>
    </fill>
    <fill>
      <patternFill patternType="solid">
        <fgColor rgb="FFFFFF00"/>
        <bgColor indexed="64"/>
      </patternFill>
    </fill>
    <fill>
      <patternFill patternType="solid">
        <fgColor theme="9"/>
        <bgColor indexed="64"/>
      </patternFill>
    </fill>
  </fills>
  <borders count="1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hair">
        <color indexed="64"/>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hair">
        <color auto="1"/>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top/>
      <bottom style="medium">
        <color indexed="8"/>
      </bottom>
      <diagonal/>
    </border>
    <border>
      <left/>
      <right/>
      <top/>
      <bottom style="hair">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hair">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8"/>
      </top>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
      <left/>
      <right/>
      <top style="thin">
        <color indexed="64"/>
      </top>
      <bottom/>
      <diagonal/>
    </border>
    <border>
      <left/>
      <right/>
      <top style="medium">
        <color auto="1"/>
      </top>
      <bottom/>
      <diagonal/>
    </border>
    <border>
      <left/>
      <right/>
      <top style="thin">
        <color indexed="8"/>
      </top>
      <bottom style="thin">
        <color indexed="8"/>
      </bottom>
      <diagonal/>
    </border>
    <border>
      <left/>
      <right/>
      <top/>
      <bottom style="double">
        <color indexed="64"/>
      </bottom>
      <diagonal/>
    </border>
    <border>
      <left/>
      <right/>
      <top style="thin">
        <color indexed="64"/>
      </top>
      <bottom/>
      <diagonal/>
    </border>
    <border>
      <left/>
      <right/>
      <top style="thin">
        <color auto="1"/>
      </top>
      <bottom style="double">
        <color auto="1"/>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21306">
    <xf numFmtId="178" fontId="0" fillId="0" borderId="0">
      <alignment horizontal="left" wrapText="1"/>
    </xf>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0" fontId="14" fillId="0" borderId="0"/>
    <xf numFmtId="43" fontId="14" fillId="0" borderId="0" applyFont="0" applyFill="0" applyBorder="0" applyAlignment="0" applyProtection="0"/>
    <xf numFmtId="0" fontId="14" fillId="0" borderId="0"/>
    <xf numFmtId="0" fontId="60" fillId="0" borderId="0"/>
    <xf numFmtId="44" fontId="14" fillId="0" borderId="0" applyFont="0" applyFill="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2" fillId="35"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2" fillId="36"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3"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2" fillId="37"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2" fillId="38"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3"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2" fillId="3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2" fillId="4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3"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2" fillId="41"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2" fillId="42"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3"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2" fillId="43"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2" fillId="3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2" fillId="41"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2" fillId="4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2" fillId="35"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3"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2" fillId="3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3"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2" fillId="44"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2" fillId="45"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3"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2" fillId="38"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2" fillId="42"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3"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2" fillId="43"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2" fillId="3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2" fillId="3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2" fillId="46"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4" fillId="43" borderId="0" applyNumberFormat="0" applyBorder="0" applyAlignment="0" applyProtection="0"/>
    <xf numFmtId="0" fontId="59" fillId="14" borderId="0" applyNumberFormat="0" applyBorder="0" applyAlignment="0" applyProtection="0"/>
    <xf numFmtId="0" fontId="64" fillId="47" borderId="0" applyNumberFormat="0" applyBorder="0" applyAlignment="0" applyProtection="0"/>
    <xf numFmtId="0" fontId="65" fillId="14" borderId="0" applyNumberFormat="0" applyBorder="0" applyAlignment="0" applyProtection="0"/>
    <xf numFmtId="0" fontId="66" fillId="14" borderId="0" applyNumberFormat="0" applyBorder="0" applyAlignment="0" applyProtection="0"/>
    <xf numFmtId="0" fontId="64" fillId="48" borderId="0" applyNumberFormat="0" applyBorder="0" applyAlignment="0" applyProtection="0"/>
    <xf numFmtId="0" fontId="59" fillId="18" borderId="0" applyNumberFormat="0" applyBorder="0" applyAlignment="0" applyProtection="0"/>
    <xf numFmtId="0" fontId="64" fillId="37" borderId="0" applyNumberFormat="0" applyBorder="0" applyAlignment="0" applyProtection="0"/>
    <xf numFmtId="0" fontId="65" fillId="18" borderId="0" applyNumberFormat="0" applyBorder="0" applyAlignment="0" applyProtection="0"/>
    <xf numFmtId="0" fontId="66" fillId="18" borderId="0" applyNumberFormat="0" applyBorder="0" applyAlignment="0" applyProtection="0"/>
    <xf numFmtId="0" fontId="64" fillId="46" borderId="0" applyNumberFormat="0" applyBorder="0" applyAlignment="0" applyProtection="0"/>
    <xf numFmtId="0" fontId="59" fillId="22" borderId="0" applyNumberFormat="0" applyBorder="0" applyAlignment="0" applyProtection="0"/>
    <xf numFmtId="0" fontId="64" fillId="45" borderId="0" applyNumberFormat="0" applyBorder="0" applyAlignment="0" applyProtection="0"/>
    <xf numFmtId="0" fontId="65" fillId="22" borderId="0" applyNumberFormat="0" applyBorder="0" applyAlignment="0" applyProtection="0"/>
    <xf numFmtId="0" fontId="66" fillId="22" borderId="0" applyNumberFormat="0" applyBorder="0" applyAlignment="0" applyProtection="0"/>
    <xf numFmtId="0" fontId="64" fillId="38" borderId="0" applyNumberFormat="0" applyBorder="0" applyAlignment="0" applyProtection="0"/>
    <xf numFmtId="0" fontId="59" fillId="26" borderId="0" applyNumberFormat="0" applyBorder="0" applyAlignment="0" applyProtection="0"/>
    <xf numFmtId="0" fontId="64" fillId="49" borderId="0" applyNumberFormat="0" applyBorder="0" applyAlignment="0" applyProtection="0"/>
    <xf numFmtId="0" fontId="65" fillId="26" borderId="0" applyNumberFormat="0" applyBorder="0" applyAlignment="0" applyProtection="0"/>
    <xf numFmtId="0" fontId="66" fillId="26" borderId="0" applyNumberFormat="0" applyBorder="0" applyAlignment="0" applyProtection="0"/>
    <xf numFmtId="0" fontId="64" fillId="43" borderId="0" applyNumberFormat="0" applyBorder="0" applyAlignment="0" applyProtection="0"/>
    <xf numFmtId="0" fontId="59" fillId="30" borderId="0" applyNumberFormat="0" applyBorder="0" applyAlignment="0" applyProtection="0"/>
    <xf numFmtId="0" fontId="64" fillId="50" borderId="0" applyNumberFormat="0" applyBorder="0" applyAlignment="0" applyProtection="0"/>
    <xf numFmtId="0" fontId="65" fillId="30" borderId="0" applyNumberFormat="0" applyBorder="0" applyAlignment="0" applyProtection="0"/>
    <xf numFmtId="0" fontId="66" fillId="30" borderId="0" applyNumberFormat="0" applyBorder="0" applyAlignment="0" applyProtection="0"/>
    <xf numFmtId="0" fontId="64" fillId="37" borderId="0" applyNumberFormat="0" applyBorder="0" applyAlignment="0" applyProtection="0"/>
    <xf numFmtId="0" fontId="59" fillId="34" borderId="0" applyNumberFormat="0" applyBorder="0" applyAlignment="0" applyProtection="0"/>
    <xf numFmtId="0" fontId="64" fillId="51" borderId="0" applyNumberFormat="0" applyBorder="0" applyAlignment="0" applyProtection="0"/>
    <xf numFmtId="0" fontId="65" fillId="34" borderId="0" applyNumberFormat="0" applyBorder="0" applyAlignment="0" applyProtection="0"/>
    <xf numFmtId="0" fontId="66" fillId="34" borderId="0" applyNumberFormat="0" applyBorder="0" applyAlignment="0" applyProtection="0"/>
    <xf numFmtId="0" fontId="64" fillId="52" borderId="0" applyNumberFormat="0" applyBorder="0" applyAlignment="0" applyProtection="0"/>
    <xf numFmtId="0" fontId="59" fillId="11" borderId="0" applyNumberFormat="0" applyBorder="0" applyAlignment="0" applyProtection="0"/>
    <xf numFmtId="0" fontId="64" fillId="53" borderId="0" applyNumberFormat="0" applyBorder="0" applyAlignment="0" applyProtection="0"/>
    <xf numFmtId="0" fontId="65" fillId="11" borderId="0" applyNumberFormat="0" applyBorder="0" applyAlignment="0" applyProtection="0"/>
    <xf numFmtId="0" fontId="66" fillId="11" borderId="0" applyNumberFormat="0" applyBorder="0" applyAlignment="0" applyProtection="0"/>
    <xf numFmtId="0" fontId="64" fillId="48" borderId="0" applyNumberFormat="0" applyBorder="0" applyAlignment="0" applyProtection="0"/>
    <xf numFmtId="0" fontId="59" fillId="15" borderId="0" applyNumberFormat="0" applyBorder="0" applyAlignment="0" applyProtection="0"/>
    <xf numFmtId="0" fontId="64" fillId="54" borderId="0" applyNumberFormat="0" applyBorder="0" applyAlignment="0" applyProtection="0"/>
    <xf numFmtId="0" fontId="65" fillId="15" borderId="0" applyNumberFormat="0" applyBorder="0" applyAlignment="0" applyProtection="0"/>
    <xf numFmtId="0" fontId="66" fillId="15" borderId="0" applyNumberFormat="0" applyBorder="0" applyAlignment="0" applyProtection="0"/>
    <xf numFmtId="0" fontId="64" fillId="46" borderId="0" applyNumberFormat="0" applyBorder="0" applyAlignment="0" applyProtection="0"/>
    <xf numFmtId="0" fontId="59" fillId="19" borderId="0" applyNumberFormat="0" applyBorder="0" applyAlignment="0" applyProtection="0"/>
    <xf numFmtId="0" fontId="64" fillId="55" borderId="0" applyNumberFormat="0" applyBorder="0" applyAlignment="0" applyProtection="0"/>
    <xf numFmtId="0" fontId="65" fillId="19" borderId="0" applyNumberFormat="0" applyBorder="0" applyAlignment="0" applyProtection="0"/>
    <xf numFmtId="0" fontId="66" fillId="19" borderId="0" applyNumberFormat="0" applyBorder="0" applyAlignment="0" applyProtection="0"/>
    <xf numFmtId="0" fontId="64" fillId="56" borderId="0" applyNumberFormat="0" applyBorder="0" applyAlignment="0" applyProtection="0"/>
    <xf numFmtId="0" fontId="59" fillId="23" borderId="0" applyNumberFormat="0" applyBorder="0" applyAlignment="0" applyProtection="0"/>
    <xf numFmtId="0" fontId="64" fillId="49" borderId="0" applyNumberFormat="0" applyBorder="0" applyAlignment="0" applyProtection="0"/>
    <xf numFmtId="0" fontId="65" fillId="23" borderId="0" applyNumberFormat="0" applyBorder="0" applyAlignment="0" applyProtection="0"/>
    <xf numFmtId="0" fontId="66" fillId="23" borderId="0" applyNumberFormat="0" applyBorder="0" applyAlignment="0" applyProtection="0"/>
    <xf numFmtId="0" fontId="64" fillId="50" borderId="0" applyNumberFormat="0" applyBorder="0" applyAlignment="0" applyProtection="0"/>
    <xf numFmtId="0" fontId="59" fillId="27" borderId="0" applyNumberFormat="0" applyBorder="0" applyAlignment="0" applyProtection="0"/>
    <xf numFmtId="0" fontId="65" fillId="27" borderId="0" applyNumberFormat="0" applyBorder="0" applyAlignment="0" applyProtection="0"/>
    <xf numFmtId="0" fontId="66" fillId="27" borderId="0" applyNumberFormat="0" applyBorder="0" applyAlignment="0" applyProtection="0"/>
    <xf numFmtId="0" fontId="64" fillId="54" borderId="0" applyNumberFormat="0" applyBorder="0" applyAlignment="0" applyProtection="0"/>
    <xf numFmtId="0" fontId="59" fillId="31" borderId="0" applyNumberFormat="0" applyBorder="0" applyAlignment="0" applyProtection="0"/>
    <xf numFmtId="0" fontId="64" fillId="48" borderId="0" applyNumberFormat="0" applyBorder="0" applyAlignment="0" applyProtection="0"/>
    <xf numFmtId="0" fontId="65" fillId="31" borderId="0" applyNumberFormat="0" applyBorder="0" applyAlignment="0" applyProtection="0"/>
    <xf numFmtId="0" fontId="66" fillId="31" borderId="0" applyNumberFormat="0" applyBorder="0" applyAlignment="0" applyProtection="0"/>
    <xf numFmtId="0" fontId="67" fillId="42" borderId="0" applyNumberFormat="0" applyBorder="0" applyAlignment="0" applyProtection="0"/>
    <xf numFmtId="0" fontId="51" fillId="5" borderId="0" applyNumberFormat="0" applyBorder="0" applyAlignment="0" applyProtection="0"/>
    <xf numFmtId="0" fontId="67" fillId="38" borderId="0" applyNumberFormat="0" applyBorder="0" applyAlignment="0" applyProtection="0"/>
    <xf numFmtId="0" fontId="68" fillId="5" borderId="0" applyNumberFormat="0" applyBorder="0" applyAlignment="0" applyProtection="0"/>
    <xf numFmtId="0" fontId="69" fillId="5" borderId="0" applyNumberFormat="0" applyBorder="0" applyAlignment="0" applyProtection="0"/>
    <xf numFmtId="0" fontId="70" fillId="57" borderId="56" applyNumberFormat="0" applyAlignment="0" applyProtection="0"/>
    <xf numFmtId="0" fontId="55" fillId="8" borderId="50" applyNumberFormat="0" applyAlignment="0" applyProtection="0"/>
    <xf numFmtId="0" fontId="71" fillId="58" borderId="56" applyNumberFormat="0" applyAlignment="0" applyProtection="0"/>
    <xf numFmtId="0" fontId="72" fillId="8" borderId="50" applyNumberFormat="0" applyAlignment="0" applyProtection="0"/>
    <xf numFmtId="0" fontId="73" fillId="8" borderId="50" applyNumberFormat="0" applyAlignment="0" applyProtection="0"/>
    <xf numFmtId="0" fontId="74" fillId="59" borderId="57" applyNumberFormat="0" applyAlignment="0" applyProtection="0"/>
    <xf numFmtId="0" fontId="57" fillId="9" borderId="53" applyNumberFormat="0" applyAlignment="0" applyProtection="0"/>
    <xf numFmtId="0" fontId="75" fillId="9" borderId="53" applyNumberFormat="0" applyAlignment="0" applyProtection="0"/>
    <xf numFmtId="0" fontId="76" fillId="9"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5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43" borderId="0" applyNumberFormat="0" applyBorder="0" applyAlignment="0" applyProtection="0"/>
    <xf numFmtId="0" fontId="50" fillId="4" borderId="0" applyNumberFormat="0" applyBorder="0" applyAlignment="0" applyProtection="0"/>
    <xf numFmtId="0" fontId="80" fillId="40" borderId="0" applyNumberFormat="0" applyBorder="0" applyAlignment="0" applyProtection="0"/>
    <xf numFmtId="0" fontId="81" fillId="4" borderId="0" applyNumberFormat="0" applyBorder="0" applyAlignment="0" applyProtection="0"/>
    <xf numFmtId="0" fontId="82" fillId="4" borderId="0" applyNumberFormat="0" applyBorder="0" applyAlignment="0" applyProtection="0"/>
    <xf numFmtId="38" fontId="16" fillId="60" borderId="0" applyNumberFormat="0" applyBorder="0" applyAlignment="0" applyProtection="0"/>
    <xf numFmtId="38" fontId="16" fillId="60" borderId="0" applyNumberFormat="0" applyBorder="0" applyAlignment="0" applyProtection="0"/>
    <xf numFmtId="0" fontId="83" fillId="0" borderId="58" applyNumberFormat="0" applyFill="0" applyAlignment="0" applyProtection="0"/>
    <xf numFmtId="0" fontId="47" fillId="0" borderId="47" applyNumberFormat="0" applyFill="0" applyAlignment="0" applyProtection="0"/>
    <xf numFmtId="0" fontId="84" fillId="0" borderId="59" applyNumberFormat="0" applyFill="0" applyAlignment="0" applyProtection="0"/>
    <xf numFmtId="0" fontId="85" fillId="0" borderId="47" applyNumberFormat="0" applyFill="0" applyAlignment="0" applyProtection="0"/>
    <xf numFmtId="0" fontId="86" fillId="0" borderId="60" applyNumberFormat="0" applyFill="0" applyAlignment="0" applyProtection="0"/>
    <xf numFmtId="0" fontId="48" fillId="0" borderId="48" applyNumberFormat="0" applyFill="0" applyAlignment="0" applyProtection="0"/>
    <xf numFmtId="0" fontId="87" fillId="0" borderId="61" applyNumberFormat="0" applyFill="0" applyAlignment="0" applyProtection="0"/>
    <xf numFmtId="0" fontId="88" fillId="0" borderId="48" applyNumberFormat="0" applyFill="0" applyAlignment="0" applyProtection="0"/>
    <xf numFmtId="0" fontId="89" fillId="0" borderId="62" applyNumberFormat="0" applyFill="0" applyAlignment="0" applyProtection="0"/>
    <xf numFmtId="0" fontId="49" fillId="0" borderId="49" applyNumberFormat="0" applyFill="0" applyAlignment="0" applyProtection="0"/>
    <xf numFmtId="0" fontId="90" fillId="0" borderId="63" applyNumberFormat="0" applyFill="0" applyAlignment="0" applyProtection="0"/>
    <xf numFmtId="0" fontId="91" fillId="0" borderId="49" applyNumberFormat="0" applyFill="0" applyAlignment="0" applyProtection="0"/>
    <xf numFmtId="0" fontId="89" fillId="0" borderId="0" applyNumberFormat="0" applyFill="0" applyBorder="0" applyAlignment="0" applyProtection="0"/>
    <xf numFmtId="0" fontId="4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0" fontId="16" fillId="61" borderId="44" applyNumberFormat="0" applyBorder="0" applyAlignment="0" applyProtection="0"/>
    <xf numFmtId="10" fontId="16" fillId="61" borderId="44" applyNumberFormat="0" applyBorder="0" applyAlignment="0" applyProtection="0"/>
    <xf numFmtId="0" fontId="92" fillId="44" borderId="56" applyNumberFormat="0" applyAlignment="0" applyProtection="0"/>
    <xf numFmtId="0" fontId="53" fillId="7" borderId="50" applyNumberFormat="0" applyAlignment="0" applyProtection="0"/>
    <xf numFmtId="0" fontId="92" fillId="44" borderId="56" applyNumberFormat="0" applyAlignment="0" applyProtection="0"/>
    <xf numFmtId="0" fontId="93" fillId="7" borderId="50" applyNumberFormat="0" applyAlignment="0" applyProtection="0"/>
    <xf numFmtId="0" fontId="92" fillId="41" borderId="56" applyNumberFormat="0" applyAlignment="0" applyProtection="0"/>
    <xf numFmtId="0" fontId="94" fillId="7" borderId="50" applyNumberFormat="0" applyAlignment="0" applyProtection="0"/>
    <xf numFmtId="0" fontId="92" fillId="44" borderId="56" applyNumberFormat="0" applyAlignment="0" applyProtection="0"/>
    <xf numFmtId="0" fontId="92" fillId="44" borderId="56" applyNumberFormat="0" applyAlignment="0" applyProtection="0"/>
    <xf numFmtId="0" fontId="92" fillId="44" borderId="56" applyNumberFormat="0" applyAlignment="0" applyProtection="0"/>
    <xf numFmtId="0" fontId="92" fillId="44" borderId="56" applyNumberFormat="0" applyAlignment="0" applyProtection="0"/>
    <xf numFmtId="0" fontId="95" fillId="0" borderId="64" applyNumberFormat="0" applyFill="0" applyAlignment="0" applyProtection="0"/>
    <xf numFmtId="0" fontId="56" fillId="0" borderId="52" applyNumberFormat="0" applyFill="0" applyAlignment="0" applyProtection="0"/>
    <xf numFmtId="0" fontId="96" fillId="0" borderId="65" applyNumberFormat="0" applyFill="0" applyAlignment="0" applyProtection="0"/>
    <xf numFmtId="0" fontId="97" fillId="0" borderId="52" applyNumberFormat="0" applyFill="0" applyAlignment="0" applyProtection="0"/>
    <xf numFmtId="0" fontId="98" fillId="0" borderId="52" applyNumberFormat="0" applyFill="0" applyAlignment="0" applyProtection="0"/>
    <xf numFmtId="0" fontId="99" fillId="44" borderId="0" applyNumberFormat="0" applyBorder="0" applyAlignment="0" applyProtection="0"/>
    <xf numFmtId="0" fontId="52" fillId="6" borderId="0" applyNumberFormat="0" applyBorder="0" applyAlignment="0" applyProtection="0"/>
    <xf numFmtId="0" fontId="100" fillId="44" borderId="0" applyNumberFormat="0" applyBorder="0" applyAlignment="0" applyProtection="0"/>
    <xf numFmtId="0" fontId="101" fillId="6" borderId="0" applyNumberFormat="0" applyBorder="0" applyAlignment="0" applyProtection="0"/>
    <xf numFmtId="0" fontId="102" fillId="6" borderId="0" applyNumberFormat="0" applyBorder="0" applyAlignment="0" applyProtection="0"/>
    <xf numFmtId="188" fontId="103" fillId="0" borderId="0"/>
    <xf numFmtId="0" fontId="6" fillId="0" borderId="0"/>
    <xf numFmtId="0" fontId="6" fillId="0" borderId="0"/>
    <xf numFmtId="0" fontId="61" fillId="0" borderId="0"/>
    <xf numFmtId="0" fontId="6" fillId="0" borderId="0"/>
    <xf numFmtId="0" fontId="61" fillId="0" borderId="0"/>
    <xf numFmtId="0" fontId="61"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45" fillId="0" borderId="0"/>
    <xf numFmtId="0" fontId="14" fillId="0" borderId="0"/>
    <xf numFmtId="0" fontId="6" fillId="0" borderId="0"/>
    <xf numFmtId="0" fontId="14" fillId="0" borderId="0"/>
    <xf numFmtId="0" fontId="14" fillId="0" borderId="0"/>
    <xf numFmtId="0" fontId="14"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6" fillId="0" borderId="0"/>
    <xf numFmtId="0" fontId="14" fillId="0" borderId="0"/>
    <xf numFmtId="0" fontId="45" fillId="0" borderId="0"/>
    <xf numFmtId="0" fontId="14" fillId="0" borderId="0"/>
    <xf numFmtId="0" fontId="4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0" borderId="0"/>
    <xf numFmtId="0" fontId="61" fillId="0" borderId="0"/>
    <xf numFmtId="0" fontId="61" fillId="0" borderId="0"/>
    <xf numFmtId="0" fontId="61"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5"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63" fillId="0" borderId="0"/>
    <xf numFmtId="0" fontId="6" fillId="0" borderId="0"/>
    <xf numFmtId="0" fontId="61"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 fillId="0" borderId="0"/>
    <xf numFmtId="0" fontId="4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 fillId="0" borderId="0"/>
    <xf numFmtId="0" fontId="61" fillId="0" borderId="0"/>
    <xf numFmtId="0" fontId="61" fillId="0" borderId="0"/>
    <xf numFmtId="0" fontId="6" fillId="0" borderId="0"/>
    <xf numFmtId="0" fontId="4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5" fillId="0" borderId="0"/>
    <xf numFmtId="0" fontId="61" fillId="0" borderId="0"/>
    <xf numFmtId="0" fontId="61" fillId="0" borderId="0"/>
    <xf numFmtId="0" fontId="61" fillId="0" borderId="0"/>
    <xf numFmtId="0" fontId="61" fillId="0" borderId="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104" fillId="39" borderId="66"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104" fillId="39" borderId="66"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27" fillId="39" borderId="66"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3"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105" fillId="57" borderId="67" applyNumberFormat="0" applyAlignment="0" applyProtection="0"/>
    <xf numFmtId="0" fontId="54" fillId="8" borderId="51" applyNumberFormat="0" applyAlignment="0" applyProtection="0"/>
    <xf numFmtId="0" fontId="105" fillId="58" borderId="67" applyNumberFormat="0" applyAlignment="0" applyProtection="0"/>
    <xf numFmtId="0" fontId="106" fillId="8" borderId="51" applyNumberFormat="0" applyAlignment="0" applyProtection="0"/>
    <xf numFmtId="0" fontId="107" fillId="8" borderId="51"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8" fillId="0" borderId="0" applyNumberFormat="0" applyFill="0" applyBorder="0" applyAlignment="0" applyProtection="0"/>
    <xf numFmtId="0" fontId="46" fillId="0" borderId="0" applyNumberFormat="0" applyFill="0" applyBorder="0" applyAlignment="0" applyProtection="0"/>
    <xf numFmtId="0" fontId="109" fillId="0" borderId="0" applyNumberFormat="0" applyFill="0" applyBorder="0" applyAlignment="0" applyProtection="0"/>
    <xf numFmtId="0" fontId="110" fillId="0" borderId="68" applyNumberFormat="0" applyFill="0" applyAlignment="0" applyProtection="0"/>
    <xf numFmtId="0" fontId="31" fillId="0" borderId="55" applyNumberFormat="0" applyFill="0" applyAlignment="0" applyProtection="0"/>
    <xf numFmtId="0" fontId="110" fillId="0" borderId="69" applyNumberFormat="0" applyFill="0" applyAlignment="0" applyProtection="0"/>
    <xf numFmtId="0" fontId="111" fillId="0" borderId="55" applyNumberFormat="0" applyFill="0" applyAlignment="0" applyProtection="0"/>
    <xf numFmtId="0" fontId="112" fillId="0" borderId="55" applyNumberFormat="0" applyFill="0" applyAlignment="0" applyProtection="0"/>
    <xf numFmtId="0" fontId="95" fillId="0" borderId="0" applyNumberFormat="0" applyFill="0" applyBorder="0" applyAlignment="0" applyProtection="0"/>
    <xf numFmtId="0" fontId="40"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4" fillId="0" borderId="0"/>
    <xf numFmtId="43" fontId="14" fillId="0" borderId="0" applyFont="0" applyFill="0" applyBorder="0" applyAlignment="0" applyProtection="0"/>
    <xf numFmtId="0" fontId="115" fillId="0" borderId="0"/>
    <xf numFmtId="44" fontId="14" fillId="0" borderId="0" applyFont="0" applyFill="0" applyBorder="0" applyAlignment="0" applyProtection="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7"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7"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89"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0"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0"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44" fillId="0" borderId="0"/>
    <xf numFmtId="0" fontId="4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44" fillId="0" borderId="0"/>
    <xf numFmtId="0" fontId="4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4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4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4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0" fontId="14" fillId="0" borderId="0"/>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0" fontId="14" fillId="0" borderId="0"/>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0" fontId="14" fillId="0" borderId="0"/>
    <xf numFmtId="0" fontId="14" fillId="0" borderId="0"/>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4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190" fontId="116" fillId="0" borderId="0">
      <alignment horizontal="left"/>
    </xf>
    <xf numFmtId="191" fontId="117" fillId="0" borderId="0">
      <alignment horizontal="left"/>
    </xf>
    <xf numFmtId="0" fontId="118" fillId="0" borderId="70"/>
    <xf numFmtId="0" fontId="118" fillId="0" borderId="70"/>
    <xf numFmtId="0" fontId="118" fillId="0" borderId="70"/>
    <xf numFmtId="0" fontId="118" fillId="0" borderId="70"/>
    <xf numFmtId="0" fontId="118" fillId="0" borderId="70"/>
    <xf numFmtId="0" fontId="118" fillId="0" borderId="70"/>
    <xf numFmtId="0" fontId="118" fillId="0" borderId="70"/>
    <xf numFmtId="0" fontId="118" fillId="0" borderId="70"/>
    <xf numFmtId="0" fontId="118" fillId="0" borderId="70"/>
    <xf numFmtId="0" fontId="118" fillId="0" borderId="70"/>
    <xf numFmtId="0" fontId="118" fillId="0" borderId="70"/>
    <xf numFmtId="0" fontId="118" fillId="0" borderId="70"/>
    <xf numFmtId="0" fontId="118" fillId="0" borderId="70"/>
    <xf numFmtId="0" fontId="118" fillId="0" borderId="70"/>
    <xf numFmtId="0" fontId="119" fillId="0" borderId="0"/>
    <xf numFmtId="0" fontId="120" fillId="12" borderId="0" applyNumberFormat="0" applyBorder="0" applyAlignment="0" applyProtection="0"/>
    <xf numFmtId="0" fontId="120"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35" borderId="0" applyNumberFormat="0" applyBorder="0" applyAlignment="0" applyProtection="0"/>
    <xf numFmtId="0" fontId="14" fillId="0" borderId="0"/>
    <xf numFmtId="0" fontId="5"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12" borderId="0" applyNumberFormat="0" applyBorder="0" applyAlignment="0" applyProtection="0"/>
    <xf numFmtId="0" fontId="14" fillId="0" borderId="0"/>
    <xf numFmtId="0" fontId="14" fillId="0" borderId="0"/>
    <xf numFmtId="0" fontId="14" fillId="0" borderId="0"/>
    <xf numFmtId="0" fontId="5" fillId="12" borderId="0" applyNumberFormat="0" applyBorder="0" applyAlignment="0" applyProtection="0"/>
    <xf numFmtId="0" fontId="120" fillId="12" borderId="0" applyNumberFormat="0" applyBorder="0" applyAlignment="0" applyProtection="0"/>
    <xf numFmtId="0" fontId="120" fillId="12" borderId="0" applyNumberFormat="0" applyBorder="0" applyAlignment="0" applyProtection="0"/>
    <xf numFmtId="0" fontId="120" fillId="12" borderId="0" applyNumberFormat="0" applyBorder="0" applyAlignment="0" applyProtection="0"/>
    <xf numFmtId="0" fontId="120" fillId="12" borderId="0" applyNumberFormat="0" applyBorder="0" applyAlignment="0" applyProtection="0"/>
    <xf numFmtId="0" fontId="120" fillId="12"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37" borderId="0" applyNumberFormat="0" applyBorder="0" applyAlignment="0" applyProtection="0"/>
    <xf numFmtId="0" fontId="14" fillId="0" borderId="0"/>
    <xf numFmtId="0" fontId="5"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16" borderId="0" applyNumberFormat="0" applyBorder="0" applyAlignment="0" applyProtection="0"/>
    <xf numFmtId="0" fontId="14" fillId="0" borderId="0"/>
    <xf numFmtId="0" fontId="14" fillId="0" borderId="0"/>
    <xf numFmtId="0" fontId="14" fillId="0" borderId="0"/>
    <xf numFmtId="0" fontId="5"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4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39" borderId="0" applyNumberFormat="0" applyBorder="0" applyAlignment="0" applyProtection="0"/>
    <xf numFmtId="0" fontId="14" fillId="0" borderId="0"/>
    <xf numFmtId="0" fontId="5"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20" borderId="0" applyNumberFormat="0" applyBorder="0" applyAlignment="0" applyProtection="0"/>
    <xf numFmtId="0" fontId="14" fillId="0" borderId="0"/>
    <xf numFmtId="0" fontId="14" fillId="0" borderId="0"/>
    <xf numFmtId="0" fontId="14" fillId="0" borderId="0"/>
    <xf numFmtId="0" fontId="5"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0"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41" borderId="0" applyNumberFormat="0" applyBorder="0" applyAlignment="0" applyProtection="0"/>
    <xf numFmtId="0" fontId="14" fillId="0" borderId="0"/>
    <xf numFmtId="0" fontId="5" fillId="4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24" borderId="0" applyNumberFormat="0" applyBorder="0" applyAlignment="0" applyProtection="0"/>
    <xf numFmtId="0" fontId="14" fillId="0" borderId="0"/>
    <xf numFmtId="0" fontId="14" fillId="0" borderId="0"/>
    <xf numFmtId="0" fontId="14" fillId="0" borderId="0"/>
    <xf numFmtId="0" fontId="5" fillId="24"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120" fillId="24" borderId="0" applyNumberFormat="0" applyBorder="0" applyAlignment="0" applyProtection="0"/>
    <xf numFmtId="0" fontId="120" fillId="28" borderId="0" applyNumberFormat="0" applyBorder="0" applyAlignment="0" applyProtection="0"/>
    <xf numFmtId="0" fontId="12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28" borderId="0" applyNumberFormat="0" applyBorder="0" applyAlignment="0" applyProtection="0"/>
    <xf numFmtId="0" fontId="14" fillId="0" borderId="0"/>
    <xf numFmtId="0" fontId="5" fillId="2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28" borderId="0" applyNumberFormat="0" applyBorder="0" applyAlignment="0" applyProtection="0"/>
    <xf numFmtId="0" fontId="14" fillId="0" borderId="0"/>
    <xf numFmtId="0" fontId="14" fillId="0" borderId="0"/>
    <xf numFmtId="0" fontId="14" fillId="0" borderId="0"/>
    <xf numFmtId="0" fontId="5" fillId="28" borderId="0" applyNumberFormat="0" applyBorder="0" applyAlignment="0" applyProtection="0"/>
    <xf numFmtId="0" fontId="120" fillId="28" borderId="0" applyNumberFormat="0" applyBorder="0" applyAlignment="0" applyProtection="0"/>
    <xf numFmtId="0" fontId="120" fillId="28" borderId="0" applyNumberFormat="0" applyBorder="0" applyAlignment="0" applyProtection="0"/>
    <xf numFmtId="0" fontId="120" fillId="28" borderId="0" applyNumberFormat="0" applyBorder="0" applyAlignment="0" applyProtection="0"/>
    <xf numFmtId="0" fontId="120" fillId="28" borderId="0" applyNumberFormat="0" applyBorder="0" applyAlignment="0" applyProtection="0"/>
    <xf numFmtId="0" fontId="120" fillId="28"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4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39" borderId="0" applyNumberFormat="0" applyBorder="0" applyAlignment="0" applyProtection="0"/>
    <xf numFmtId="0" fontId="14" fillId="0" borderId="0"/>
    <xf numFmtId="0" fontId="5"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32" borderId="0" applyNumberFormat="0" applyBorder="0" applyAlignment="0" applyProtection="0"/>
    <xf numFmtId="0" fontId="14" fillId="0" borderId="0"/>
    <xf numFmtId="0" fontId="14" fillId="0" borderId="0"/>
    <xf numFmtId="0" fontId="14" fillId="0" borderId="0"/>
    <xf numFmtId="0" fontId="5" fillId="32"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43" borderId="0" applyNumberFormat="0" applyBorder="0" applyAlignment="0" applyProtection="0"/>
    <xf numFmtId="0" fontId="14" fillId="0" borderId="0"/>
    <xf numFmtId="0" fontId="5"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13" borderId="0" applyNumberFormat="0" applyBorder="0" applyAlignment="0" applyProtection="0"/>
    <xf numFmtId="0" fontId="14" fillId="0" borderId="0"/>
    <xf numFmtId="0" fontId="14" fillId="0" borderId="0"/>
    <xf numFmtId="0" fontId="14" fillId="0" borderId="0"/>
    <xf numFmtId="0" fontId="5"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3"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7" borderId="0" applyNumberFormat="0" applyBorder="0" applyAlignment="0" applyProtection="0"/>
    <xf numFmtId="0" fontId="14" fillId="0" borderId="0"/>
    <xf numFmtId="0" fontId="5" fillId="1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17" borderId="0" applyNumberFormat="0" applyBorder="0" applyAlignment="0" applyProtection="0"/>
    <xf numFmtId="0" fontId="14" fillId="0" borderId="0"/>
    <xf numFmtId="0" fontId="14" fillId="0" borderId="0"/>
    <xf numFmtId="0" fontId="14" fillId="0" borderId="0"/>
    <xf numFmtId="0" fontId="5"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44" borderId="0" applyNumberFormat="0" applyBorder="0" applyAlignment="0" applyProtection="0"/>
    <xf numFmtId="0" fontId="14" fillId="0" borderId="0"/>
    <xf numFmtId="0" fontId="5" fillId="4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21" borderId="0" applyNumberFormat="0" applyBorder="0" applyAlignment="0" applyProtection="0"/>
    <xf numFmtId="0" fontId="14" fillId="0" borderId="0"/>
    <xf numFmtId="0" fontId="14" fillId="0" borderId="0"/>
    <xf numFmtId="0" fontId="14" fillId="0" borderId="0"/>
    <xf numFmtId="0" fontId="5"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38" borderId="0" applyNumberFormat="0" applyBorder="0" applyAlignment="0" applyProtection="0"/>
    <xf numFmtId="0" fontId="14" fillId="0" borderId="0"/>
    <xf numFmtId="0" fontId="5" fillId="3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25" borderId="0" applyNumberFormat="0" applyBorder="0" applyAlignment="0" applyProtection="0"/>
    <xf numFmtId="0" fontId="14" fillId="0" borderId="0"/>
    <xf numFmtId="0" fontId="14" fillId="0" borderId="0"/>
    <xf numFmtId="0" fontId="14" fillId="0" borderId="0"/>
    <xf numFmtId="0" fontId="5" fillId="25"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20" fillId="29" borderId="0" applyNumberFormat="0" applyBorder="0" applyAlignment="0" applyProtection="0"/>
    <xf numFmtId="0" fontId="12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43" borderId="0" applyNumberFormat="0" applyBorder="0" applyAlignment="0" applyProtection="0"/>
    <xf numFmtId="0" fontId="14" fillId="0" borderId="0"/>
    <xf numFmtId="0" fontId="5"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29" borderId="0" applyNumberFormat="0" applyBorder="0" applyAlignment="0" applyProtection="0"/>
    <xf numFmtId="0" fontId="14" fillId="0" borderId="0"/>
    <xf numFmtId="0" fontId="14" fillId="0" borderId="0"/>
    <xf numFmtId="0" fontId="14" fillId="0" borderId="0"/>
    <xf numFmtId="0" fontId="5" fillId="29" borderId="0" applyNumberFormat="0" applyBorder="0" applyAlignment="0" applyProtection="0"/>
    <xf numFmtId="0" fontId="120" fillId="29" borderId="0" applyNumberFormat="0" applyBorder="0" applyAlignment="0" applyProtection="0"/>
    <xf numFmtId="0" fontId="120" fillId="29" borderId="0" applyNumberFormat="0" applyBorder="0" applyAlignment="0" applyProtection="0"/>
    <xf numFmtId="0" fontId="120" fillId="29" borderId="0" applyNumberFormat="0" applyBorder="0" applyAlignment="0" applyProtection="0"/>
    <xf numFmtId="0" fontId="120" fillId="29" borderId="0" applyNumberFormat="0" applyBorder="0" applyAlignment="0" applyProtection="0"/>
    <xf numFmtId="0" fontId="120" fillId="29" borderId="0" applyNumberFormat="0" applyBorder="0" applyAlignment="0" applyProtection="0"/>
    <xf numFmtId="0" fontId="120" fillId="33" borderId="0" applyNumberFormat="0" applyBorder="0" applyAlignment="0" applyProtection="0"/>
    <xf numFmtId="0" fontId="12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39" borderId="0" applyNumberFormat="0" applyBorder="0" applyAlignment="0" applyProtection="0"/>
    <xf numFmtId="0" fontId="14" fillId="0" borderId="0"/>
    <xf numFmtId="0" fontId="5"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33" borderId="0" applyNumberFormat="0" applyBorder="0" applyAlignment="0" applyProtection="0"/>
    <xf numFmtId="0" fontId="14" fillId="0" borderId="0"/>
    <xf numFmtId="0" fontId="14" fillId="0" borderId="0"/>
    <xf numFmtId="0" fontId="14" fillId="0" borderId="0"/>
    <xf numFmtId="0" fontId="5" fillId="33" borderId="0" applyNumberFormat="0" applyBorder="0" applyAlignment="0" applyProtection="0"/>
    <xf numFmtId="0" fontId="120" fillId="33" borderId="0" applyNumberFormat="0" applyBorder="0" applyAlignment="0" applyProtection="0"/>
    <xf numFmtId="0" fontId="120" fillId="33" borderId="0" applyNumberFormat="0" applyBorder="0" applyAlignment="0" applyProtection="0"/>
    <xf numFmtId="0" fontId="120" fillId="33" borderId="0" applyNumberFormat="0" applyBorder="0" applyAlignment="0" applyProtection="0"/>
    <xf numFmtId="0" fontId="120" fillId="33" borderId="0" applyNumberFormat="0" applyBorder="0" applyAlignment="0" applyProtection="0"/>
    <xf numFmtId="0" fontId="120" fillId="33" borderId="0" applyNumberFormat="0" applyBorder="0" applyAlignment="0" applyProtection="0"/>
    <xf numFmtId="0" fontId="64" fillId="47" borderId="0" applyNumberFormat="0" applyBorder="0" applyAlignment="0" applyProtection="0"/>
    <xf numFmtId="0" fontId="14" fillId="0" borderId="0"/>
    <xf numFmtId="0" fontId="14" fillId="0" borderId="0"/>
    <xf numFmtId="0" fontId="59"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4"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14" borderId="0" applyNumberFormat="0" applyBorder="0" applyAlignment="0" applyProtection="0"/>
    <xf numFmtId="0" fontId="14" fillId="0" borderId="0"/>
    <xf numFmtId="0" fontId="14" fillId="0" borderId="0"/>
    <xf numFmtId="0" fontId="14" fillId="0" borderId="0"/>
    <xf numFmtId="0" fontId="121" fillId="14" borderId="0" applyNumberFormat="0" applyBorder="0" applyAlignment="0" applyProtection="0"/>
    <xf numFmtId="0" fontId="14" fillId="0" borderId="0"/>
    <xf numFmtId="0" fontId="64" fillId="37" borderId="0" applyNumberFormat="0" applyBorder="0" applyAlignment="0" applyProtection="0"/>
    <xf numFmtId="0" fontId="14" fillId="0" borderId="0"/>
    <xf numFmtId="0" fontId="14" fillId="0" borderId="0"/>
    <xf numFmtId="0" fontId="59" fillId="4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4" fillId="4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18" borderId="0" applyNumberFormat="0" applyBorder="0" applyAlignment="0" applyProtection="0"/>
    <xf numFmtId="0" fontId="14" fillId="0" borderId="0"/>
    <xf numFmtId="0" fontId="14" fillId="0" borderId="0"/>
    <xf numFmtId="0" fontId="14" fillId="0" borderId="0"/>
    <xf numFmtId="0" fontId="121" fillId="18" borderId="0" applyNumberFormat="0" applyBorder="0" applyAlignment="0" applyProtection="0"/>
    <xf numFmtId="0" fontId="14" fillId="0" borderId="0"/>
    <xf numFmtId="0" fontId="64" fillId="45" borderId="0" applyNumberFormat="0" applyBorder="0" applyAlignment="0" applyProtection="0"/>
    <xf numFmtId="0" fontId="14" fillId="0" borderId="0"/>
    <xf numFmtId="0" fontId="14" fillId="0" borderId="0"/>
    <xf numFmtId="0" fontId="59"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4"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2" borderId="0" applyNumberFormat="0" applyBorder="0" applyAlignment="0" applyProtection="0"/>
    <xf numFmtId="0" fontId="14" fillId="0" borderId="0"/>
    <xf numFmtId="0" fontId="14" fillId="0" borderId="0"/>
    <xf numFmtId="0" fontId="14" fillId="0" borderId="0"/>
    <xf numFmtId="0" fontId="121" fillId="22" borderId="0" applyNumberFormat="0" applyBorder="0" applyAlignment="0" applyProtection="0"/>
    <xf numFmtId="0" fontId="14" fillId="0" borderId="0"/>
    <xf numFmtId="0" fontId="64" fillId="49" borderId="0" applyNumberFormat="0" applyBorder="0" applyAlignment="0" applyProtection="0"/>
    <xf numFmtId="0" fontId="14" fillId="0" borderId="0"/>
    <xf numFmtId="0" fontId="14" fillId="0" borderId="0"/>
    <xf numFmtId="0" fontId="59" fillId="3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4" fillId="3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6" borderId="0" applyNumberFormat="0" applyBorder="0" applyAlignment="0" applyProtection="0"/>
    <xf numFmtId="0" fontId="14" fillId="0" borderId="0"/>
    <xf numFmtId="0" fontId="14" fillId="0" borderId="0"/>
    <xf numFmtId="0" fontId="14" fillId="0" borderId="0"/>
    <xf numFmtId="0" fontId="121" fillId="26" borderId="0" applyNumberFormat="0" applyBorder="0" applyAlignment="0" applyProtection="0"/>
    <xf numFmtId="0" fontId="14" fillId="0" borderId="0"/>
    <xf numFmtId="0" fontId="64" fillId="50" borderId="0" applyNumberFormat="0" applyBorder="0" applyAlignment="0" applyProtection="0"/>
    <xf numFmtId="0" fontId="14" fillId="0" borderId="0"/>
    <xf numFmtId="0" fontId="14" fillId="0" borderId="0"/>
    <xf numFmtId="0" fontId="59"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4"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30" borderId="0" applyNumberFormat="0" applyBorder="0" applyAlignment="0" applyProtection="0"/>
    <xf numFmtId="0" fontId="14" fillId="0" borderId="0"/>
    <xf numFmtId="0" fontId="14" fillId="0" borderId="0"/>
    <xf numFmtId="0" fontId="14" fillId="0" borderId="0"/>
    <xf numFmtId="0" fontId="121" fillId="30" borderId="0" applyNumberFormat="0" applyBorder="0" applyAlignment="0" applyProtection="0"/>
    <xf numFmtId="0" fontId="14" fillId="0" borderId="0"/>
    <xf numFmtId="0" fontId="64" fillId="51" borderId="0" applyNumberFormat="0" applyBorder="0" applyAlignment="0" applyProtection="0"/>
    <xf numFmtId="0" fontId="14" fillId="0" borderId="0"/>
    <xf numFmtId="0" fontId="14" fillId="0" borderId="0"/>
    <xf numFmtId="0" fontId="59"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4"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34" borderId="0" applyNumberFormat="0" applyBorder="0" applyAlignment="0" applyProtection="0"/>
    <xf numFmtId="0" fontId="14" fillId="0" borderId="0"/>
    <xf numFmtId="0" fontId="14" fillId="0" borderId="0"/>
    <xf numFmtId="0" fontId="14" fillId="0" borderId="0"/>
    <xf numFmtId="0" fontId="121"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3" borderId="0" applyNumberFormat="0" applyBorder="0" applyAlignment="0" applyProtection="0"/>
    <xf numFmtId="0" fontId="14" fillId="0" borderId="0"/>
    <xf numFmtId="0" fontId="14" fillId="0" borderId="0"/>
    <xf numFmtId="0" fontId="59" fillId="5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4" fillId="5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11" borderId="0" applyNumberFormat="0" applyBorder="0" applyAlignment="0" applyProtection="0"/>
    <xf numFmtId="0" fontId="14" fillId="0" borderId="0"/>
    <xf numFmtId="0" fontId="14" fillId="0" borderId="0"/>
    <xf numFmtId="0" fontId="14" fillId="0" borderId="0"/>
    <xf numFmtId="0" fontId="121" fillId="11" borderId="0" applyNumberFormat="0" applyBorder="0" applyAlignment="0" applyProtection="0"/>
    <xf numFmtId="0" fontId="14" fillId="0" borderId="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64" fillId="54" borderId="0" applyNumberFormat="0" applyBorder="0" applyAlignment="0" applyProtection="0"/>
    <xf numFmtId="0" fontId="14" fillId="0" borderId="0"/>
    <xf numFmtId="0" fontId="14" fillId="0" borderId="0"/>
    <xf numFmtId="0" fontId="59" fillId="4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4" fillId="4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15" borderId="0" applyNumberFormat="0" applyBorder="0" applyAlignment="0" applyProtection="0"/>
    <xf numFmtId="0" fontId="14" fillId="0" borderId="0"/>
    <xf numFmtId="0" fontId="14" fillId="0" borderId="0"/>
    <xf numFmtId="0" fontId="14" fillId="0" borderId="0"/>
    <xf numFmtId="0" fontId="121" fillId="15" borderId="0" applyNumberFormat="0" applyBorder="0" applyAlignment="0" applyProtection="0"/>
    <xf numFmtId="0" fontId="14" fillId="0" borderId="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64" fillId="55" borderId="0" applyNumberFormat="0" applyBorder="0" applyAlignment="0" applyProtection="0"/>
    <xf numFmtId="0" fontId="14" fillId="0" borderId="0"/>
    <xf numFmtId="0" fontId="14" fillId="0" borderId="0"/>
    <xf numFmtId="0" fontId="59"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4"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19" borderId="0" applyNumberFormat="0" applyBorder="0" applyAlignment="0" applyProtection="0"/>
    <xf numFmtId="0" fontId="14" fillId="0" borderId="0"/>
    <xf numFmtId="0" fontId="14" fillId="0" borderId="0"/>
    <xf numFmtId="0" fontId="14" fillId="0" borderId="0"/>
    <xf numFmtId="0" fontId="121" fillId="19" borderId="0" applyNumberFormat="0" applyBorder="0" applyAlignment="0" applyProtection="0"/>
    <xf numFmtId="0" fontId="14" fillId="0" borderId="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64" fillId="49" borderId="0" applyNumberFormat="0" applyBorder="0" applyAlignment="0" applyProtection="0"/>
    <xf numFmtId="0" fontId="14" fillId="0" borderId="0"/>
    <xf numFmtId="0" fontId="14" fillId="0" borderId="0"/>
    <xf numFmtId="0" fontId="59" fillId="56" borderId="0" applyNumberFormat="0" applyBorder="0" applyAlignment="0" applyProtection="0"/>
    <xf numFmtId="0" fontId="14" fillId="0" borderId="0"/>
    <xf numFmtId="0" fontId="14" fillId="0" borderId="0"/>
    <xf numFmtId="0" fontId="14" fillId="0" borderId="0"/>
    <xf numFmtId="0" fontId="64" fillId="5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23" borderId="0" applyNumberFormat="0" applyBorder="0" applyAlignment="0" applyProtection="0"/>
    <xf numFmtId="0" fontId="14" fillId="0" borderId="0"/>
    <xf numFmtId="0" fontId="14" fillId="0" borderId="0"/>
    <xf numFmtId="0" fontId="14" fillId="0" borderId="0"/>
    <xf numFmtId="0" fontId="121" fillId="23" borderId="0" applyNumberFormat="0" applyBorder="0" applyAlignment="0" applyProtection="0"/>
    <xf numFmtId="0" fontId="14" fillId="0" borderId="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64" fillId="50" borderId="0" applyNumberFormat="0" applyBorder="0" applyAlignment="0" applyProtection="0"/>
    <xf numFmtId="0" fontId="14" fillId="0" borderId="0"/>
    <xf numFmtId="0" fontId="14" fillId="0" borderId="0"/>
    <xf numFmtId="0" fontId="59" fillId="2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64" fillId="5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4" fillId="50" borderId="0" applyNumberFormat="0" applyBorder="0" applyAlignment="0" applyProtection="0"/>
    <xf numFmtId="0" fontId="14" fillId="0" borderId="0"/>
    <xf numFmtId="0" fontId="121"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64" fillId="48" borderId="0" applyNumberFormat="0" applyBorder="0" applyAlignment="0" applyProtection="0"/>
    <xf numFmtId="0" fontId="14" fillId="0" borderId="0"/>
    <xf numFmtId="0" fontId="14" fillId="0" borderId="0"/>
    <xf numFmtId="0" fontId="59" fillId="5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4" fillId="5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31" borderId="0" applyNumberFormat="0" applyBorder="0" applyAlignment="0" applyProtection="0"/>
    <xf numFmtId="0" fontId="14" fillId="0" borderId="0"/>
    <xf numFmtId="0" fontId="14" fillId="0" borderId="0"/>
    <xf numFmtId="0" fontId="14" fillId="0" borderId="0"/>
    <xf numFmtId="0" fontId="121" fillId="31" borderId="0" applyNumberFormat="0" applyBorder="0" applyAlignment="0" applyProtection="0"/>
    <xf numFmtId="0" fontId="14" fillId="0" borderId="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67" fillId="38" borderId="0" applyNumberFormat="0" applyBorder="0" applyAlignment="0" applyProtection="0"/>
    <xf numFmtId="0" fontId="14" fillId="0" borderId="0"/>
    <xf numFmtId="0" fontId="14" fillId="0" borderId="0"/>
    <xf numFmtId="0" fontId="51"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7"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5" borderId="0" applyNumberFormat="0" applyBorder="0" applyAlignment="0" applyProtection="0"/>
    <xf numFmtId="0" fontId="14" fillId="0" borderId="0"/>
    <xf numFmtId="0" fontId="14" fillId="0" borderId="0"/>
    <xf numFmtId="0" fontId="14" fillId="0" borderId="0"/>
    <xf numFmtId="0" fontId="122" fillId="5" borderId="0" applyNumberFormat="0" applyBorder="0" applyAlignment="0" applyProtection="0"/>
    <xf numFmtId="0" fontId="14" fillId="0" borderId="0"/>
    <xf numFmtId="1" fontId="123" fillId="63" borderId="9" applyNumberFormat="0" applyBorder="0" applyAlignment="0">
      <alignment horizontal="center" vertical="top" wrapText="1"/>
      <protection hidden="1"/>
    </xf>
    <xf numFmtId="1" fontId="123" fillId="63" borderId="9" applyNumberFormat="0" applyBorder="0" applyAlignment="0">
      <alignment horizontal="center" vertical="top" wrapText="1"/>
      <protection hidden="1"/>
    </xf>
    <xf numFmtId="0" fontId="117" fillId="0" borderId="0" applyFont="0" applyFill="0" applyBorder="0" applyAlignment="0" applyProtection="0">
      <alignment horizontal="right"/>
    </xf>
    <xf numFmtId="0" fontId="119" fillId="0" borderId="70"/>
    <xf numFmtId="0" fontId="119" fillId="0" borderId="70"/>
    <xf numFmtId="0" fontId="119" fillId="0" borderId="70"/>
    <xf numFmtId="0" fontId="119" fillId="0" borderId="70"/>
    <xf numFmtId="0" fontId="119" fillId="0" borderId="70"/>
    <xf numFmtId="0" fontId="119" fillId="0" borderId="70"/>
    <xf numFmtId="0" fontId="119" fillId="0" borderId="70"/>
    <xf numFmtId="0" fontId="119" fillId="0" borderId="70"/>
    <xf numFmtId="0" fontId="119" fillId="0" borderId="70"/>
    <xf numFmtId="0" fontId="119" fillId="0" borderId="70"/>
    <xf numFmtId="0" fontId="119" fillId="0" borderId="70"/>
    <xf numFmtId="0" fontId="119" fillId="0" borderId="70"/>
    <xf numFmtId="0" fontId="119" fillId="0" borderId="70"/>
    <xf numFmtId="0" fontId="119" fillId="0" borderId="70"/>
    <xf numFmtId="49" fontId="124" fillId="0" borderId="0"/>
    <xf numFmtId="2" fontId="125" fillId="0" borderId="0"/>
    <xf numFmtId="0" fontId="16" fillId="0" borderId="0">
      <alignment vertical="center"/>
    </xf>
    <xf numFmtId="0" fontId="126" fillId="0" borderId="71">
      <alignment horizontal="left" vertical="center"/>
    </xf>
    <xf numFmtId="192" fontId="127" fillId="0" borderId="0">
      <alignment horizontal="right" vertical="center"/>
    </xf>
    <xf numFmtId="193" fontId="16" fillId="0" borderId="0">
      <alignment horizontal="right" vertical="center"/>
    </xf>
    <xf numFmtId="193" fontId="126" fillId="0" borderId="0">
      <alignment horizontal="right" vertical="center"/>
    </xf>
    <xf numFmtId="194" fontId="16" fillId="0" borderId="0" applyFont="0" applyFill="0" applyBorder="0" applyAlignment="0" applyProtection="0">
      <alignment horizontal="right"/>
    </xf>
    <xf numFmtId="0" fontId="128" fillId="0" borderId="0">
      <alignment vertical="center"/>
    </xf>
    <xf numFmtId="195" fontId="20" fillId="0" borderId="0" applyFill="0" applyBorder="0" applyAlignment="0"/>
    <xf numFmtId="195" fontId="20" fillId="0" borderId="0" applyFill="0" applyBorder="0" applyAlignment="0"/>
    <xf numFmtId="195" fontId="20" fillId="0" borderId="0" applyFill="0" applyBorder="0" applyAlignment="0"/>
    <xf numFmtId="0" fontId="14" fillId="0" borderId="0"/>
    <xf numFmtId="0" fontId="14" fillId="0" borderId="0"/>
    <xf numFmtId="0" fontId="14" fillId="0" borderId="0"/>
    <xf numFmtId="0" fontId="14" fillId="0" borderId="0"/>
    <xf numFmtId="0" fontId="14" fillId="0" borderId="0"/>
    <xf numFmtId="0" fontId="71" fillId="58" borderId="56" applyNumberFormat="0" applyAlignment="0" applyProtection="0"/>
    <xf numFmtId="0" fontId="14" fillId="0" borderId="0"/>
    <xf numFmtId="0" fontId="71" fillId="58" borderId="56" applyNumberFormat="0" applyAlignment="0" applyProtection="0"/>
    <xf numFmtId="0" fontId="14" fillId="0" borderId="0"/>
    <xf numFmtId="0" fontId="14" fillId="0" borderId="0"/>
    <xf numFmtId="0" fontId="14" fillId="0" borderId="0"/>
    <xf numFmtId="0" fontId="14" fillId="0" borderId="0"/>
    <xf numFmtId="0" fontId="14" fillId="0" borderId="0"/>
    <xf numFmtId="0" fontId="71" fillId="58" borderId="56" applyNumberFormat="0" applyAlignment="0" applyProtection="0"/>
    <xf numFmtId="41" fontId="14" fillId="61" borderId="0"/>
    <xf numFmtId="0" fontId="14" fillId="0" borderId="0"/>
    <xf numFmtId="0" fontId="14" fillId="0" borderId="0"/>
    <xf numFmtId="0" fontId="14" fillId="0" borderId="0"/>
    <xf numFmtId="0" fontId="14" fillId="0" borderId="0"/>
    <xf numFmtId="0" fontId="129" fillId="57" borderId="50" applyNumberFormat="0" applyAlignment="0" applyProtection="0"/>
    <xf numFmtId="0" fontId="14" fillId="0" borderId="0"/>
    <xf numFmtId="0" fontId="14" fillId="0" borderId="0"/>
    <xf numFmtId="0" fontId="14" fillId="0" borderId="0"/>
    <xf numFmtId="0" fontId="14" fillId="0" borderId="0"/>
    <xf numFmtId="0" fontId="70" fillId="57" borderId="56" applyNumberFormat="0" applyAlignment="0" applyProtection="0"/>
    <xf numFmtId="0" fontId="70" fillId="57" borderId="56" applyNumberFormat="0" applyAlignment="0" applyProtection="0"/>
    <xf numFmtId="41" fontId="14" fillId="61" borderId="0"/>
    <xf numFmtId="0" fontId="14" fillId="0" borderId="0"/>
    <xf numFmtId="0" fontId="14" fillId="0" borderId="0"/>
    <xf numFmtId="41" fontId="14" fillId="61" borderId="0"/>
    <xf numFmtId="41" fontId="14" fillId="61" borderId="0"/>
    <xf numFmtId="0" fontId="14" fillId="0" borderId="0"/>
    <xf numFmtId="0" fontId="14" fillId="0" borderId="0"/>
    <xf numFmtId="0" fontId="55" fillId="8" borderId="50" applyNumberFormat="0" applyAlignment="0" applyProtection="0"/>
    <xf numFmtId="0" fontId="14" fillId="0" borderId="0"/>
    <xf numFmtId="0" fontId="14" fillId="0" borderId="0"/>
    <xf numFmtId="0" fontId="14" fillId="0" borderId="0"/>
    <xf numFmtId="0" fontId="14" fillId="0" borderId="0"/>
    <xf numFmtId="0" fontId="14" fillId="0" borderId="0"/>
    <xf numFmtId="41" fontId="14" fillId="61" borderId="0"/>
    <xf numFmtId="41" fontId="14" fillId="61" borderId="0"/>
    <xf numFmtId="0" fontId="14" fillId="0" borderId="0"/>
    <xf numFmtId="0" fontId="14" fillId="0" borderId="0"/>
    <xf numFmtId="41" fontId="14" fillId="61" borderId="0"/>
    <xf numFmtId="41" fontId="14" fillId="61" borderId="0"/>
    <xf numFmtId="0" fontId="14" fillId="0" borderId="0"/>
    <xf numFmtId="0" fontId="14" fillId="0" borderId="0"/>
    <xf numFmtId="0" fontId="14" fillId="0" borderId="0"/>
    <xf numFmtId="0" fontId="14" fillId="0" borderId="0"/>
    <xf numFmtId="0" fontId="14" fillId="0" borderId="0"/>
    <xf numFmtId="0" fontId="14" fillId="0" borderId="0"/>
    <xf numFmtId="0" fontId="74" fillId="59" borderId="57" applyNumberFormat="0" applyAlignment="0" applyProtection="0"/>
    <xf numFmtId="0" fontId="14" fillId="0" borderId="0"/>
    <xf numFmtId="0" fontId="14" fillId="0" borderId="0"/>
    <xf numFmtId="0" fontId="57" fillId="9" borderId="5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4" fillId="59" borderId="57" applyNumberFormat="0" applyAlignment="0" applyProtection="0"/>
    <xf numFmtId="0" fontId="14" fillId="0" borderId="0"/>
    <xf numFmtId="0" fontId="14" fillId="0" borderId="0"/>
    <xf numFmtId="0" fontId="14" fillId="0" borderId="0"/>
    <xf numFmtId="0" fontId="14" fillId="0" borderId="0"/>
    <xf numFmtId="0" fontId="14" fillId="0" borderId="0"/>
    <xf numFmtId="0" fontId="74" fillId="59" borderId="57" applyNumberFormat="0" applyAlignment="0" applyProtection="0"/>
    <xf numFmtId="0" fontId="14" fillId="0" borderId="0"/>
    <xf numFmtId="0" fontId="130" fillId="9" borderId="53" applyNumberFormat="0" applyAlignment="0" applyProtection="0"/>
    <xf numFmtId="41" fontId="14" fillId="60" borderId="0"/>
    <xf numFmtId="41" fontId="14" fillId="60" borderId="0"/>
    <xf numFmtId="41" fontId="14" fillId="60" borderId="0"/>
    <xf numFmtId="0" fontId="14" fillId="0" borderId="0"/>
    <xf numFmtId="0" fontId="14" fillId="0" borderId="0"/>
    <xf numFmtId="41" fontId="14" fillId="60" borderId="0"/>
    <xf numFmtId="0" fontId="14" fillId="0" borderId="0"/>
    <xf numFmtId="0" fontId="14" fillId="0" borderId="0"/>
    <xf numFmtId="0" fontId="14" fillId="0" borderId="0"/>
    <xf numFmtId="0" fontId="14" fillId="0" borderId="0"/>
    <xf numFmtId="1" fontId="131" fillId="0" borderId="72">
      <alignment vertical="top"/>
    </xf>
    <xf numFmtId="1" fontId="131" fillId="0" borderId="72">
      <alignment vertical="top"/>
    </xf>
    <xf numFmtId="187" fontId="128" fillId="0" borderId="0" applyBorder="0">
      <alignment horizontal="right"/>
    </xf>
    <xf numFmtId="187" fontId="128" fillId="0" borderId="3" applyAlignment="0">
      <alignment horizontal="right"/>
    </xf>
    <xf numFmtId="187" fontId="128" fillId="0" borderId="3" applyAlignment="0">
      <alignment horizontal="right"/>
    </xf>
    <xf numFmtId="187" fontId="128" fillId="0" borderId="3" applyAlignment="0">
      <alignment horizontal="right"/>
    </xf>
    <xf numFmtId="187" fontId="128" fillId="0" borderId="3" applyAlignment="0">
      <alignment horizontal="right"/>
    </xf>
    <xf numFmtId="187" fontId="128" fillId="0" borderId="3" applyAlignment="0">
      <alignment horizontal="right"/>
    </xf>
    <xf numFmtId="187" fontId="128" fillId="0" borderId="3" applyAlignment="0">
      <alignment horizontal="right"/>
    </xf>
    <xf numFmtId="187" fontId="128" fillId="0" borderId="3" applyAlignment="0">
      <alignment horizontal="right"/>
    </xf>
    <xf numFmtId="187" fontId="128" fillId="0" borderId="3" applyAlignment="0">
      <alignment horizontal="right"/>
    </xf>
    <xf numFmtId="196" fontId="132" fillId="0" borderId="0"/>
    <xf numFmtId="196" fontId="132" fillId="0" borderId="0"/>
    <xf numFmtId="196" fontId="132" fillId="0" borderId="0"/>
    <xf numFmtId="196" fontId="132" fillId="0" borderId="0"/>
    <xf numFmtId="196" fontId="132" fillId="0" borderId="0"/>
    <xf numFmtId="196" fontId="132" fillId="0" borderId="0"/>
    <xf numFmtId="196" fontId="132" fillId="0" borderId="0"/>
    <xf numFmtId="196" fontId="132"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9"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197"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197" fontId="14" fillId="0" borderId="0" applyFont="0" applyFill="0" applyBorder="0" applyAlignment="0" applyProtection="0"/>
    <xf numFmtId="0" fontId="14" fillId="0" borderId="0"/>
    <xf numFmtId="43"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43" fontId="5" fillId="0" borderId="0" applyFont="0" applyFill="0" applyBorder="0" applyAlignment="0" applyProtection="0"/>
    <xf numFmtId="43" fontId="62" fillId="0" borderId="0" applyFont="0" applyFill="0" applyBorder="0" applyAlignment="0" applyProtection="0"/>
    <xf numFmtId="0" fontId="14"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4" fillId="0" borderId="0"/>
    <xf numFmtId="0" fontId="14" fillId="0" borderId="0"/>
    <xf numFmtId="43" fontId="134" fillId="0" borderId="0" applyFont="0" applyFill="0" applyBorder="0" applyAlignment="0" applyProtection="0"/>
    <xf numFmtId="0" fontId="14" fillId="0" borderId="0"/>
    <xf numFmtId="43" fontId="13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3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2" fillId="0" borderId="0" applyFont="0" applyFill="0" applyBorder="0" applyAlignment="0" applyProtection="0"/>
    <xf numFmtId="0" fontId="14" fillId="0" borderId="0"/>
    <xf numFmtId="43" fontId="62" fillId="0" borderId="0" applyFont="0" applyFill="0" applyBorder="0" applyAlignment="0" applyProtection="0"/>
    <xf numFmtId="0" fontId="14" fillId="0" borderId="0"/>
    <xf numFmtId="43" fontId="62" fillId="0" borderId="0" applyFont="0" applyFill="0" applyBorder="0" applyAlignment="0" applyProtection="0"/>
    <xf numFmtId="0" fontId="14" fillId="0" borderId="0"/>
    <xf numFmtId="43" fontId="62" fillId="0" borderId="0" applyFont="0" applyFill="0" applyBorder="0" applyAlignment="0" applyProtection="0"/>
    <xf numFmtId="0" fontId="14" fillId="0" borderId="0"/>
    <xf numFmtId="43" fontId="62" fillId="0" borderId="0" applyFont="0" applyFill="0" applyBorder="0" applyAlignment="0" applyProtection="0"/>
    <xf numFmtId="0" fontId="14" fillId="0" borderId="0"/>
    <xf numFmtId="43" fontId="62" fillId="0" borderId="0" applyFont="0" applyFill="0" applyBorder="0" applyAlignment="0" applyProtection="0"/>
    <xf numFmtId="0" fontId="14" fillId="0" borderId="0"/>
    <xf numFmtId="43" fontId="62" fillId="0" borderId="0" applyFont="0" applyFill="0" applyBorder="0" applyAlignment="0" applyProtection="0"/>
    <xf numFmtId="0" fontId="14" fillId="0" borderId="0"/>
    <xf numFmtId="43" fontId="62" fillId="0" borderId="0" applyFont="0" applyFill="0" applyBorder="0" applyAlignment="0" applyProtection="0"/>
    <xf numFmtId="0" fontId="14" fillId="0" borderId="0"/>
    <xf numFmtId="43" fontId="62" fillId="0" borderId="0" applyFont="0" applyFill="0" applyBorder="0" applyAlignment="0" applyProtection="0"/>
    <xf numFmtId="0" fontId="14" fillId="0" borderId="0"/>
    <xf numFmtId="43" fontId="62" fillId="0" borderId="0" applyFont="0" applyFill="0" applyBorder="0" applyAlignment="0" applyProtection="0"/>
    <xf numFmtId="43" fontId="6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135" fillId="0" borderId="0" applyFont="0" applyFill="0" applyBorder="0" applyAlignment="0" applyProtection="0"/>
    <xf numFmtId="0" fontId="27" fillId="0" borderId="0"/>
    <xf numFmtId="0" fontId="27" fillId="0" borderId="0"/>
    <xf numFmtId="0" fontId="14" fillId="0" borderId="0"/>
    <xf numFmtId="0" fontId="27" fillId="0" borderId="0"/>
    <xf numFmtId="0" fontId="14" fillId="0" borderId="0"/>
    <xf numFmtId="0" fontId="136" fillId="0" borderId="0"/>
    <xf numFmtId="0" fontId="14" fillId="0" borderId="0"/>
    <xf numFmtId="3" fontId="137" fillId="0" borderId="0" applyFont="0" applyFill="0" applyBorder="0" applyAlignment="0" applyProtection="0"/>
    <xf numFmtId="0" fontId="14" fillId="0" borderId="0"/>
    <xf numFmtId="3" fontId="137" fillId="0" borderId="0" applyFont="0" applyFill="0" applyBorder="0" applyAlignment="0" applyProtection="0"/>
    <xf numFmtId="0" fontId="14" fillId="0" borderId="0"/>
    <xf numFmtId="3" fontId="137" fillId="0" borderId="0" applyFont="0" applyFill="0" applyBorder="0" applyAlignment="0" applyProtection="0"/>
    <xf numFmtId="0" fontId="14" fillId="0" borderId="0"/>
    <xf numFmtId="3" fontId="135" fillId="0" borderId="0" applyFont="0" applyFill="0" applyBorder="0" applyAlignment="0" applyProtection="0"/>
    <xf numFmtId="3" fontId="135" fillId="0" borderId="0" applyFont="0" applyFill="0" applyBorder="0" applyAlignment="0" applyProtection="0"/>
    <xf numFmtId="0" fontId="14" fillId="0" borderId="0"/>
    <xf numFmtId="0" fontId="14" fillId="0" borderId="0"/>
    <xf numFmtId="0" fontId="14" fillId="0" borderId="0"/>
    <xf numFmtId="198" fontId="138" fillId="0" borderId="0">
      <protection locked="0"/>
    </xf>
    <xf numFmtId="0" fontId="136" fillId="0" borderId="0"/>
    <xf numFmtId="0" fontId="14" fillId="0" borderId="0"/>
    <xf numFmtId="0" fontId="27" fillId="0" borderId="0"/>
    <xf numFmtId="0" fontId="139" fillId="0" borderId="0"/>
    <xf numFmtId="0" fontId="140" fillId="0" borderId="0" applyNumberFormat="0" applyAlignment="0">
      <alignment horizontal="left"/>
    </xf>
    <xf numFmtId="0" fontId="140" fillId="0" borderId="0" applyNumberFormat="0" applyAlignment="0">
      <alignment horizontal="left"/>
    </xf>
    <xf numFmtId="0" fontId="140" fillId="0" borderId="0" applyNumberFormat="0" applyAlignment="0">
      <alignment horizontal="left"/>
    </xf>
    <xf numFmtId="0" fontId="14" fillId="0" borderId="0"/>
    <xf numFmtId="0" fontId="14" fillId="0" borderId="0"/>
    <xf numFmtId="0" fontId="14" fillId="0" borderId="0"/>
    <xf numFmtId="0" fontId="141" fillId="0" borderId="0" applyNumberFormat="0" applyAlignment="0"/>
    <xf numFmtId="0" fontId="141" fillId="0" borderId="0" applyNumberFormat="0" applyAlignment="0"/>
    <xf numFmtId="0" fontId="141" fillId="0" borderId="0" applyNumberFormat="0" applyAlignment="0"/>
    <xf numFmtId="0" fontId="14" fillId="0" borderId="0"/>
    <xf numFmtId="0" fontId="14" fillId="0" borderId="0"/>
    <xf numFmtId="0" fontId="14" fillId="0" borderId="0"/>
    <xf numFmtId="199" fontId="142" fillId="0" borderId="0"/>
    <xf numFmtId="0" fontId="27" fillId="0" borderId="0"/>
    <xf numFmtId="0" fontId="14" fillId="0" borderId="0"/>
    <xf numFmtId="0" fontId="136" fillId="0" borderId="0"/>
    <xf numFmtId="0" fontId="14" fillId="0" borderId="0"/>
    <xf numFmtId="0" fontId="27" fillId="0" borderId="0"/>
    <xf numFmtId="0" fontId="27" fillId="0" borderId="0"/>
    <xf numFmtId="0" fontId="27" fillId="0" borderId="0"/>
    <xf numFmtId="0" fontId="14" fillId="0" borderId="0"/>
    <xf numFmtId="0" fontId="136"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applyFont="0" applyFill="0" applyBorder="0" applyAlignment="0" applyProtection="0"/>
    <xf numFmtId="0" fontId="14" fillId="0" borderId="0"/>
    <xf numFmtId="44" fontId="104" fillId="0" borderId="0" applyFont="0" applyFill="0" applyBorder="0" applyAlignment="0" applyProtection="0"/>
    <xf numFmtId="44" fontId="104" fillId="0" borderId="0" applyFont="0" applyFill="0" applyBorder="0" applyAlignment="0" applyProtection="0"/>
    <xf numFmtId="44" fontId="13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2"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0" fontId="14" fillId="0" borderId="0"/>
    <xf numFmtId="0" fontId="14" fillId="0" borderId="0"/>
    <xf numFmtId="200" fontId="14" fillId="0" borderId="0" applyFont="0" applyFill="0" applyBorder="0" applyAlignment="0" applyProtection="0"/>
    <xf numFmtId="200" fontId="14" fillId="0" borderId="0" applyFont="0" applyFill="0" applyBorder="0" applyAlignment="0" applyProtection="0"/>
    <xf numFmtId="201" fontId="14" fillId="0" borderId="0" applyFont="0" applyFill="0" applyBorder="0" applyAlignment="0" applyProtection="0"/>
    <xf numFmtId="200" fontId="14" fillId="0" borderId="0" applyFont="0" applyFill="0" applyBorder="0" applyAlignment="0" applyProtection="0"/>
    <xf numFmtId="201" fontId="14" fillId="0" borderId="0" applyFont="0" applyFill="0" applyBorder="0" applyAlignment="0" applyProtection="0"/>
    <xf numFmtId="0" fontId="14" fillId="0" borderId="0"/>
    <xf numFmtId="201" fontId="14" fillId="0" borderId="0" applyFont="0" applyFill="0" applyBorder="0" applyAlignment="0" applyProtection="0"/>
    <xf numFmtId="200" fontId="14" fillId="0" borderId="0" applyFont="0" applyFill="0" applyBorder="0" applyAlignment="0" applyProtection="0"/>
    <xf numFmtId="20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202" fontId="14" fillId="0" borderId="0" applyFont="0" applyFill="0" applyBorder="0" applyAlignment="0" applyProtection="0"/>
    <xf numFmtId="0" fontId="14" fillId="0" borderId="0"/>
    <xf numFmtId="200" fontId="14" fillId="0" borderId="0" applyFont="0" applyFill="0" applyBorder="0" applyAlignment="0" applyProtection="0"/>
    <xf numFmtId="200" fontId="14" fillId="0" borderId="0" applyFont="0" applyFill="0" applyBorder="0" applyAlignment="0" applyProtection="0"/>
    <xf numFmtId="0" fontId="14" fillId="0" borderId="0"/>
    <xf numFmtId="0" fontId="14" fillId="0" borderId="0"/>
    <xf numFmtId="200" fontId="14" fillId="0" borderId="0" applyFont="0" applyFill="0" applyBorder="0" applyAlignment="0" applyProtection="0"/>
    <xf numFmtId="200" fontId="14" fillId="0" borderId="0" applyFont="0" applyFill="0" applyBorder="0" applyAlignment="0" applyProtection="0"/>
    <xf numFmtId="0" fontId="14" fillId="0" borderId="0"/>
    <xf numFmtId="0" fontId="14" fillId="0" borderId="0"/>
    <xf numFmtId="0" fontId="14" fillId="0" borderId="0"/>
    <xf numFmtId="0" fontId="135" fillId="0" borderId="0" applyFont="0" applyFill="0" applyBorder="0" applyAlignment="0" applyProtection="0"/>
    <xf numFmtId="14" fontId="104" fillId="0" borderId="0"/>
    <xf numFmtId="0" fontId="137" fillId="0" borderId="0" applyFont="0" applyFill="0" applyBorder="0" applyAlignment="0" applyProtection="0"/>
    <xf numFmtId="0" fontId="14" fillId="0" borderId="0"/>
    <xf numFmtId="0" fontId="137" fillId="0" borderId="0" applyFont="0" applyFill="0" applyBorder="0" applyAlignment="0" applyProtection="0"/>
    <xf numFmtId="0" fontId="14" fillId="0" borderId="0"/>
    <xf numFmtId="0" fontId="137" fillId="0" borderId="0" applyFont="0" applyFill="0" applyBorder="0" applyAlignment="0" applyProtection="0"/>
    <xf numFmtId="0" fontId="14" fillId="0" borderId="0"/>
    <xf numFmtId="0" fontId="135" fillId="0" borderId="0" applyFont="0" applyFill="0" applyBorder="0" applyAlignment="0" applyProtection="0"/>
    <xf numFmtId="0" fontId="135" fillId="0" borderId="0" applyFont="0" applyFill="0" applyBorder="0" applyAlignment="0" applyProtection="0"/>
    <xf numFmtId="0" fontId="14" fillId="0" borderId="0"/>
    <xf numFmtId="0" fontId="14" fillId="0" borderId="0"/>
    <xf numFmtId="0" fontId="14" fillId="0" borderId="0"/>
    <xf numFmtId="14" fontId="104" fillId="0" borderId="0"/>
    <xf numFmtId="14" fontId="104" fillId="0" borderId="0"/>
    <xf numFmtId="14" fontId="104" fillId="0" borderId="0"/>
    <xf numFmtId="203" fontId="14" fillId="0" borderId="0" applyFont="0" applyFill="0" applyBorder="0" applyAlignment="0" applyProtection="0">
      <alignment wrapText="1"/>
    </xf>
    <xf numFmtId="203" fontId="14" fillId="0" borderId="0" applyFont="0" applyFill="0" applyBorder="0" applyAlignment="0" applyProtection="0">
      <alignment wrapText="1"/>
    </xf>
    <xf numFmtId="0" fontId="119"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xf numFmtId="178" fontId="14" fillId="0" borderId="0"/>
    <xf numFmtId="178" fontId="14" fillId="0" borderId="0"/>
    <xf numFmtId="0" fontId="14" fillId="0" borderId="0"/>
    <xf numFmtId="0" fontId="14" fillId="0" borderId="0"/>
    <xf numFmtId="0" fontId="14" fillId="0" borderId="0"/>
    <xf numFmtId="0" fontId="14" fillId="0" borderId="0"/>
    <xf numFmtId="178" fontId="14" fillId="0" borderId="0"/>
    <xf numFmtId="178" fontId="14" fillId="0" borderId="0"/>
    <xf numFmtId="178" fontId="14" fillId="0" borderId="0"/>
    <xf numFmtId="178" fontId="14" fillId="0" borderId="0"/>
    <xf numFmtId="0" fontId="14" fillId="0" borderId="0"/>
    <xf numFmtId="178" fontId="14" fillId="0" borderId="0"/>
    <xf numFmtId="178" fontId="14" fillId="0" borderId="0"/>
    <xf numFmtId="178" fontId="14" fillId="0" borderId="0"/>
    <xf numFmtId="0" fontId="14" fillId="0" borderId="0"/>
    <xf numFmtId="0" fontId="14" fillId="0" borderId="0"/>
    <xf numFmtId="0" fontId="14" fillId="0" borderId="0"/>
    <xf numFmtId="0" fontId="14" fillId="0" borderId="0"/>
    <xf numFmtId="178" fontId="14" fillId="0" borderId="0"/>
    <xf numFmtId="17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xf numFmtId="204" fontId="14" fillId="0" borderId="0" applyFont="0" applyFill="0" applyBorder="0" applyAlignment="0" applyProtection="0">
      <alignment horizontal="left" wrapText="1"/>
    </xf>
    <xf numFmtId="204" fontId="14" fillId="0" borderId="0" applyFont="0" applyFill="0" applyBorder="0" applyAlignment="0" applyProtection="0">
      <alignment horizontal="left" wrapText="1"/>
    </xf>
    <xf numFmtId="204" fontId="14" fillId="0" borderId="0" applyFont="0" applyFill="0" applyBorder="0" applyAlignment="0" applyProtection="0">
      <alignment horizontal="left" wrapText="1"/>
    </xf>
    <xf numFmtId="0" fontId="14" fillId="0" borderId="0"/>
    <xf numFmtId="0" fontId="14" fillId="0" borderId="0"/>
    <xf numFmtId="0" fontId="14" fillId="0" borderId="0"/>
    <xf numFmtId="0" fontId="14" fillId="0" borderId="0"/>
    <xf numFmtId="204" fontId="14" fillId="0" borderId="0" applyFont="0" applyFill="0" applyBorder="0" applyAlignment="0" applyProtection="0">
      <alignment horizontal="left" wrapText="1"/>
    </xf>
    <xf numFmtId="204" fontId="14" fillId="0" borderId="0" applyFont="0" applyFill="0" applyBorder="0" applyAlignment="0" applyProtection="0">
      <alignment horizontal="left" wrapText="1"/>
    </xf>
    <xf numFmtId="204" fontId="14" fillId="0" borderId="0" applyFont="0" applyFill="0" applyBorder="0" applyAlignment="0" applyProtection="0">
      <alignment horizontal="left" wrapText="1"/>
    </xf>
    <xf numFmtId="204" fontId="14" fillId="0" borderId="0" applyFont="0" applyFill="0" applyBorder="0" applyAlignment="0" applyProtection="0">
      <alignment horizontal="left" wrapText="1"/>
    </xf>
    <xf numFmtId="0" fontId="14" fillId="0" borderId="0"/>
    <xf numFmtId="0" fontId="14" fillId="0" borderId="0"/>
    <xf numFmtId="20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204" fontId="14" fillId="0" borderId="0" applyFont="0" applyFill="0" applyBorder="0" applyAlignment="0" applyProtection="0">
      <alignment horizontal="left" wrapText="1"/>
    </xf>
    <xf numFmtId="204" fontId="14" fillId="0" borderId="0" applyFont="0" applyFill="0" applyBorder="0" applyAlignment="0" applyProtection="0">
      <alignment horizontal="left" wrapText="1"/>
    </xf>
    <xf numFmtId="204" fontId="14" fillId="0" borderId="0" applyFont="0" applyFill="0" applyBorder="0" applyAlignment="0" applyProtection="0">
      <alignment horizontal="left" wrapText="1"/>
    </xf>
    <xf numFmtId="204" fontId="14" fillId="0" borderId="0" applyFon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applyNumberFormat="0" applyFill="0" applyBorder="0" applyAlignment="0" applyProtection="0"/>
    <xf numFmtId="0" fontId="14" fillId="0" borderId="0"/>
    <xf numFmtId="0" fontId="14" fillId="0" borderId="0"/>
    <xf numFmtId="0" fontId="58"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77" fillId="0" borderId="0" applyNumberFormat="0" applyFill="0" applyBorder="0" applyAlignment="0" applyProtection="0"/>
    <xf numFmtId="0" fontId="14" fillId="0" borderId="0"/>
    <xf numFmtId="0" fontId="143" fillId="0" borderId="0" applyNumberFormat="0" applyFill="0" applyBorder="0" applyAlignment="0" applyProtection="0"/>
    <xf numFmtId="1" fontId="144" fillId="64" borderId="30" applyNumberFormat="0" applyBorder="0" applyAlignment="0">
      <alignment horizontal="centerContinuous" vertical="center"/>
      <protection locked="0"/>
    </xf>
    <xf numFmtId="1" fontId="144" fillId="64" borderId="30" applyNumberFormat="0" applyBorder="0" applyAlignment="0">
      <alignment horizontal="centerContinuous" vertical="center"/>
      <protection locked="0"/>
    </xf>
    <xf numFmtId="1" fontId="144" fillId="64" borderId="30" applyNumberFormat="0" applyBorder="0" applyAlignment="0">
      <alignment horizontal="centerContinuous" vertical="center"/>
      <protection locked="0"/>
    </xf>
    <xf numFmtId="1" fontId="144" fillId="64" borderId="30" applyNumberFormat="0" applyBorder="0" applyAlignment="0">
      <alignment horizontal="centerContinuous" vertical="center"/>
      <protection locked="0"/>
    </xf>
    <xf numFmtId="2" fontId="135" fillId="0" borderId="0" applyFont="0" applyFill="0" applyBorder="0" applyAlignment="0" applyProtection="0"/>
    <xf numFmtId="2" fontId="135" fillId="0" borderId="0" applyFont="0" applyFill="0" applyBorder="0" applyAlignment="0" applyProtection="0"/>
    <xf numFmtId="2" fontId="135" fillId="0" borderId="0" applyFont="0" applyFill="0" applyBorder="0" applyAlignment="0" applyProtection="0"/>
    <xf numFmtId="0" fontId="14" fillId="0" borderId="0"/>
    <xf numFmtId="0" fontId="14" fillId="0" borderId="0"/>
    <xf numFmtId="0" fontId="14" fillId="0" borderId="0"/>
    <xf numFmtId="0" fontId="27" fillId="0" borderId="0"/>
    <xf numFmtId="0" fontId="14" fillId="0" borderId="0"/>
    <xf numFmtId="199" fontId="16" fillId="0" borderId="0"/>
    <xf numFmtId="205" fontId="145" fillId="0" borderId="0"/>
    <xf numFmtId="205" fontId="145" fillId="0" borderId="0"/>
    <xf numFmtId="205" fontId="145" fillId="0" borderId="0"/>
    <xf numFmtId="206" fontId="145" fillId="0" borderId="0"/>
    <xf numFmtId="206" fontId="145" fillId="0" borderId="0"/>
    <xf numFmtId="207" fontId="145" fillId="0" borderId="0"/>
    <xf numFmtId="207" fontId="145" fillId="0" borderId="0"/>
    <xf numFmtId="194" fontId="146" fillId="0" borderId="0">
      <alignment horizontal="right"/>
    </xf>
    <xf numFmtId="0" fontId="147" fillId="0" borderId="0">
      <alignment vertical="center"/>
    </xf>
    <xf numFmtId="0" fontId="148" fillId="0" borderId="0">
      <alignment horizontal="right"/>
    </xf>
    <xf numFmtId="193" fontId="149" fillId="0" borderId="0">
      <alignment horizontal="right" vertical="center"/>
    </xf>
    <xf numFmtId="193" fontId="146" fillId="0" borderId="0" applyFill="0" applyBorder="0">
      <alignment horizontal="right" vertical="center"/>
    </xf>
    <xf numFmtId="0" fontId="80" fillId="40" borderId="0" applyNumberFormat="0" applyBorder="0" applyAlignment="0" applyProtection="0"/>
    <xf numFmtId="0" fontId="14" fillId="0" borderId="0"/>
    <xf numFmtId="0" fontId="14" fillId="0" borderId="0"/>
    <xf numFmtId="0" fontId="50"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80"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4" borderId="0" applyNumberFormat="0" applyBorder="0" applyAlignment="0" applyProtection="0"/>
    <xf numFmtId="0" fontId="14" fillId="0" borderId="0"/>
    <xf numFmtId="0" fontId="14" fillId="0" borderId="0"/>
    <xf numFmtId="0" fontId="14" fillId="0" borderId="0"/>
    <xf numFmtId="0" fontId="150" fillId="4" borderId="0" applyNumberFormat="0" applyBorder="0" applyAlignment="0" applyProtection="0"/>
    <xf numFmtId="0" fontId="14" fillId="0" borderId="0"/>
    <xf numFmtId="38" fontId="16" fillId="60" borderId="0" applyNumberFormat="0" applyBorder="0" applyAlignment="0" applyProtection="0"/>
    <xf numFmtId="38" fontId="14" fillId="60" borderId="0" applyNumberFormat="0" applyBorder="0" applyAlignment="0" applyProtection="0"/>
    <xf numFmtId="0" fontId="14" fillId="0" borderId="0"/>
    <xf numFmtId="0" fontId="14" fillId="0" borderId="0"/>
    <xf numFmtId="0" fontId="14" fillId="0" borderId="0"/>
    <xf numFmtId="38" fontId="16" fillId="60" borderId="0" applyNumberFormat="0" applyBorder="0" applyAlignment="0" applyProtection="0"/>
    <xf numFmtId="38" fontId="16" fillId="60" borderId="0" applyNumberFormat="0" applyBorder="0" applyAlignment="0" applyProtection="0"/>
    <xf numFmtId="38" fontId="14" fillId="60" borderId="0" applyNumberFormat="0" applyBorder="0" applyAlignment="0" applyProtection="0"/>
    <xf numFmtId="0" fontId="14" fillId="0" borderId="0"/>
    <xf numFmtId="0" fontId="14" fillId="0" borderId="0"/>
    <xf numFmtId="0" fontId="14" fillId="0" borderId="0"/>
    <xf numFmtId="38" fontId="16" fillId="60" borderId="0" applyNumberFormat="0" applyBorder="0" applyAlignment="0" applyProtection="0"/>
    <xf numFmtId="38" fontId="16" fillId="60" borderId="0" applyNumberFormat="0" applyBorder="0" applyAlignment="0" applyProtection="0"/>
    <xf numFmtId="0" fontId="14" fillId="0" borderId="0"/>
    <xf numFmtId="0" fontId="14" fillId="0" borderId="0"/>
    <xf numFmtId="38" fontId="16" fillId="60" borderId="0" applyNumberFormat="0" applyBorder="0" applyAlignment="0" applyProtection="0"/>
    <xf numFmtId="38" fontId="16" fillId="6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38" fontId="14" fillId="60" borderId="0" applyNumberFormat="0" applyBorder="0" applyAlignment="0" applyProtection="0"/>
    <xf numFmtId="0" fontId="14" fillId="0" borderId="0"/>
    <xf numFmtId="0" fontId="14" fillId="0" borderId="0"/>
    <xf numFmtId="0" fontId="14" fillId="0" borderId="0"/>
    <xf numFmtId="0" fontId="14" fillId="0" borderId="0"/>
    <xf numFmtId="38" fontId="16" fillId="60" borderId="0" applyNumberFormat="0" applyBorder="0" applyAlignment="0" applyProtection="0"/>
    <xf numFmtId="0" fontId="151" fillId="0" borderId="70"/>
    <xf numFmtId="0" fontId="151" fillId="0" borderId="70"/>
    <xf numFmtId="0" fontId="151" fillId="0" borderId="70"/>
    <xf numFmtId="0" fontId="151" fillId="0" borderId="70"/>
    <xf numFmtId="0" fontId="151" fillId="0" borderId="70"/>
    <xf numFmtId="0" fontId="151" fillId="0" borderId="70"/>
    <xf numFmtId="0" fontId="151" fillId="0" borderId="70"/>
    <xf numFmtId="0" fontId="151" fillId="0" borderId="70"/>
    <xf numFmtId="0" fontId="151" fillId="0" borderId="70"/>
    <xf numFmtId="0" fontId="151" fillId="0" borderId="70"/>
    <xf numFmtId="0" fontId="151" fillId="0" borderId="70"/>
    <xf numFmtId="0" fontId="151" fillId="0" borderId="70"/>
    <xf numFmtId="0" fontId="151" fillId="0" borderId="70"/>
    <xf numFmtId="0" fontId="151" fillId="0" borderId="70"/>
    <xf numFmtId="208" fontId="35" fillId="0" borderId="0" applyNumberFormat="0" applyFill="0" applyBorder="0" applyProtection="0">
      <alignment horizontal="right"/>
    </xf>
    <xf numFmtId="0" fontId="24" fillId="0" borderId="1" applyNumberFormat="0" applyAlignment="0" applyProtection="0">
      <alignment horizontal="left"/>
    </xf>
    <xf numFmtId="0" fontId="24" fillId="0" borderId="1" applyNumberFormat="0" applyAlignment="0" applyProtection="0">
      <alignment horizontal="left"/>
    </xf>
    <xf numFmtId="0" fontId="14" fillId="0" borderId="0"/>
    <xf numFmtId="0" fontId="24" fillId="0" borderId="1" applyNumberFormat="0" applyAlignment="0" applyProtection="0">
      <alignment horizontal="left"/>
    </xf>
    <xf numFmtId="0" fontId="24" fillId="0" borderId="1" applyNumberFormat="0" applyAlignment="0" applyProtection="0">
      <alignment horizontal="left"/>
    </xf>
    <xf numFmtId="0" fontId="14" fillId="0" borderId="0"/>
    <xf numFmtId="0" fontId="14" fillId="0" borderId="0"/>
    <xf numFmtId="0" fontId="14" fillId="0" borderId="0"/>
    <xf numFmtId="0" fontId="24" fillId="0" borderId="1" applyNumberFormat="0" applyAlignment="0" applyProtection="0">
      <alignment horizontal="left"/>
    </xf>
    <xf numFmtId="0" fontId="24" fillId="0" borderId="38">
      <alignment horizontal="left"/>
    </xf>
    <xf numFmtId="0" fontId="24" fillId="0" borderId="38">
      <alignment horizontal="left"/>
    </xf>
    <xf numFmtId="0" fontId="14" fillId="0" borderId="0"/>
    <xf numFmtId="0" fontId="24" fillId="0" borderId="38">
      <alignment horizontal="left"/>
    </xf>
    <xf numFmtId="0" fontId="24" fillId="0" borderId="38">
      <alignment horizontal="left"/>
    </xf>
    <xf numFmtId="0" fontId="24" fillId="0" borderId="38">
      <alignment horizontal="left"/>
    </xf>
    <xf numFmtId="0" fontId="24" fillId="0" borderId="38">
      <alignment horizontal="left"/>
    </xf>
    <xf numFmtId="0" fontId="14" fillId="0" borderId="0"/>
    <xf numFmtId="0" fontId="24" fillId="0" borderId="38">
      <alignment horizontal="left"/>
    </xf>
    <xf numFmtId="0" fontId="24" fillId="0" borderId="38">
      <alignment horizontal="left"/>
    </xf>
    <xf numFmtId="0" fontId="14" fillId="0" borderId="0"/>
    <xf numFmtId="0" fontId="24" fillId="0" borderId="38">
      <alignment horizontal="left"/>
    </xf>
    <xf numFmtId="0" fontId="24" fillId="0" borderId="38">
      <alignment horizontal="left"/>
    </xf>
    <xf numFmtId="0" fontId="14" fillId="0" borderId="0"/>
    <xf numFmtId="0" fontId="24" fillId="0" borderId="38">
      <alignment horizontal="left"/>
    </xf>
    <xf numFmtId="0" fontId="24" fillId="0" borderId="38">
      <alignment horizontal="left"/>
    </xf>
    <xf numFmtId="0" fontId="24" fillId="0" borderId="38">
      <alignment horizontal="left"/>
    </xf>
    <xf numFmtId="0" fontId="152" fillId="63" borderId="0" applyNumberFormat="0" applyBorder="0" applyAlignment="0">
      <protection hidden="1"/>
    </xf>
    <xf numFmtId="0" fontId="84" fillId="0" borderId="59" applyNumberFormat="0" applyFill="0" applyAlignment="0" applyProtection="0"/>
    <xf numFmtId="0" fontId="14" fillId="0" borderId="0"/>
    <xf numFmtId="0" fontId="14" fillId="0" borderId="0"/>
    <xf numFmtId="0" fontId="83" fillId="0" borderId="58"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83" fillId="0" borderId="58"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35" fillId="0" borderId="0" applyNumberFormat="0" applyFill="0" applyBorder="0" applyAlignment="0" applyProtection="0"/>
    <xf numFmtId="0" fontId="135" fillId="0" borderId="0" applyNumberFormat="0" applyFill="0" applyBorder="0" applyAlignment="0" applyProtection="0"/>
    <xf numFmtId="0" fontId="14" fillId="0" borderId="0"/>
    <xf numFmtId="0" fontId="14" fillId="0" borderId="0"/>
    <xf numFmtId="0" fontId="47" fillId="0" borderId="47" applyNumberFormat="0" applyFill="0" applyAlignment="0" applyProtection="0"/>
    <xf numFmtId="0" fontId="14" fillId="0" borderId="0"/>
    <xf numFmtId="0" fontId="14" fillId="0" borderId="0"/>
    <xf numFmtId="0" fontId="14" fillId="0" borderId="0"/>
    <xf numFmtId="0" fontId="87" fillId="0" borderId="61" applyNumberFormat="0" applyFill="0" applyAlignment="0" applyProtection="0"/>
    <xf numFmtId="0" fontId="14" fillId="0" borderId="0"/>
    <xf numFmtId="0" fontId="14" fillId="0" borderId="0"/>
    <xf numFmtId="0" fontId="86" fillId="0" borderId="60"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86" fillId="0" borderId="60"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35" fillId="0" borderId="0" applyNumberFormat="0" applyFill="0" applyBorder="0" applyAlignment="0" applyProtection="0"/>
    <xf numFmtId="0" fontId="135" fillId="0" borderId="0" applyNumberFormat="0" applyFill="0" applyBorder="0" applyAlignment="0" applyProtection="0"/>
    <xf numFmtId="0" fontId="14" fillId="0" borderId="0"/>
    <xf numFmtId="0" fontId="14" fillId="0" borderId="0"/>
    <xf numFmtId="0" fontId="48" fillId="0" borderId="48" applyNumberFormat="0" applyFill="0" applyAlignment="0" applyProtection="0"/>
    <xf numFmtId="0" fontId="14" fillId="0" borderId="0"/>
    <xf numFmtId="0" fontId="14" fillId="0" borderId="0"/>
    <xf numFmtId="0" fontId="14" fillId="0" borderId="0"/>
    <xf numFmtId="0" fontId="90" fillId="0" borderId="63" applyNumberFormat="0" applyFill="0" applyAlignment="0" applyProtection="0"/>
    <xf numFmtId="0" fontId="90" fillId="0" borderId="63" applyNumberFormat="0" applyFill="0" applyAlignment="0" applyProtection="0"/>
    <xf numFmtId="0" fontId="14" fillId="0" borderId="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14" fillId="0" borderId="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89" fillId="0" borderId="62"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9" fillId="0" borderId="62" applyNumberFormat="0" applyFill="0" applyAlignment="0" applyProtection="0"/>
    <xf numFmtId="0" fontId="89" fillId="0" borderId="62" applyNumberFormat="0" applyFill="0" applyAlignment="0" applyProtection="0"/>
    <xf numFmtId="0" fontId="89" fillId="0" borderId="62" applyNumberFormat="0" applyFill="0" applyAlignment="0" applyProtection="0"/>
    <xf numFmtId="0" fontId="89" fillId="0" borderId="62" applyNumberFormat="0" applyFill="0" applyAlignment="0" applyProtection="0"/>
    <xf numFmtId="0" fontId="89" fillId="0" borderId="62" applyNumberFormat="0" applyFill="0" applyAlignment="0" applyProtection="0"/>
    <xf numFmtId="0" fontId="89" fillId="0" borderId="62" applyNumberFormat="0" applyFill="0" applyAlignment="0" applyProtection="0"/>
    <xf numFmtId="0" fontId="89" fillId="0" borderId="62" applyNumberFormat="0" applyFill="0" applyAlignment="0" applyProtection="0"/>
    <xf numFmtId="0" fontId="89" fillId="0" borderId="62" applyNumberFormat="0" applyFill="0" applyAlignment="0" applyProtection="0"/>
    <xf numFmtId="0" fontId="14" fillId="0" borderId="0"/>
    <xf numFmtId="0" fontId="89" fillId="0" borderId="62" applyNumberFormat="0" applyFill="0" applyAlignment="0" applyProtection="0"/>
    <xf numFmtId="0" fontId="89" fillId="0" borderId="62" applyNumberFormat="0" applyFill="0" applyAlignment="0" applyProtection="0"/>
    <xf numFmtId="0" fontId="89" fillId="0" borderId="62" applyNumberFormat="0" applyFill="0" applyAlignment="0" applyProtection="0"/>
    <xf numFmtId="0" fontId="89" fillId="0" borderId="62" applyNumberFormat="0" applyFill="0" applyAlignment="0" applyProtection="0"/>
    <xf numFmtId="0" fontId="89" fillId="0" borderId="62" applyNumberFormat="0" applyFill="0" applyAlignment="0" applyProtection="0"/>
    <xf numFmtId="0" fontId="89" fillId="0" borderId="62" applyNumberFormat="0" applyFill="0" applyAlignment="0" applyProtection="0"/>
    <xf numFmtId="0" fontId="89" fillId="0" borderId="62" applyNumberFormat="0" applyFill="0" applyAlignment="0" applyProtection="0"/>
    <xf numFmtId="0" fontId="14" fillId="0" borderId="0"/>
    <xf numFmtId="0" fontId="14" fillId="0" borderId="0"/>
    <xf numFmtId="0" fontId="14" fillId="0" borderId="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14" fillId="0" borderId="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14" fillId="0" borderId="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14" fillId="0" borderId="0"/>
    <xf numFmtId="0" fontId="14" fillId="0" borderId="0"/>
    <xf numFmtId="0" fontId="14" fillId="0" borderId="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49" fillId="0" borderId="49" applyNumberFormat="0" applyFill="0" applyAlignment="0" applyProtection="0"/>
    <xf numFmtId="0" fontId="14" fillId="0" borderId="0"/>
    <xf numFmtId="0" fontId="14" fillId="0" borderId="0"/>
    <xf numFmtId="0" fontId="14" fillId="0" borderId="0"/>
    <xf numFmtId="0" fontId="91" fillId="0" borderId="49" applyNumberFormat="0" applyFill="0" applyAlignment="0" applyProtection="0"/>
    <xf numFmtId="0" fontId="14" fillId="0" borderId="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63" applyNumberFormat="0" applyFill="0" applyAlignment="0" applyProtection="0"/>
    <xf numFmtId="0" fontId="90" fillId="0" borderId="0" applyNumberFormat="0" applyFill="0" applyBorder="0" applyAlignment="0" applyProtection="0"/>
    <xf numFmtId="0" fontId="14" fillId="0" borderId="0"/>
    <xf numFmtId="0" fontId="14" fillId="0" borderId="0"/>
    <xf numFmtId="0" fontId="89"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89"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90" fillId="0" borderId="0" applyNumberFormat="0" applyFill="0" applyBorder="0" applyAlignment="0" applyProtection="0"/>
    <xf numFmtId="0" fontId="14" fillId="0" borderId="0"/>
    <xf numFmtId="0" fontId="14" fillId="0" borderId="0"/>
    <xf numFmtId="0" fontId="14" fillId="0" borderId="0"/>
    <xf numFmtId="0" fontId="49" fillId="0" borderId="0" applyNumberFormat="0" applyFill="0" applyBorder="0" applyAlignment="0" applyProtection="0"/>
    <xf numFmtId="0" fontId="14" fillId="0" borderId="0"/>
    <xf numFmtId="0" fontId="14" fillId="0" borderId="0"/>
    <xf numFmtId="0" fontId="14" fillId="0" borderId="0"/>
    <xf numFmtId="0" fontId="91" fillId="0" borderId="0" applyNumberFormat="0" applyFill="0" applyBorder="0" applyAlignment="0" applyProtection="0"/>
    <xf numFmtId="0" fontId="14" fillId="0" borderId="0"/>
    <xf numFmtId="38" fontId="128" fillId="0" borderId="0"/>
    <xf numFmtId="38" fontId="128" fillId="0" borderId="0"/>
    <xf numFmtId="0" fontId="14" fillId="0" borderId="0"/>
    <xf numFmtId="38" fontId="128" fillId="0" borderId="0"/>
    <xf numFmtId="38" fontId="128" fillId="0" borderId="0"/>
    <xf numFmtId="0" fontId="14" fillId="0" borderId="0"/>
    <xf numFmtId="0" fontId="14" fillId="0" borderId="0"/>
    <xf numFmtId="0" fontId="14" fillId="0" borderId="0"/>
    <xf numFmtId="40" fontId="128" fillId="0" borderId="0"/>
    <xf numFmtId="40" fontId="128" fillId="0" borderId="0"/>
    <xf numFmtId="0" fontId="14" fillId="0" borderId="0"/>
    <xf numFmtId="40" fontId="128" fillId="0" borderId="0"/>
    <xf numFmtId="40" fontId="1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3" fillId="0" borderId="0" applyNumberFormat="0" applyFill="0" applyBorder="0" applyAlignment="0" applyProtection="0">
      <alignment vertical="top"/>
      <protection locked="0"/>
    </xf>
    <xf numFmtId="0" fontId="14" fillId="0" borderId="0"/>
    <xf numFmtId="10" fontId="16" fillId="61" borderId="44" applyNumberFormat="0" applyBorder="0" applyAlignment="0" applyProtection="0"/>
    <xf numFmtId="10" fontId="14" fillId="61" borderId="44" applyNumberFormat="0" applyBorder="0" applyAlignment="0" applyProtection="0"/>
    <xf numFmtId="10" fontId="14" fillId="61" borderId="44" applyNumberFormat="0" applyBorder="0" applyAlignment="0" applyProtection="0"/>
    <xf numFmtId="10" fontId="16" fillId="61" borderId="44" applyNumberFormat="0" applyBorder="0" applyAlignment="0" applyProtection="0"/>
    <xf numFmtId="0" fontId="14" fillId="0" borderId="0"/>
    <xf numFmtId="0" fontId="14" fillId="0" borderId="0"/>
    <xf numFmtId="0" fontId="14" fillId="0" borderId="0"/>
    <xf numFmtId="10" fontId="16" fillId="61" borderId="44" applyNumberFormat="0" applyBorder="0" applyAlignment="0" applyProtection="0"/>
    <xf numFmtId="10" fontId="16" fillId="61" borderId="44" applyNumberFormat="0" applyBorder="0" applyAlignment="0" applyProtection="0"/>
    <xf numFmtId="10" fontId="16" fillId="61" borderId="44" applyNumberFormat="0" applyBorder="0" applyAlignment="0" applyProtection="0"/>
    <xf numFmtId="10" fontId="14" fillId="61" borderId="44" applyNumberFormat="0" applyBorder="0" applyAlignment="0" applyProtection="0"/>
    <xf numFmtId="10" fontId="14" fillId="61" borderId="44" applyNumberFormat="0" applyBorder="0" applyAlignment="0" applyProtection="0"/>
    <xf numFmtId="10" fontId="16" fillId="61" borderId="44" applyNumberFormat="0" applyBorder="0" applyAlignment="0" applyProtection="0"/>
    <xf numFmtId="0" fontId="14" fillId="0" borderId="0"/>
    <xf numFmtId="0" fontId="14" fillId="0" borderId="0"/>
    <xf numFmtId="0" fontId="14" fillId="0" borderId="0"/>
    <xf numFmtId="10" fontId="16" fillId="61" borderId="44" applyNumberFormat="0" applyBorder="0" applyAlignment="0" applyProtection="0"/>
    <xf numFmtId="10" fontId="16" fillId="61" borderId="44" applyNumberFormat="0" applyBorder="0" applyAlignment="0" applyProtection="0"/>
    <xf numFmtId="10" fontId="16" fillId="61" borderId="44" applyNumberFormat="0" applyBorder="0" applyAlignment="0" applyProtection="0"/>
    <xf numFmtId="0" fontId="14" fillId="0" borderId="0"/>
    <xf numFmtId="10" fontId="16" fillId="61" borderId="44" applyNumberFormat="0" applyBorder="0" applyAlignment="0" applyProtection="0"/>
    <xf numFmtId="0" fontId="14" fillId="0" borderId="0"/>
    <xf numFmtId="10" fontId="16" fillId="61" borderId="44" applyNumberFormat="0" applyBorder="0" applyAlignment="0" applyProtection="0"/>
    <xf numFmtId="10" fontId="16" fillId="61" borderId="44" applyNumberFormat="0" applyBorder="0" applyAlignment="0" applyProtection="0"/>
    <xf numFmtId="10" fontId="16" fillId="61" borderId="44" applyNumberFormat="0" applyBorder="0" applyAlignment="0" applyProtection="0"/>
    <xf numFmtId="0" fontId="14" fillId="0" borderId="0"/>
    <xf numFmtId="0" fontId="14" fillId="0" borderId="0"/>
    <xf numFmtId="0" fontId="14" fillId="0" borderId="0"/>
    <xf numFmtId="10" fontId="16" fillId="61" borderId="44" applyNumberFormat="0" applyBorder="0" applyAlignment="0" applyProtection="0"/>
    <xf numFmtId="0" fontId="14" fillId="0" borderId="0"/>
    <xf numFmtId="0" fontId="14" fillId="0" borderId="0"/>
    <xf numFmtId="0" fontId="14" fillId="0" borderId="0"/>
    <xf numFmtId="10" fontId="16" fillId="61" borderId="44" applyNumberFormat="0" applyBorder="0" applyAlignment="0" applyProtection="0"/>
    <xf numFmtId="10" fontId="14" fillId="61" borderId="44" applyNumberFormat="0" applyBorder="0" applyAlignment="0" applyProtection="0"/>
    <xf numFmtId="0" fontId="14" fillId="0" borderId="0"/>
    <xf numFmtId="0" fontId="14" fillId="0" borderId="0"/>
    <xf numFmtId="0" fontId="14" fillId="0" borderId="0"/>
    <xf numFmtId="10" fontId="14" fillId="61" borderId="44" applyNumberFormat="0" applyBorder="0" applyAlignment="0" applyProtection="0"/>
    <xf numFmtId="0" fontId="14" fillId="0" borderId="0"/>
    <xf numFmtId="10" fontId="16" fillId="61" borderId="44" applyNumberFormat="0" applyBorder="0" applyAlignment="0" applyProtection="0"/>
    <xf numFmtId="10" fontId="16" fillId="61" borderId="44" applyNumberFormat="0" applyBorder="0" applyAlignment="0" applyProtection="0"/>
    <xf numFmtId="0" fontId="92" fillId="41" borderId="73" applyNumberFormat="0" applyAlignment="0" applyProtection="0"/>
    <xf numFmtId="0" fontId="14" fillId="0" borderId="0"/>
    <xf numFmtId="0" fontId="92" fillId="41" borderId="73" applyNumberFormat="0" applyAlignment="0" applyProtection="0"/>
    <xf numFmtId="0" fontId="53" fillId="7" borderId="50" applyNumberFormat="0" applyAlignment="0" applyProtection="0"/>
    <xf numFmtId="0" fontId="14" fillId="0" borderId="0"/>
    <xf numFmtId="0" fontId="53" fillId="7" borderId="50" applyNumberFormat="0" applyAlignment="0" applyProtection="0"/>
    <xf numFmtId="0" fontId="14" fillId="0" borderId="0"/>
    <xf numFmtId="0" fontId="92" fillId="41" borderId="73" applyNumberFormat="0" applyAlignment="0" applyProtection="0"/>
    <xf numFmtId="0" fontId="14" fillId="0" borderId="0"/>
    <xf numFmtId="0" fontId="92" fillId="41" borderId="73" applyNumberFormat="0" applyAlignment="0" applyProtection="0"/>
    <xf numFmtId="0" fontId="92" fillId="41" borderId="73" applyNumberFormat="0" applyAlignment="0" applyProtection="0"/>
    <xf numFmtId="0" fontId="14" fillId="0" borderId="0"/>
    <xf numFmtId="0" fontId="92" fillId="41" borderId="73" applyNumberFormat="0" applyAlignment="0" applyProtection="0"/>
    <xf numFmtId="0" fontId="53" fillId="7" borderId="50" applyNumberFormat="0" applyAlignment="0" applyProtection="0"/>
    <xf numFmtId="0" fontId="14" fillId="0" borderId="0"/>
    <xf numFmtId="0" fontId="53" fillId="7" borderId="50" applyNumberFormat="0" applyAlignment="0" applyProtection="0"/>
    <xf numFmtId="0" fontId="14" fillId="0" borderId="0"/>
    <xf numFmtId="0" fontId="53" fillId="7" borderId="50" applyNumberFormat="0" applyAlignment="0" applyProtection="0"/>
    <xf numFmtId="0" fontId="14" fillId="0" borderId="0"/>
    <xf numFmtId="0" fontId="53" fillId="7" borderId="50" applyNumberFormat="0" applyAlignment="0" applyProtection="0"/>
    <xf numFmtId="0" fontId="14" fillId="0" borderId="0"/>
    <xf numFmtId="0" fontId="14" fillId="0" borderId="0"/>
    <xf numFmtId="0" fontId="14" fillId="0" borderId="0"/>
    <xf numFmtId="0" fontId="154" fillId="7" borderId="50" applyNumberFormat="0" applyAlignment="0" applyProtection="0"/>
    <xf numFmtId="0" fontId="14" fillId="0" borderId="0"/>
    <xf numFmtId="0" fontId="14" fillId="0" borderId="0"/>
    <xf numFmtId="0" fontId="14" fillId="0" borderId="0"/>
    <xf numFmtId="0" fontId="92" fillId="41" borderId="73" applyNumberFormat="0" applyAlignment="0" applyProtection="0"/>
    <xf numFmtId="0" fontId="14" fillId="0" borderId="0"/>
    <xf numFmtId="0" fontId="92" fillId="41" borderId="73" applyNumberFormat="0" applyAlignment="0" applyProtection="0"/>
    <xf numFmtId="0" fontId="14" fillId="0" borderId="0"/>
    <xf numFmtId="0" fontId="92" fillId="41" borderId="73" applyNumberFormat="0" applyAlignment="0" applyProtection="0"/>
    <xf numFmtId="0" fontId="53" fillId="44" borderId="50" applyNumberFormat="0" applyAlignment="0" applyProtection="0"/>
    <xf numFmtId="0" fontId="14" fillId="0" borderId="0"/>
    <xf numFmtId="0" fontId="14" fillId="0" borderId="0"/>
    <xf numFmtId="0" fontId="14" fillId="0" borderId="0"/>
    <xf numFmtId="0" fontId="14" fillId="0" borderId="0"/>
    <xf numFmtId="0" fontId="14" fillId="0" borderId="0"/>
    <xf numFmtId="0" fontId="92" fillId="44" borderId="73" applyNumberFormat="0" applyAlignment="0" applyProtection="0"/>
    <xf numFmtId="0" fontId="14" fillId="0" borderId="0"/>
    <xf numFmtId="0" fontId="92" fillId="44" borderId="73" applyNumberFormat="0" applyAlignment="0" applyProtection="0"/>
    <xf numFmtId="0" fontId="14" fillId="0" borderId="0"/>
    <xf numFmtId="0" fontId="92" fillId="41" borderId="73" applyNumberFormat="0" applyAlignment="0" applyProtection="0"/>
    <xf numFmtId="0" fontId="154" fillId="7" borderId="50" applyNumberFormat="0" applyAlignment="0" applyProtection="0"/>
    <xf numFmtId="0" fontId="14" fillId="0" borderId="0"/>
    <xf numFmtId="0" fontId="14" fillId="0" borderId="0"/>
    <xf numFmtId="0" fontId="14" fillId="0" borderId="0"/>
    <xf numFmtId="0" fontId="154" fillId="7" borderId="50" applyNumberFormat="0" applyAlignment="0" applyProtection="0"/>
    <xf numFmtId="0" fontId="14" fillId="0" borderId="0"/>
    <xf numFmtId="0" fontId="14" fillId="0" borderId="0"/>
    <xf numFmtId="0" fontId="14" fillId="0" borderId="0"/>
    <xf numFmtId="0" fontId="154" fillId="7" borderId="50" applyNumberFormat="0" applyAlignment="0" applyProtection="0"/>
    <xf numFmtId="0" fontId="14" fillId="0" borderId="0"/>
    <xf numFmtId="0" fontId="53" fillId="7" borderId="5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2" fillId="44" borderId="73" applyNumberFormat="0" applyAlignment="0" applyProtection="0"/>
    <xf numFmtId="0" fontId="14" fillId="0" borderId="0"/>
    <xf numFmtId="0" fontId="92" fillId="44" borderId="73" applyNumberFormat="0" applyAlignment="0" applyProtection="0"/>
    <xf numFmtId="0" fontId="14" fillId="0" borderId="0"/>
    <xf numFmtId="0" fontId="92" fillId="41" borderId="7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3" fillId="7" borderId="50" applyNumberFormat="0" applyAlignment="0" applyProtection="0"/>
    <xf numFmtId="0" fontId="53" fillId="7" borderId="50" applyNumberFormat="0" applyAlignment="0" applyProtection="0"/>
    <xf numFmtId="0" fontId="53" fillId="7" borderId="50" applyNumberFormat="0" applyAlignment="0" applyProtection="0"/>
    <xf numFmtId="0" fontId="14" fillId="0" borderId="0"/>
    <xf numFmtId="0" fontId="14" fillId="0" borderId="0"/>
    <xf numFmtId="0" fontId="92" fillId="41" borderId="73" applyNumberFormat="0" applyAlignment="0" applyProtection="0"/>
    <xf numFmtId="0" fontId="53" fillId="7" borderId="50" applyNumberFormat="0" applyAlignment="0" applyProtection="0"/>
    <xf numFmtId="0" fontId="14" fillId="0" borderId="0"/>
    <xf numFmtId="0" fontId="14" fillId="0" borderId="0"/>
    <xf numFmtId="0" fontId="92" fillId="41" borderId="73" applyNumberFormat="0" applyAlignment="0" applyProtection="0"/>
    <xf numFmtId="0" fontId="53" fillId="7" borderId="50" applyNumberFormat="0" applyAlignment="0" applyProtection="0"/>
    <xf numFmtId="0" fontId="14" fillId="0" borderId="0"/>
    <xf numFmtId="0" fontId="14" fillId="0" borderId="0"/>
    <xf numFmtId="0" fontId="92" fillId="41" borderId="73"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3" fillId="7" borderId="50" applyNumberFormat="0" applyAlignment="0" applyProtection="0"/>
    <xf numFmtId="0" fontId="14" fillId="0" borderId="0"/>
    <xf numFmtId="41" fontId="23" fillId="65" borderId="74">
      <alignment horizontal="left"/>
      <protection locked="0"/>
    </xf>
    <xf numFmtId="41" fontId="23" fillId="65" borderId="74">
      <alignment horizontal="left"/>
      <protection locked="0"/>
    </xf>
    <xf numFmtId="0" fontId="14" fillId="0" borderId="0"/>
    <xf numFmtId="0" fontId="14" fillId="0" borderId="0"/>
    <xf numFmtId="10" fontId="23" fillId="65" borderId="74">
      <alignment horizontal="right"/>
      <protection locked="0"/>
    </xf>
    <xf numFmtId="10" fontId="23" fillId="65" borderId="74">
      <alignment horizontal="right"/>
      <protection locked="0"/>
    </xf>
    <xf numFmtId="0" fontId="14" fillId="0" borderId="0"/>
    <xf numFmtId="0" fontId="14" fillId="0" borderId="0"/>
    <xf numFmtId="10" fontId="23" fillId="65" borderId="74">
      <alignment horizontal="right"/>
      <protection locked="0"/>
    </xf>
    <xf numFmtId="41" fontId="23" fillId="65" borderId="74">
      <alignment horizontal="left"/>
      <protection locked="0"/>
    </xf>
    <xf numFmtId="0" fontId="151" fillId="0" borderId="0"/>
    <xf numFmtId="0" fontId="151" fillId="0" borderId="75"/>
    <xf numFmtId="0" fontId="151" fillId="0" borderId="75"/>
    <xf numFmtId="0" fontId="151" fillId="0" borderId="75"/>
    <xf numFmtId="0" fontId="151" fillId="0" borderId="75"/>
    <xf numFmtId="0" fontId="151" fillId="0" borderId="75"/>
    <xf numFmtId="0" fontId="151" fillId="0" borderId="75"/>
    <xf numFmtId="0" fontId="151" fillId="0" borderId="75"/>
    <xf numFmtId="0" fontId="151" fillId="0" borderId="75"/>
    <xf numFmtId="0" fontId="151" fillId="0" borderId="75"/>
    <xf numFmtId="0" fontId="16" fillId="60" borderId="0"/>
    <xf numFmtId="0" fontId="16" fillId="60" borderId="0"/>
    <xf numFmtId="0" fontId="14" fillId="0" borderId="0"/>
    <xf numFmtId="0" fontId="14" fillId="0" borderId="0"/>
    <xf numFmtId="0" fontId="14" fillId="0" borderId="0"/>
    <xf numFmtId="0" fontId="14" fillId="0" borderId="0"/>
    <xf numFmtId="3" fontId="155" fillId="0" borderId="0" applyFill="0" applyBorder="0" applyAlignment="0" applyProtection="0"/>
    <xf numFmtId="3" fontId="155" fillId="0" borderId="0" applyFill="0" applyBorder="0" applyAlignment="0" applyProtection="0"/>
    <xf numFmtId="3" fontId="155" fillId="0" borderId="0" applyFill="0" applyBorder="0" applyAlignment="0" applyProtection="0"/>
    <xf numFmtId="0" fontId="14" fillId="0" borderId="0"/>
    <xf numFmtId="0" fontId="14" fillId="0" borderId="0"/>
    <xf numFmtId="0" fontId="14" fillId="0" borderId="0"/>
    <xf numFmtId="0" fontId="96" fillId="0" borderId="65" applyNumberFormat="0" applyFill="0" applyAlignment="0" applyProtection="0"/>
    <xf numFmtId="0" fontId="14" fillId="0" borderId="0"/>
    <xf numFmtId="0" fontId="14" fillId="0" borderId="0"/>
    <xf numFmtId="0" fontId="95" fillId="0" borderId="6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5" fillId="0" borderId="6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0" borderId="52" applyNumberFormat="0" applyFill="0" applyAlignment="0" applyProtection="0"/>
    <xf numFmtId="0" fontId="14" fillId="0" borderId="0"/>
    <xf numFmtId="0" fontId="14" fillId="0" borderId="0"/>
    <xf numFmtId="0" fontId="14" fillId="0" borderId="0"/>
    <xf numFmtId="0" fontId="156" fillId="0" borderId="52" applyNumberFormat="0" applyFill="0" applyAlignment="0" applyProtection="0"/>
    <xf numFmtId="0" fontId="14" fillId="0" borderId="0"/>
    <xf numFmtId="209" fontId="14" fillId="0" borderId="0" applyFont="0" applyFill="0" applyBorder="0" applyAlignment="0" applyProtection="0"/>
    <xf numFmtId="0" fontId="14" fillId="0" borderId="0" applyFont="0" applyFill="0" applyBorder="0" applyAlignment="0" applyProtection="0"/>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0" fontId="14" fillId="0" borderId="0"/>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0" fontId="14" fillId="0" borderId="0"/>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0" fontId="14" fillId="0" borderId="0"/>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76" applyNumberFormat="0" applyFont="0" applyAlignment="0">
      <alignment horizontal="center"/>
    </xf>
    <xf numFmtId="44" fontId="18" fillId="0" borderId="32" applyNumberFormat="0" applyFont="0" applyAlignment="0">
      <alignment horizontal="center"/>
    </xf>
    <xf numFmtId="44" fontId="18" fillId="0" borderId="32" applyNumberFormat="0" applyFont="0" applyAlignment="0">
      <alignment horizontal="center"/>
    </xf>
    <xf numFmtId="44" fontId="18" fillId="0" borderId="32" applyNumberFormat="0" applyFont="0" applyAlignment="0">
      <alignment horizontal="center"/>
    </xf>
    <xf numFmtId="44" fontId="18" fillId="0" borderId="32" applyNumberFormat="0" applyFont="0" applyAlignment="0">
      <alignment horizontal="center"/>
    </xf>
    <xf numFmtId="44" fontId="18" fillId="0" borderId="32" applyNumberFormat="0" applyFont="0" applyAlignment="0">
      <alignment horizontal="center"/>
    </xf>
    <xf numFmtId="44" fontId="18" fillId="0" borderId="32" applyNumberFormat="0" applyFont="0" applyAlignment="0">
      <alignment horizontal="center"/>
    </xf>
    <xf numFmtId="44" fontId="18" fillId="0" borderId="32" applyNumberFormat="0" applyFont="0" applyAlignment="0">
      <alignment horizontal="center"/>
    </xf>
    <xf numFmtId="44" fontId="18" fillId="0" borderId="32" applyNumberFormat="0" applyFont="0" applyAlignment="0">
      <alignment horizontal="center"/>
    </xf>
    <xf numFmtId="44" fontId="18" fillId="0" borderId="32" applyNumberFormat="0" applyFont="0" applyAlignment="0">
      <alignment horizontal="center"/>
    </xf>
    <xf numFmtId="0" fontId="14" fillId="0" borderId="0"/>
    <xf numFmtId="0" fontId="14" fillId="0" borderId="0"/>
    <xf numFmtId="0" fontId="14" fillId="0" borderId="0"/>
    <xf numFmtId="44" fontId="18" fillId="0" borderId="32" applyNumberFormat="0" applyFont="0" applyAlignment="0">
      <alignment horizontal="center"/>
    </xf>
    <xf numFmtId="0" fontId="14" fillId="0" borderId="0" applyFont="0" applyFill="0" applyBorder="0" applyAlignment="0" applyProtection="0"/>
    <xf numFmtId="0" fontId="14" fillId="0" borderId="0" applyFont="0" applyFill="0" applyBorder="0" applyAlignment="0" applyProtection="0"/>
    <xf numFmtId="210" fontId="16" fillId="66" borderId="0">
      <alignment horizontal="center"/>
    </xf>
    <xf numFmtId="0" fontId="100" fillId="44" borderId="0" applyNumberFormat="0" applyBorder="0" applyAlignment="0" applyProtection="0"/>
    <xf numFmtId="0" fontId="14" fillId="0" borderId="0"/>
    <xf numFmtId="0" fontId="14" fillId="0" borderId="0"/>
    <xf numFmtId="0" fontId="157" fillId="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99" fillId="4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6" borderId="0" applyNumberFormat="0" applyBorder="0" applyAlignment="0" applyProtection="0"/>
    <xf numFmtId="0" fontId="14" fillId="0" borderId="0"/>
    <xf numFmtId="0" fontId="14" fillId="0" borderId="0"/>
    <xf numFmtId="0" fontId="14" fillId="0" borderId="0"/>
    <xf numFmtId="0" fontId="158" fillId="6" borderId="0" applyNumberFormat="0" applyBorder="0" applyAlignment="0" applyProtection="0"/>
    <xf numFmtId="0" fontId="14" fillId="0" borderId="0"/>
    <xf numFmtId="37" fontId="159" fillId="0" borderId="0"/>
    <xf numFmtId="37" fontId="159" fillId="0" borderId="0"/>
    <xf numFmtId="37" fontId="159" fillId="0" borderId="0"/>
    <xf numFmtId="0" fontId="14" fillId="0" borderId="0"/>
    <xf numFmtId="0" fontId="14" fillId="0" borderId="0"/>
    <xf numFmtId="0" fontId="14" fillId="0" borderId="0"/>
    <xf numFmtId="211" fontId="14" fillId="0" borderId="0"/>
    <xf numFmtId="186" fontId="14" fillId="0" borderId="0"/>
    <xf numFmtId="186" fontId="14" fillId="0" borderId="0"/>
    <xf numFmtId="186" fontId="14" fillId="0" borderId="0"/>
    <xf numFmtId="186" fontId="14" fillId="0" borderId="0"/>
    <xf numFmtId="212" fontId="14" fillId="0" borderId="0"/>
    <xf numFmtId="21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8" fontId="14" fillId="0" borderId="0"/>
    <xf numFmtId="0" fontId="14" fillId="0" borderId="0"/>
    <xf numFmtId="0" fontId="14" fillId="0" borderId="0"/>
    <xf numFmtId="0" fontId="14" fillId="0" borderId="0"/>
    <xf numFmtId="0" fontId="14" fillId="0" borderId="0"/>
    <xf numFmtId="212" fontId="14" fillId="0" borderId="0"/>
    <xf numFmtId="212" fontId="14" fillId="0" borderId="0"/>
    <xf numFmtId="0" fontId="14" fillId="0" borderId="0"/>
    <xf numFmtId="0" fontId="14" fillId="0" borderId="0"/>
    <xf numFmtId="0" fontId="14" fillId="0" borderId="0"/>
    <xf numFmtId="0" fontId="14" fillId="0" borderId="0"/>
    <xf numFmtId="0" fontId="14" fillId="0" borderId="0"/>
    <xf numFmtId="18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2" fontId="14" fillId="0" borderId="0"/>
    <xf numFmtId="21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6" fontId="14" fillId="0" borderId="0"/>
    <xf numFmtId="18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6" fontId="14" fillId="0" borderId="0"/>
    <xf numFmtId="186" fontId="14" fillId="0" borderId="0"/>
    <xf numFmtId="0" fontId="14" fillId="0" borderId="0"/>
    <xf numFmtId="0" fontId="14" fillId="0" borderId="0"/>
    <xf numFmtId="0" fontId="14" fillId="0" borderId="0"/>
    <xf numFmtId="18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6" fontId="14" fillId="0" borderId="0"/>
    <xf numFmtId="18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8" fontId="103" fillId="0" borderId="0"/>
    <xf numFmtId="0" fontId="14" fillId="0" borderId="0"/>
    <xf numFmtId="213" fontId="45" fillId="0" borderId="0"/>
    <xf numFmtId="213" fontId="45" fillId="0" borderId="0"/>
    <xf numFmtId="214" fontId="16" fillId="0" borderId="0"/>
    <xf numFmtId="215" fontId="16" fillId="0" borderId="0"/>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0" fontId="14" fillId="0" borderId="0"/>
    <xf numFmtId="0" fontId="14" fillId="0" borderId="0"/>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wrapText="1"/>
    </xf>
    <xf numFmtId="0" fontId="14"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4" fillId="0" borderId="0"/>
    <xf numFmtId="0" fontId="14" fillId="0" borderId="0"/>
    <xf numFmtId="0" fontId="5" fillId="0" borderId="0"/>
    <xf numFmtId="0" fontId="5" fillId="0" borderId="0"/>
    <xf numFmtId="0" fontId="5" fillId="0" borderId="0"/>
    <xf numFmtId="0" fontId="14"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2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0" fillId="0" borderId="0"/>
    <xf numFmtId="0" fontId="160" fillId="0" borderId="0"/>
    <xf numFmtId="0" fontId="160" fillId="0" borderId="0"/>
    <xf numFmtId="0" fontId="160" fillId="0" borderId="0"/>
    <xf numFmtId="0" fontId="161" fillId="0" borderId="0"/>
    <xf numFmtId="0" fontId="14" fillId="0" borderId="0"/>
    <xf numFmtId="0" fontId="161" fillId="0" borderId="0"/>
    <xf numFmtId="0" fontId="161" fillId="0" borderId="0"/>
    <xf numFmtId="0" fontId="161" fillId="0" borderId="0"/>
    <xf numFmtId="0" fontId="160" fillId="0" borderId="0"/>
    <xf numFmtId="0" fontId="160" fillId="0" borderId="0"/>
    <xf numFmtId="0" fontId="160" fillId="0" borderId="0"/>
    <xf numFmtId="0" fontId="160" fillId="0" borderId="0"/>
    <xf numFmtId="0" fontId="1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4" fillId="0" borderId="0"/>
    <xf numFmtId="0" fontId="14" fillId="0" borderId="0"/>
    <xf numFmtId="0" fontId="14" fillId="0" borderId="0"/>
    <xf numFmtId="0" fontId="1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0" fillId="0" borderId="0"/>
    <xf numFmtId="0" fontId="160" fillId="0" borderId="0"/>
    <xf numFmtId="0" fontId="160" fillId="0" borderId="0"/>
    <xf numFmtId="0" fontId="16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5" fillId="0" borderId="0"/>
    <xf numFmtId="0" fontId="160" fillId="0" borderId="0"/>
    <xf numFmtId="0" fontId="160" fillId="0" borderId="0"/>
    <xf numFmtId="216" fontId="14" fillId="0" borderId="0">
      <alignment horizontal="left" wrapText="1"/>
    </xf>
    <xf numFmtId="0" fontId="14" fillId="0" borderId="0"/>
    <xf numFmtId="0" fontId="14" fillId="0" borderId="0"/>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6" fontId="14" fillId="0" borderId="0">
      <alignment horizontal="left" wrapText="1"/>
    </xf>
    <xf numFmtId="0" fontId="14" fillId="0" borderId="0"/>
    <xf numFmtId="216" fontId="14" fillId="0" borderId="0">
      <alignment horizontal="left" wrapText="1"/>
    </xf>
    <xf numFmtId="0" fontId="14" fillId="0" borderId="0"/>
    <xf numFmtId="216" fontId="14" fillId="0" borderId="0">
      <alignment horizontal="left" wrapText="1"/>
    </xf>
    <xf numFmtId="0" fontId="14" fillId="0" borderId="0"/>
    <xf numFmtId="216" fontId="14" fillId="0" borderId="0">
      <alignment horizontal="left" wrapText="1"/>
    </xf>
    <xf numFmtId="0" fontId="14" fillId="0" borderId="0"/>
    <xf numFmtId="216" fontId="14" fillId="0" borderId="0">
      <alignment horizontal="left" wrapText="1"/>
    </xf>
    <xf numFmtId="0" fontId="14" fillId="0" borderId="0"/>
    <xf numFmtId="0" fontId="14" fillId="0" borderId="0"/>
    <xf numFmtId="0" fontId="16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0" fontId="17"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0" fontId="14" fillId="0" borderId="0"/>
    <xf numFmtId="0" fontId="14" fillId="0" borderId="0"/>
    <xf numFmtId="0" fontId="14" fillId="0" borderId="0"/>
    <xf numFmtId="0" fontId="14" fillId="0" borderId="0"/>
    <xf numFmtId="180" fontId="17" fillId="0" borderId="0">
      <alignment horizontal="left" wrapText="1"/>
    </xf>
    <xf numFmtId="0" fontId="5" fillId="0" borderId="0"/>
    <xf numFmtId="0" fontId="14" fillId="0" borderId="0"/>
    <xf numFmtId="0" fontId="14" fillId="0" borderId="0"/>
    <xf numFmtId="0" fontId="14" fillId="0" borderId="0"/>
    <xf numFmtId="0" fontId="5" fillId="0" borderId="0"/>
    <xf numFmtId="0" fontId="14" fillId="0" borderId="0"/>
    <xf numFmtId="0" fontId="5"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0" fontId="14"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177" fontId="14" fillId="0" borderId="0">
      <alignment horizontal="left" wrapText="1"/>
    </xf>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alignment horizontal="left" wrapText="1"/>
    </xf>
    <xf numFmtId="0" fontId="14"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178"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5" fillId="0" borderId="0"/>
    <xf numFmtId="0" fontId="160" fillId="0" borderId="0"/>
    <xf numFmtId="0" fontId="160" fillId="0" borderId="0"/>
    <xf numFmtId="0" fontId="5" fillId="0" borderId="0"/>
    <xf numFmtId="0" fontId="16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0" fontId="17"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5" fillId="0" borderId="0"/>
    <xf numFmtId="0" fontId="10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2" fillId="0" borderId="0"/>
    <xf numFmtId="0" fontId="14" fillId="0" borderId="0"/>
    <xf numFmtId="0" fontId="14" fillId="0" borderId="0"/>
    <xf numFmtId="0" fontId="14" fillId="0" borderId="0"/>
    <xf numFmtId="0" fontId="14" fillId="0" borderId="0"/>
    <xf numFmtId="0" fontId="14" fillId="0" borderId="0"/>
    <xf numFmtId="0" fontId="162" fillId="0" borderId="0"/>
    <xf numFmtId="0" fontId="14" fillId="0" borderId="0"/>
    <xf numFmtId="0" fontId="14" fillId="0" borderId="0"/>
    <xf numFmtId="0" fontId="14" fillId="0" borderId="0"/>
    <xf numFmtId="0" fontId="14" fillId="0" borderId="0"/>
    <xf numFmtId="0" fontId="14" fillId="0" borderId="0"/>
    <xf numFmtId="0" fontId="1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62" fillId="39" borderId="77" applyNumberFormat="0" applyFont="0" applyAlignment="0" applyProtection="0"/>
    <xf numFmtId="0" fontId="14" fillId="0" borderId="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14" fillId="39" borderId="77" applyNumberFormat="0" applyFont="0" applyAlignment="0" applyProtection="0"/>
    <xf numFmtId="0" fontId="14" fillId="39" borderId="77" applyNumberFormat="0" applyFont="0" applyAlignment="0" applyProtection="0"/>
    <xf numFmtId="0" fontId="14" fillId="0" borderId="0"/>
    <xf numFmtId="0" fontId="14" fillId="39" borderId="77" applyNumberFormat="0" applyFont="0" applyAlignment="0" applyProtection="0"/>
    <xf numFmtId="0" fontId="17" fillId="39" borderId="77" applyNumberFormat="0" applyFont="0" applyAlignment="0" applyProtection="0"/>
    <xf numFmtId="0" fontId="14" fillId="0" borderId="0"/>
    <xf numFmtId="0" fontId="17" fillId="39" borderId="77" applyNumberFormat="0" applyFont="0" applyAlignment="0" applyProtection="0"/>
    <xf numFmtId="0" fontId="14" fillId="0" borderId="0"/>
    <xf numFmtId="0" fontId="14" fillId="0" borderId="0"/>
    <xf numFmtId="0" fontId="14" fillId="0" borderId="0"/>
    <xf numFmtId="0" fontId="14" fillId="39" borderId="77" applyNumberFormat="0" applyFont="0" applyAlignment="0" applyProtection="0"/>
    <xf numFmtId="0" fontId="14" fillId="39" borderId="77" applyNumberFormat="0" applyFont="0" applyAlignment="0" applyProtection="0"/>
    <xf numFmtId="0" fontId="14"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39" borderId="77" applyNumberFormat="0" applyFont="0" applyAlignment="0" applyProtection="0"/>
    <xf numFmtId="0" fontId="14" fillId="39" borderId="77" applyNumberFormat="0" applyFont="0" applyAlignment="0" applyProtection="0"/>
    <xf numFmtId="0" fontId="14" fillId="39" borderId="77" applyNumberFormat="0" applyFont="0" applyAlignment="0" applyProtection="0"/>
    <xf numFmtId="0" fontId="14" fillId="0" borderId="0"/>
    <xf numFmtId="0" fontId="14" fillId="39" borderId="77" applyNumberFormat="0" applyFont="0" applyAlignment="0" applyProtection="0"/>
    <xf numFmtId="0" fontId="14" fillId="0" borderId="0"/>
    <xf numFmtId="0" fontId="14" fillId="39" borderId="77" applyNumberFormat="0" applyFont="0" applyAlignment="0" applyProtection="0"/>
    <xf numFmtId="0" fontId="5" fillId="10" borderId="54" applyNumberFormat="0" applyFont="0" applyAlignment="0" applyProtection="0"/>
    <xf numFmtId="0" fontId="62" fillId="10" borderId="54" applyNumberFormat="0" applyFont="0" applyAlignment="0" applyProtection="0"/>
    <xf numFmtId="0" fontId="5" fillId="10" borderId="54" applyNumberFormat="0" applyFont="0" applyAlignment="0" applyProtection="0"/>
    <xf numFmtId="0" fontId="5" fillId="10" borderId="54" applyNumberFormat="0" applyFont="0" applyAlignment="0" applyProtection="0"/>
    <xf numFmtId="0" fontId="5" fillId="10" borderId="54" applyNumberFormat="0" applyFont="0" applyAlignment="0" applyProtection="0"/>
    <xf numFmtId="0" fontId="14" fillId="39" borderId="77" applyNumberFormat="0" applyFont="0" applyAlignment="0" applyProtection="0"/>
    <xf numFmtId="0" fontId="14" fillId="39" borderId="77" applyNumberFormat="0" applyFont="0" applyAlignment="0" applyProtection="0"/>
    <xf numFmtId="0" fontId="14" fillId="39" borderId="77" applyNumberFormat="0" applyFont="0" applyAlignment="0" applyProtection="0"/>
    <xf numFmtId="0" fontId="14" fillId="39" borderId="77" applyNumberFormat="0" applyFont="0" applyAlignment="0" applyProtection="0"/>
    <xf numFmtId="0" fontId="14" fillId="39" borderId="77" applyNumberFormat="0" applyFont="0" applyAlignment="0" applyProtection="0"/>
    <xf numFmtId="0" fontId="14" fillId="39" borderId="77" applyNumberFormat="0" applyFont="0" applyAlignment="0" applyProtection="0"/>
    <xf numFmtId="0" fontId="14" fillId="39" borderId="77" applyNumberFormat="0" applyFont="0" applyAlignment="0" applyProtection="0"/>
    <xf numFmtId="0" fontId="14" fillId="39" borderId="77" applyNumberFormat="0" applyFont="0" applyAlignment="0" applyProtection="0"/>
    <xf numFmtId="0" fontId="5" fillId="10" borderId="54" applyNumberFormat="0" applyFont="0" applyAlignment="0" applyProtection="0"/>
    <xf numFmtId="0" fontId="160" fillId="10" borderId="54" applyNumberFormat="0" applyFont="0" applyAlignment="0" applyProtection="0"/>
    <xf numFmtId="0" fontId="160" fillId="10" borderId="54" applyNumberFormat="0" applyFont="0" applyAlignment="0" applyProtection="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62" fillId="39" borderId="77" applyNumberFormat="0" applyFont="0" applyAlignment="0" applyProtection="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17"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62" fillId="39" borderId="77" applyNumberFormat="0" applyFont="0" applyAlignment="0" applyProtection="0"/>
    <xf numFmtId="0" fontId="62" fillId="39" borderId="77" applyNumberFormat="0" applyFont="0" applyAlignment="0" applyProtection="0"/>
    <xf numFmtId="0" fontId="14" fillId="0" borderId="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62" fillId="39" borderId="77" applyNumberFormat="0" applyFont="0" applyAlignment="0" applyProtection="0"/>
    <xf numFmtId="0" fontId="62" fillId="39" borderId="77" applyNumberFormat="0" applyFont="0" applyAlignment="0" applyProtection="0"/>
    <xf numFmtId="0" fontId="14" fillId="0" borderId="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62" fillId="39" borderId="77" applyNumberFormat="0" applyFont="0" applyAlignment="0" applyProtection="0"/>
    <xf numFmtId="0" fontId="62" fillId="39" borderId="77" applyNumberFormat="0" applyFont="0" applyAlignment="0" applyProtection="0"/>
    <xf numFmtId="0" fontId="14" fillId="0" borderId="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62" fillId="39" borderId="77" applyNumberFormat="0" applyFont="0" applyAlignment="0" applyProtection="0"/>
    <xf numFmtId="0" fontId="62" fillId="39" borderId="77" applyNumberFormat="0" applyFont="0" applyAlignment="0" applyProtection="0"/>
    <xf numFmtId="0" fontId="14" fillId="0" borderId="0"/>
    <xf numFmtId="0" fontId="14" fillId="0" borderId="0"/>
    <xf numFmtId="0" fontId="14" fillId="0" borderId="0"/>
    <xf numFmtId="0" fontId="62" fillId="39" borderId="77"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9" borderId="77" applyNumberFormat="0" applyFont="0" applyAlignment="0" applyProtection="0"/>
    <xf numFmtId="0" fontId="105" fillId="58" borderId="78" applyNumberFormat="0" applyAlignment="0" applyProtection="0"/>
    <xf numFmtId="0" fontId="14" fillId="0" borderId="0"/>
    <xf numFmtId="0" fontId="105" fillId="58" borderId="7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5" fillId="58" borderId="78" applyNumberFormat="0" applyAlignment="0" applyProtection="0"/>
    <xf numFmtId="0" fontId="54" fillId="57" borderId="51" applyNumberFormat="0" applyAlignment="0" applyProtection="0"/>
    <xf numFmtId="0" fontId="14" fillId="0" borderId="0"/>
    <xf numFmtId="0" fontId="14" fillId="0" borderId="0"/>
    <xf numFmtId="0" fontId="14" fillId="0" borderId="0"/>
    <xf numFmtId="0" fontId="105" fillId="57" borderId="78" applyNumberFormat="0" applyAlignment="0" applyProtection="0"/>
    <xf numFmtId="0" fontId="14" fillId="0" borderId="0"/>
    <xf numFmtId="0" fontId="14" fillId="0" borderId="0"/>
    <xf numFmtId="0" fontId="14" fillId="0" borderId="0"/>
    <xf numFmtId="0" fontId="105" fillId="57" borderId="78" applyNumberFormat="0" applyAlignment="0" applyProtection="0"/>
    <xf numFmtId="0" fontId="14" fillId="0" borderId="0"/>
    <xf numFmtId="0" fontId="14" fillId="0" borderId="0"/>
    <xf numFmtId="0" fontId="14" fillId="0" borderId="0"/>
    <xf numFmtId="0" fontId="105" fillId="58" borderId="78" applyNumberFormat="0" applyAlignment="0" applyProtection="0"/>
    <xf numFmtId="0" fontId="14" fillId="0" borderId="0"/>
    <xf numFmtId="0" fontId="105" fillId="58" borderId="7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5" fillId="58" borderId="78" applyNumberFormat="0" applyAlignment="0" applyProtection="0"/>
    <xf numFmtId="0" fontId="14" fillId="0" borderId="0"/>
    <xf numFmtId="0" fontId="14" fillId="0" borderId="0"/>
    <xf numFmtId="0" fontId="14" fillId="0" borderId="0"/>
    <xf numFmtId="0" fontId="14" fillId="0" borderId="0"/>
    <xf numFmtId="0" fontId="14" fillId="0" borderId="0"/>
    <xf numFmtId="0" fontId="105" fillId="58" borderId="78" applyNumberFormat="0" applyAlignment="0" applyProtection="0"/>
    <xf numFmtId="0" fontId="54" fillId="8" borderId="51" applyNumberFormat="0" applyAlignment="0" applyProtection="0"/>
    <xf numFmtId="0" fontId="14" fillId="0" borderId="0"/>
    <xf numFmtId="0" fontId="14" fillId="0" borderId="0"/>
    <xf numFmtId="0" fontId="14" fillId="0" borderId="0"/>
    <xf numFmtId="0" fontId="14" fillId="0" borderId="0"/>
    <xf numFmtId="0" fontId="14" fillId="0" borderId="0"/>
    <xf numFmtId="0" fontId="163" fillId="8" borderId="51" applyNumberFormat="0" applyAlignment="0" applyProtection="0"/>
    <xf numFmtId="0" fontId="14" fillId="0" borderId="0"/>
    <xf numFmtId="0" fontId="14" fillId="0" borderId="0"/>
    <xf numFmtId="0" fontId="14" fillId="0" borderId="0"/>
    <xf numFmtId="0" fontId="14" fillId="0" borderId="0"/>
    <xf numFmtId="0" fontId="14" fillId="0" borderId="0"/>
    <xf numFmtId="0" fontId="2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xf numFmtId="166" fontId="14" fillId="0" borderId="0" applyFont="0" applyFill="0" applyBorder="0" applyAlignment="0" applyProtection="0"/>
    <xf numFmtId="1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4"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4" fillId="0" borderId="0"/>
    <xf numFmtId="0" fontId="14" fillId="0" borderId="0"/>
    <xf numFmtId="0" fontId="14" fillId="0" borderId="0"/>
    <xf numFmtId="10" fontId="14" fillId="0" borderId="0" applyFont="0" applyFill="0" applyBorder="0" applyAlignment="0" applyProtection="0"/>
    <xf numFmtId="0" fontId="14"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4"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8" fillId="0" borderId="0" applyFont="0" applyFill="0" applyBorder="0" applyAlignment="0" applyProtection="0"/>
    <xf numFmtId="0" fontId="14" fillId="0" borderId="0"/>
    <xf numFmtId="0" fontId="14" fillId="0" borderId="0"/>
    <xf numFmtId="9" fontId="8"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3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3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62"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5" fillId="0" borderId="0" applyFont="0" applyFill="0" applyBorder="0" applyAlignment="0" applyProtection="0"/>
    <xf numFmtId="0" fontId="1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62" fillId="0" borderId="0" applyFont="0" applyFill="0" applyBorder="0" applyAlignment="0" applyProtection="0"/>
    <xf numFmtId="9" fontId="6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5"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4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3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1" fontId="14" fillId="67" borderId="74"/>
    <xf numFmtId="41" fontId="14" fillId="67" borderId="74"/>
    <xf numFmtId="41" fontId="14" fillId="67" borderId="74"/>
    <xf numFmtId="0" fontId="14" fillId="0" borderId="0"/>
    <xf numFmtId="0" fontId="14" fillId="0" borderId="0"/>
    <xf numFmtId="0" fontId="14" fillId="0" borderId="0"/>
    <xf numFmtId="0" fontId="14" fillId="0" borderId="0"/>
    <xf numFmtId="0" fontId="14" fillId="0" borderId="0"/>
    <xf numFmtId="0" fontId="14" fillId="0" borderId="0"/>
    <xf numFmtId="41" fontId="14" fillId="67" borderId="7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1" fontId="14" fillId="67" borderId="74"/>
    <xf numFmtId="217" fontId="164" fillId="60" borderId="0" applyBorder="0" applyAlignment="0">
      <protection hidden="1"/>
    </xf>
    <xf numFmtId="1" fontId="164" fillId="60" borderId="0">
      <alignment horizontal="center"/>
    </xf>
    <xf numFmtId="0" fontId="104" fillId="0" borderId="0" applyNumberFormat="0" applyFont="0" applyFill="0" applyBorder="0" applyAlignment="0" applyProtection="0">
      <alignment horizontal="left"/>
    </xf>
    <xf numFmtId="0" fontId="104" fillId="0" borderId="0" applyNumberFormat="0" applyFont="0" applyFill="0" applyBorder="0" applyAlignment="0" applyProtection="0">
      <alignment horizontal="left"/>
    </xf>
    <xf numFmtId="0" fontId="104" fillId="0" borderId="0" applyNumberFormat="0" applyFont="0" applyFill="0" applyBorder="0" applyAlignment="0" applyProtection="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5" fontId="104" fillId="0" borderId="0" applyFont="0" applyFill="0" applyBorder="0" applyAlignment="0" applyProtection="0"/>
    <xf numFmtId="15" fontId="104" fillId="0" borderId="0" applyFont="0" applyFill="0" applyBorder="0" applyAlignment="0" applyProtection="0"/>
    <xf numFmtId="15" fontId="10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04" fillId="0" borderId="0" applyFont="0" applyFill="0" applyBorder="0" applyAlignment="0" applyProtection="0"/>
    <xf numFmtId="4" fontId="104" fillId="0" borderId="0" applyFont="0" applyFill="0" applyBorder="0" applyAlignment="0" applyProtection="0"/>
    <xf numFmtId="4" fontId="10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5" fillId="0" borderId="3">
      <alignment horizontal="center"/>
    </xf>
    <xf numFmtId="0" fontId="165" fillId="0" borderId="3">
      <alignment horizontal="center"/>
    </xf>
    <xf numFmtId="0" fontId="165" fillId="0" borderId="3">
      <alignment horizontal="center"/>
    </xf>
    <xf numFmtId="0" fontId="14" fillId="0" borderId="0"/>
    <xf numFmtId="0" fontId="165" fillId="0" borderId="3">
      <alignment horizontal="center"/>
    </xf>
    <xf numFmtId="0" fontId="165" fillId="0" borderId="3">
      <alignment horizontal="center"/>
    </xf>
    <xf numFmtId="0" fontId="165" fillId="0" borderId="3">
      <alignment horizontal="center"/>
    </xf>
    <xf numFmtId="0" fontId="165" fillId="0" borderId="3">
      <alignment horizontal="center"/>
    </xf>
    <xf numFmtId="0" fontId="165" fillId="0" borderId="3">
      <alignment horizontal="center"/>
    </xf>
    <xf numFmtId="0" fontId="165" fillId="0" borderId="3">
      <alignment horizontal="center"/>
    </xf>
    <xf numFmtId="0" fontId="165" fillId="0" borderId="3">
      <alignment horizontal="center"/>
    </xf>
    <xf numFmtId="0" fontId="14" fillId="0" borderId="0"/>
    <xf numFmtId="0" fontId="14" fillId="0" borderId="0"/>
    <xf numFmtId="0" fontId="14" fillId="0" borderId="0"/>
    <xf numFmtId="0" fontId="165" fillId="0" borderId="3">
      <alignment horizontal="center"/>
    </xf>
    <xf numFmtId="0" fontId="165" fillId="0" borderId="3">
      <alignment horizontal="center"/>
    </xf>
    <xf numFmtId="0" fontId="165" fillId="0" borderId="3">
      <alignment horizontal="center"/>
    </xf>
    <xf numFmtId="0" fontId="165" fillId="0" borderId="3">
      <alignment horizontal="center"/>
    </xf>
    <xf numFmtId="0" fontId="165" fillId="0" borderId="3">
      <alignment horizontal="center"/>
    </xf>
    <xf numFmtId="0" fontId="165" fillId="0" borderId="3">
      <alignment horizontal="center"/>
    </xf>
    <xf numFmtId="0" fontId="165" fillId="0" borderId="3">
      <alignment horizontal="center"/>
    </xf>
    <xf numFmtId="0" fontId="14" fillId="0" borderId="0"/>
    <xf numFmtId="0" fontId="14" fillId="0" borderId="0"/>
    <xf numFmtId="0" fontId="14" fillId="0" borderId="0"/>
    <xf numFmtId="0" fontId="165" fillId="0" borderId="3">
      <alignment horizontal="center"/>
    </xf>
    <xf numFmtId="0" fontId="165" fillId="0" borderId="3">
      <alignment horizontal="center"/>
    </xf>
    <xf numFmtId="0" fontId="165" fillId="0" borderId="3">
      <alignment horizontal="center"/>
    </xf>
    <xf numFmtId="0" fontId="165" fillId="0" borderId="3">
      <alignment horizontal="center"/>
    </xf>
    <xf numFmtId="0" fontId="165" fillId="0" borderId="3">
      <alignment horizontal="center"/>
    </xf>
    <xf numFmtId="0" fontId="165" fillId="0" borderId="3">
      <alignment horizontal="center"/>
    </xf>
    <xf numFmtId="0" fontId="165" fillId="0" borderId="3">
      <alignment horizontal="center"/>
    </xf>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4" fillId="68" borderId="0" applyNumberFormat="0" applyFont="0" applyBorder="0" applyAlignment="0" applyProtection="0"/>
    <xf numFmtId="0" fontId="104" fillId="68" borderId="0" applyNumberFormat="0" applyFont="0" applyBorder="0" applyAlignment="0" applyProtection="0"/>
    <xf numFmtId="0" fontId="104" fillId="68" borderId="0" applyNumberFormat="0" applyFon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166" fillId="0" borderId="0" applyFill="0" applyBorder="0" applyAlignment="0" applyProtection="0"/>
    <xf numFmtId="0" fontId="1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166" fillId="0" borderId="0" applyFill="0" applyBorder="0" applyAlignment="0" applyProtection="0"/>
    <xf numFmtId="3" fontId="166"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166" fillId="0" borderId="0" applyFill="0" applyBorder="0" applyAlignment="0" applyProtection="0"/>
    <xf numFmtId="42" fontId="14" fillId="61" borderId="0"/>
    <xf numFmtId="42" fontId="14" fillId="61" borderId="0"/>
    <xf numFmtId="42" fontId="14" fillId="61" borderId="0"/>
    <xf numFmtId="0" fontId="14" fillId="0" borderId="0"/>
    <xf numFmtId="0" fontId="14" fillId="0" borderId="0"/>
    <xf numFmtId="0" fontId="14" fillId="0" borderId="0"/>
    <xf numFmtId="0" fontId="14" fillId="0" borderId="0"/>
    <xf numFmtId="0" fontId="14" fillId="0" borderId="0"/>
    <xf numFmtId="0" fontId="14" fillId="0" borderId="0"/>
    <xf numFmtId="42" fontId="14" fillId="6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2" fontId="14" fillId="61" borderId="19">
      <alignment vertical="center"/>
    </xf>
    <xf numFmtId="42" fontId="14" fillId="61" borderId="19">
      <alignment vertical="center"/>
    </xf>
    <xf numFmtId="42" fontId="14" fillId="61" borderId="19">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42" fontId="14" fillId="61" borderId="19">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2" fontId="14" fillId="61" borderId="19">
      <alignment vertical="center"/>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4" fillId="0" borderId="0"/>
    <xf numFmtId="0" fontId="14" fillId="0" borderId="0"/>
    <xf numFmtId="0" fontId="14" fillId="0" borderId="0"/>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4" fillId="0" borderId="0"/>
    <xf numFmtId="0" fontId="14" fillId="0" borderId="0"/>
    <xf numFmtId="0" fontId="14" fillId="0" borderId="0"/>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0" fontId="18" fillId="61" borderId="79" applyNumberFormat="0">
      <alignment horizontal="center" vertical="center" wrapText="1"/>
    </xf>
    <xf numFmtId="10" fontId="14" fillId="61" borderId="0"/>
    <xf numFmtId="10" fontId="14" fillId="61" borderId="0"/>
    <xf numFmtId="10" fontId="14" fillId="6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14" fillId="61" borderId="0"/>
    <xf numFmtId="10" fontId="14" fillId="61" borderId="0"/>
    <xf numFmtId="0" fontId="14" fillId="0" borderId="0"/>
    <xf numFmtId="0" fontId="14" fillId="0" borderId="0"/>
    <xf numFmtId="10" fontId="14" fillId="61" borderId="0"/>
    <xf numFmtId="10" fontId="14" fillId="61" borderId="0"/>
    <xf numFmtId="0" fontId="14" fillId="0" borderId="0"/>
    <xf numFmtId="0" fontId="14" fillId="0" borderId="0"/>
    <xf numFmtId="0" fontId="14" fillId="0" borderId="0"/>
    <xf numFmtId="10" fontId="14" fillId="61" borderId="0"/>
    <xf numFmtId="0" fontId="14" fillId="0" borderId="0"/>
    <xf numFmtId="0" fontId="14" fillId="0" borderId="0"/>
    <xf numFmtId="10" fontId="14" fillId="61" borderId="0"/>
    <xf numFmtId="10" fontId="14" fillId="61" borderId="0"/>
    <xf numFmtId="0" fontId="14" fillId="0" borderId="0"/>
    <xf numFmtId="0" fontId="14" fillId="0" borderId="0"/>
    <xf numFmtId="10" fontId="14" fillId="61" borderId="0"/>
    <xf numFmtId="10" fontId="14" fillId="6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14" fillId="61" borderId="0"/>
    <xf numFmtId="218" fontId="14" fillId="61" borderId="0"/>
    <xf numFmtId="0" fontId="14" fillId="0" borderId="0"/>
    <xf numFmtId="218" fontId="14" fillId="61" borderId="0"/>
    <xf numFmtId="218" fontId="14" fillId="6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8" fontId="14" fillId="61" borderId="0"/>
    <xf numFmtId="218" fontId="14" fillId="61" borderId="0"/>
    <xf numFmtId="0" fontId="14" fillId="0" borderId="0"/>
    <xf numFmtId="0" fontId="14" fillId="0" borderId="0"/>
    <xf numFmtId="218" fontId="14" fillId="61" borderId="0"/>
    <xf numFmtId="218" fontId="14" fillId="61" borderId="0"/>
    <xf numFmtId="0" fontId="14" fillId="0" borderId="0"/>
    <xf numFmtId="0" fontId="14" fillId="0" borderId="0"/>
    <xf numFmtId="0" fontId="14" fillId="0" borderId="0"/>
    <xf numFmtId="218" fontId="14" fillId="61" borderId="0"/>
    <xf numFmtId="0" fontId="14" fillId="0" borderId="0"/>
    <xf numFmtId="0" fontId="14" fillId="0" borderId="0"/>
    <xf numFmtId="218" fontId="14" fillId="61" borderId="0"/>
    <xf numFmtId="218" fontId="14" fillId="61" borderId="0"/>
    <xf numFmtId="0" fontId="14" fillId="0" borderId="0"/>
    <xf numFmtId="0" fontId="14" fillId="0" borderId="0"/>
    <xf numFmtId="0" fontId="14" fillId="0" borderId="0"/>
    <xf numFmtId="0" fontId="14" fillId="0" borderId="0"/>
    <xf numFmtId="218" fontId="14" fillId="61" borderId="0"/>
    <xf numFmtId="218" fontId="14" fillId="6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8" fontId="14" fillId="61" borderId="0"/>
    <xf numFmtId="42" fontId="14" fillId="61" borderId="0"/>
    <xf numFmtId="173" fontId="128" fillId="0" borderId="0" applyBorder="0" applyAlignment="0"/>
    <xf numFmtId="173" fontId="128" fillId="0" borderId="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42" fontId="14" fillId="61" borderId="80">
      <alignment horizontal="left"/>
    </xf>
    <xf numFmtId="42" fontId="14" fillId="61" borderId="80">
      <alignment horizontal="left"/>
    </xf>
    <xf numFmtId="42" fontId="14" fillId="61" borderId="80">
      <alignment horizontal="left"/>
    </xf>
    <xf numFmtId="0" fontId="14" fillId="0" borderId="0"/>
    <xf numFmtId="0" fontId="14" fillId="0" borderId="0"/>
    <xf numFmtId="0" fontId="14" fillId="0" borderId="0"/>
    <xf numFmtId="42" fontId="14" fillId="61" borderId="80">
      <alignment horizontal="left"/>
    </xf>
    <xf numFmtId="0" fontId="14" fillId="0" borderId="0"/>
    <xf numFmtId="0" fontId="14" fillId="0" borderId="0"/>
    <xf numFmtId="0" fontId="14" fillId="0" borderId="0"/>
    <xf numFmtId="42" fontId="14" fillId="61" borderId="80">
      <alignment horizontal="left"/>
    </xf>
    <xf numFmtId="42" fontId="14" fillId="61" borderId="80">
      <alignment horizontal="left"/>
    </xf>
    <xf numFmtId="0" fontId="14" fillId="0" borderId="0"/>
    <xf numFmtId="0" fontId="14" fillId="0" borderId="0"/>
    <xf numFmtId="0" fontId="14" fillId="0" borderId="0"/>
    <xf numFmtId="42" fontId="14" fillId="61" borderId="8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2" fontId="14" fillId="61" borderId="80">
      <alignment horizontal="left"/>
    </xf>
    <xf numFmtId="42" fontId="14" fillId="61" borderId="80">
      <alignment horizontal="left"/>
    </xf>
    <xf numFmtId="218" fontId="168" fillId="61" borderId="8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8" fontId="168" fillId="61" borderId="80">
      <alignment horizontal="left"/>
    </xf>
    <xf numFmtId="173" fontId="128" fillId="0" borderId="0" applyBorder="0" applyAlignment="0"/>
    <xf numFmtId="14" fontId="17" fillId="0" borderId="0" applyNumberFormat="0" applyFill="0" applyBorder="0" applyAlignment="0" applyProtection="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9" fontId="14" fillId="0" borderId="0" applyFont="0" applyFill="0" applyAlignment="0">
      <alignment horizontal="right"/>
    </xf>
    <xf numFmtId="179" fontId="14" fillId="0" borderId="0" applyFont="0" applyFill="0" applyAlignment="0">
      <alignment horizontal="right"/>
    </xf>
    <xf numFmtId="179" fontId="14" fillId="0" borderId="0" applyFont="0" applyFill="0" applyAlignment="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9" fontId="14" fillId="0" borderId="0" applyFont="0" applyFill="0" applyAlignment="0">
      <alignment horizontal="right"/>
    </xf>
    <xf numFmtId="179" fontId="14" fillId="0" borderId="0" applyFont="0" applyFill="0" applyAlignment="0">
      <alignment horizontal="right"/>
    </xf>
    <xf numFmtId="0" fontId="14" fillId="0" borderId="0"/>
    <xf numFmtId="0" fontId="14" fillId="0" borderId="0"/>
    <xf numFmtId="179" fontId="14" fillId="0" borderId="0" applyFont="0" applyFill="0" applyAlignment="0">
      <alignment horizontal="right"/>
    </xf>
    <xf numFmtId="179" fontId="14" fillId="0" borderId="0" applyFont="0" applyFill="0" applyAlignment="0">
      <alignment horizontal="right"/>
    </xf>
    <xf numFmtId="0" fontId="14" fillId="0" borderId="0"/>
    <xf numFmtId="0" fontId="14" fillId="0" borderId="0"/>
    <xf numFmtId="0" fontId="14" fillId="0" borderId="0"/>
    <xf numFmtId="179" fontId="14" fillId="0" borderId="0" applyFont="0" applyFill="0" applyAlignment="0">
      <alignment horizontal="right"/>
    </xf>
    <xf numFmtId="0" fontId="14" fillId="0" borderId="0"/>
    <xf numFmtId="0" fontId="14" fillId="0" borderId="0"/>
    <xf numFmtId="179" fontId="14" fillId="0" borderId="0" applyFont="0" applyFill="0" applyAlignment="0">
      <alignment horizontal="right"/>
    </xf>
    <xf numFmtId="179" fontId="14" fillId="0" borderId="0" applyFont="0" applyFill="0" applyAlignment="0">
      <alignment horizontal="right"/>
    </xf>
    <xf numFmtId="0" fontId="14" fillId="0" borderId="0"/>
    <xf numFmtId="0" fontId="14" fillId="0" borderId="0"/>
    <xf numFmtId="179" fontId="14" fillId="0" borderId="0" applyFont="0" applyFill="0" applyAlignment="0">
      <alignment horizontal="right"/>
    </xf>
    <xf numFmtId="179" fontId="14" fillId="0" borderId="0" applyFont="0" applyFill="0" applyAlignment="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9" fontId="169" fillId="0" borderId="0"/>
    <xf numFmtId="4" fontId="26" fillId="65" borderId="78" applyNumberFormat="0" applyProtection="0">
      <alignment vertical="center"/>
    </xf>
    <xf numFmtId="0" fontId="14" fillId="0" borderId="0"/>
    <xf numFmtId="0" fontId="14" fillId="0" borderId="0"/>
    <xf numFmtId="0" fontId="14" fillId="0" borderId="0"/>
    <xf numFmtId="0" fontId="14" fillId="0" borderId="0"/>
    <xf numFmtId="0" fontId="14" fillId="0" borderId="0"/>
    <xf numFmtId="4" fontId="16" fillId="44" borderId="81" applyNumberFormat="0" applyProtection="0">
      <alignment vertical="center"/>
    </xf>
    <xf numFmtId="4" fontId="16" fillId="44" borderId="81" applyNumberFormat="0" applyProtection="0">
      <alignment vertical="center"/>
    </xf>
    <xf numFmtId="4" fontId="16" fillId="44" borderId="81" applyNumberFormat="0" applyProtection="0">
      <alignment vertical="center"/>
    </xf>
    <xf numFmtId="4" fontId="16" fillId="44" borderId="81" applyNumberFormat="0" applyProtection="0">
      <alignment vertical="center"/>
    </xf>
    <xf numFmtId="4" fontId="26" fillId="65" borderId="78" applyNumberFormat="0" applyProtection="0">
      <alignment vertical="center"/>
    </xf>
    <xf numFmtId="4" fontId="170" fillId="65" borderId="78" applyNumberFormat="0" applyProtection="0">
      <alignment vertical="center"/>
    </xf>
    <xf numFmtId="0" fontId="14" fillId="0" borderId="0"/>
    <xf numFmtId="0" fontId="14" fillId="0" borderId="0"/>
    <xf numFmtId="0" fontId="14" fillId="0" borderId="0"/>
    <xf numFmtId="0" fontId="14" fillId="0" borderId="0"/>
    <xf numFmtId="0" fontId="14" fillId="0" borderId="0"/>
    <xf numFmtId="4" fontId="170" fillId="65" borderId="78" applyNumberFormat="0" applyProtection="0">
      <alignment vertical="center"/>
    </xf>
    <xf numFmtId="4" fontId="26" fillId="65" borderId="78"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16" fillId="65" borderId="81" applyNumberFormat="0" applyProtection="0">
      <alignment horizontal="left" vertical="center" indent="1"/>
    </xf>
    <xf numFmtId="4" fontId="16" fillId="65" borderId="81" applyNumberFormat="0" applyProtection="0">
      <alignment horizontal="left" vertical="center" indent="1"/>
    </xf>
    <xf numFmtId="4" fontId="16" fillId="65" borderId="81" applyNumberFormat="0" applyProtection="0">
      <alignment horizontal="left" vertical="center" indent="1"/>
    </xf>
    <xf numFmtId="4" fontId="16" fillId="65" borderId="81" applyNumberFormat="0" applyProtection="0">
      <alignment horizontal="left" vertical="center" indent="1"/>
    </xf>
    <xf numFmtId="4" fontId="26" fillId="65" borderId="78" applyNumberFormat="0" applyProtection="0">
      <alignment horizontal="left" vertical="center" indent="1"/>
    </xf>
    <xf numFmtId="4" fontId="26" fillId="65" borderId="78"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26" fillId="65" borderId="78" applyNumberFormat="0" applyProtection="0">
      <alignment horizontal="left" vertical="center" indent="1"/>
    </xf>
    <xf numFmtId="0" fontId="14" fillId="69" borderId="0" applyNumberFormat="0" applyProtection="0">
      <alignment horizontal="left" vertical="center" indent="1"/>
    </xf>
    <xf numFmtId="0" fontId="14" fillId="69" borderId="0" applyNumberFormat="0" applyProtection="0">
      <alignment horizontal="left" vertical="center" indent="1"/>
    </xf>
    <xf numFmtId="0" fontId="14" fillId="0" borderId="0"/>
    <xf numFmtId="0" fontId="14" fillId="0" borderId="0"/>
    <xf numFmtId="0" fontId="14" fillId="0" borderId="0"/>
    <xf numFmtId="0" fontId="14" fillId="0" borderId="0"/>
    <xf numFmtId="4" fontId="16" fillId="50" borderId="81" applyNumberFormat="0" applyProtection="0">
      <alignment horizontal="left" vertical="center" indent="1"/>
    </xf>
    <xf numFmtId="4" fontId="16" fillId="50" borderId="81" applyNumberFormat="0" applyProtection="0">
      <alignment horizontal="left" vertical="center" indent="1"/>
    </xf>
    <xf numFmtId="4" fontId="16" fillId="50" borderId="81" applyNumberFormat="0" applyProtection="0">
      <alignment horizontal="left" vertical="center" indent="1"/>
    </xf>
    <xf numFmtId="4" fontId="16" fillId="50" borderId="81" applyNumberFormat="0" applyProtection="0">
      <alignment horizontal="left" vertical="center" indent="1"/>
    </xf>
    <xf numFmtId="4" fontId="16" fillId="50" borderId="81" applyNumberFormat="0" applyProtection="0">
      <alignment horizontal="left" vertical="center" indent="1"/>
    </xf>
    <xf numFmtId="4" fontId="16" fillId="50" borderId="81" applyNumberFormat="0" applyProtection="0">
      <alignment horizontal="left" vertical="center" indent="1"/>
    </xf>
    <xf numFmtId="4" fontId="26" fillId="70" borderId="7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26" fillId="70" borderId="78" applyNumberFormat="0" applyProtection="0">
      <alignment horizontal="right" vertical="center"/>
    </xf>
    <xf numFmtId="4" fontId="26" fillId="71" borderId="7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26" fillId="71" borderId="78" applyNumberFormat="0" applyProtection="0">
      <alignment horizontal="right" vertical="center"/>
    </xf>
    <xf numFmtId="4" fontId="26" fillId="72" borderId="7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26" fillId="72" borderId="78" applyNumberFormat="0" applyProtection="0">
      <alignment horizontal="right" vertical="center"/>
    </xf>
    <xf numFmtId="4" fontId="26" fillId="3" borderId="7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26" fillId="3" borderId="78" applyNumberFormat="0" applyProtection="0">
      <alignment horizontal="right" vertical="center"/>
    </xf>
    <xf numFmtId="4" fontId="26" fillId="73" borderId="7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26" fillId="73" borderId="78" applyNumberFormat="0" applyProtection="0">
      <alignment horizontal="right" vertical="center"/>
    </xf>
    <xf numFmtId="4" fontId="26" fillId="74" borderId="7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26" fillId="74" borderId="78" applyNumberFormat="0" applyProtection="0">
      <alignment horizontal="right" vertical="center"/>
    </xf>
    <xf numFmtId="4" fontId="26" fillId="75" borderId="7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26" fillId="75" borderId="78" applyNumberFormat="0" applyProtection="0">
      <alignment horizontal="right" vertical="center"/>
    </xf>
    <xf numFmtId="4" fontId="26" fillId="62" borderId="7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26" fillId="62" borderId="78" applyNumberFormat="0" applyProtection="0">
      <alignment horizontal="right" vertical="center"/>
    </xf>
    <xf numFmtId="4" fontId="26" fillId="76" borderId="7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26" fillId="76" borderId="78" applyNumberFormat="0" applyProtection="0">
      <alignment horizontal="right" vertical="center"/>
    </xf>
    <xf numFmtId="4" fontId="25" fillId="77"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26" fillId="64"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171" fillId="78"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2" borderId="78" applyNumberFormat="0" applyProtection="0">
      <alignment horizontal="left" vertical="center" indent="1"/>
    </xf>
    <xf numFmtId="0" fontId="14" fillId="2" borderId="78" applyNumberFormat="0" applyProtection="0">
      <alignment horizontal="left" vertical="center" indent="1"/>
    </xf>
    <xf numFmtId="0" fontId="14" fillId="0" borderId="0"/>
    <xf numFmtId="0" fontId="14" fillId="0" borderId="0"/>
    <xf numFmtId="0" fontId="14" fillId="0" borderId="0"/>
    <xf numFmtId="0" fontId="14" fillId="2" borderId="78" applyNumberFormat="0" applyProtection="0">
      <alignment horizontal="left" vertical="center" indent="1"/>
    </xf>
    <xf numFmtId="0" fontId="14" fillId="0" borderId="0"/>
    <xf numFmtId="0" fontId="14" fillId="2" borderId="78" applyNumberFormat="0" applyProtection="0">
      <alignment horizontal="left" vertical="center" indent="1"/>
    </xf>
    <xf numFmtId="4" fontId="17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17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79" borderId="78" applyNumberFormat="0" applyProtection="0">
      <alignment horizontal="left" vertical="center" indent="1"/>
    </xf>
    <xf numFmtId="0" fontId="14" fillId="79" borderId="78" applyNumberFormat="0" applyProtection="0">
      <alignment horizontal="left" vertical="center" indent="1"/>
    </xf>
    <xf numFmtId="0" fontId="14" fillId="0" borderId="0"/>
    <xf numFmtId="0" fontId="14" fillId="0" borderId="0"/>
    <xf numFmtId="0" fontId="14" fillId="0" borderId="0"/>
    <xf numFmtId="0" fontId="14" fillId="79" borderId="78" applyNumberFormat="0" applyProtection="0">
      <alignment horizontal="left" vertical="center" indent="1"/>
    </xf>
    <xf numFmtId="0" fontId="14" fillId="0" borderId="0"/>
    <xf numFmtId="0" fontId="14" fillId="79" borderId="78" applyNumberFormat="0" applyProtection="0">
      <alignment horizontal="left" vertical="center" indent="1"/>
    </xf>
    <xf numFmtId="0" fontId="14" fillId="79" borderId="78" applyNumberFormat="0" applyProtection="0">
      <alignment horizontal="left" vertical="center" indent="1"/>
    </xf>
    <xf numFmtId="0" fontId="14" fillId="79" borderId="78" applyNumberFormat="0" applyProtection="0">
      <alignment horizontal="left" vertical="center" indent="1"/>
    </xf>
    <xf numFmtId="0" fontId="14" fillId="0" borderId="0"/>
    <xf numFmtId="0" fontId="14" fillId="0" borderId="0"/>
    <xf numFmtId="0" fontId="14" fillId="0" borderId="0"/>
    <xf numFmtId="0" fontId="14" fillId="79" borderId="78" applyNumberFormat="0" applyProtection="0">
      <alignment horizontal="left" vertical="center" indent="1"/>
    </xf>
    <xf numFmtId="0" fontId="14" fillId="0" borderId="0"/>
    <xf numFmtId="0" fontId="14" fillId="79" borderId="78" applyNumberFormat="0" applyProtection="0">
      <alignment horizontal="left" vertical="center" indent="1"/>
    </xf>
    <xf numFmtId="0" fontId="14" fillId="80" borderId="78" applyNumberFormat="0" applyProtection="0">
      <alignment horizontal="left" vertical="center" indent="1"/>
    </xf>
    <xf numFmtId="0" fontId="14" fillId="80" borderId="78" applyNumberFormat="0" applyProtection="0">
      <alignment horizontal="left" vertical="center" indent="1"/>
    </xf>
    <xf numFmtId="0" fontId="14" fillId="0" borderId="0"/>
    <xf numFmtId="0" fontId="14" fillId="0" borderId="0"/>
    <xf numFmtId="0" fontId="14" fillId="0" borderId="0"/>
    <xf numFmtId="0" fontId="14" fillId="80" borderId="78" applyNumberFormat="0" applyProtection="0">
      <alignment horizontal="left" vertical="center" indent="1"/>
    </xf>
    <xf numFmtId="0" fontId="14" fillId="0" borderId="0"/>
    <xf numFmtId="0" fontId="14" fillId="80" borderId="78" applyNumberFormat="0" applyProtection="0">
      <alignment horizontal="left" vertical="center" indent="1"/>
    </xf>
    <xf numFmtId="0" fontId="14" fillId="80" borderId="78" applyNumberFormat="0" applyProtection="0">
      <alignment horizontal="left" vertical="center" indent="1"/>
    </xf>
    <xf numFmtId="0" fontId="14" fillId="80" borderId="78" applyNumberFormat="0" applyProtection="0">
      <alignment horizontal="left" vertical="center" indent="1"/>
    </xf>
    <xf numFmtId="0" fontId="14" fillId="0" borderId="0"/>
    <xf numFmtId="0" fontId="14" fillId="0" borderId="0"/>
    <xf numFmtId="0" fontId="14" fillId="0" borderId="0"/>
    <xf numFmtId="0" fontId="14" fillId="80" borderId="78" applyNumberFormat="0" applyProtection="0">
      <alignment horizontal="left" vertical="center" indent="1"/>
    </xf>
    <xf numFmtId="0" fontId="14" fillId="0" borderId="0"/>
    <xf numFmtId="0" fontId="14" fillId="80" borderId="78" applyNumberFormat="0" applyProtection="0">
      <alignment horizontal="left" vertical="center" indent="1"/>
    </xf>
    <xf numFmtId="0" fontId="14" fillId="60" borderId="78" applyNumberFormat="0" applyProtection="0">
      <alignment horizontal="left" vertical="center" indent="1"/>
    </xf>
    <xf numFmtId="0" fontId="14" fillId="60" borderId="78" applyNumberFormat="0" applyProtection="0">
      <alignment horizontal="left" vertical="center" indent="1"/>
    </xf>
    <xf numFmtId="0" fontId="14" fillId="0" borderId="0"/>
    <xf numFmtId="0" fontId="14" fillId="0" borderId="0"/>
    <xf numFmtId="0" fontId="14" fillId="0" borderId="0"/>
    <xf numFmtId="0" fontId="14" fillId="60" borderId="78" applyNumberFormat="0" applyProtection="0">
      <alignment horizontal="left" vertical="center" indent="1"/>
    </xf>
    <xf numFmtId="0" fontId="14" fillId="0" borderId="0"/>
    <xf numFmtId="0" fontId="14" fillId="60" borderId="78" applyNumberFormat="0" applyProtection="0">
      <alignment horizontal="left" vertical="center" indent="1"/>
    </xf>
    <xf numFmtId="0" fontId="14" fillId="60" borderId="78" applyNumberFormat="0" applyProtection="0">
      <alignment horizontal="left" vertical="center" indent="1"/>
    </xf>
    <xf numFmtId="0" fontId="14" fillId="60" borderId="78" applyNumberFormat="0" applyProtection="0">
      <alignment horizontal="left" vertical="center" indent="1"/>
    </xf>
    <xf numFmtId="0" fontId="14" fillId="0" borderId="0"/>
    <xf numFmtId="0" fontId="14" fillId="0" borderId="0"/>
    <xf numFmtId="0" fontId="14" fillId="0" borderId="0"/>
    <xf numFmtId="0" fontId="14" fillId="60" borderId="78" applyNumberFormat="0" applyProtection="0">
      <alignment horizontal="left" vertical="center" indent="1"/>
    </xf>
    <xf numFmtId="0" fontId="14" fillId="0" borderId="0"/>
    <xf numFmtId="0" fontId="14" fillId="60" borderId="78" applyNumberFormat="0" applyProtection="0">
      <alignment horizontal="left" vertical="center" indent="1"/>
    </xf>
    <xf numFmtId="0" fontId="14" fillId="2" borderId="78" applyNumberFormat="0" applyProtection="0">
      <alignment horizontal="left" vertical="center" indent="1"/>
    </xf>
    <xf numFmtId="0" fontId="14" fillId="2" borderId="78" applyNumberFormat="0" applyProtection="0">
      <alignment horizontal="left" vertical="center" indent="1"/>
    </xf>
    <xf numFmtId="0" fontId="14" fillId="0" borderId="0"/>
    <xf numFmtId="0" fontId="14" fillId="0" borderId="0"/>
    <xf numFmtId="0" fontId="14" fillId="0" borderId="0"/>
    <xf numFmtId="0" fontId="14" fillId="2" borderId="78" applyNumberFormat="0" applyProtection="0">
      <alignment horizontal="left" vertical="center" indent="1"/>
    </xf>
    <xf numFmtId="0" fontId="14" fillId="0" borderId="0"/>
    <xf numFmtId="0" fontId="14" fillId="2" borderId="78" applyNumberFormat="0" applyProtection="0">
      <alignment horizontal="left" vertical="center" indent="1"/>
    </xf>
    <xf numFmtId="0" fontId="14" fillId="2" borderId="78" applyNumberFormat="0" applyProtection="0">
      <alignment horizontal="left" vertical="center" indent="1"/>
    </xf>
    <xf numFmtId="0" fontId="14" fillId="2" borderId="78" applyNumberFormat="0" applyProtection="0">
      <alignment horizontal="left" vertical="center" indent="1"/>
    </xf>
    <xf numFmtId="0" fontId="14" fillId="0" borderId="0"/>
    <xf numFmtId="0" fontId="14" fillId="0" borderId="0"/>
    <xf numFmtId="0" fontId="14" fillId="0" borderId="0"/>
    <xf numFmtId="0" fontId="14" fillId="2" borderId="78" applyNumberFormat="0" applyProtection="0">
      <alignment horizontal="left" vertical="center" indent="1"/>
    </xf>
    <xf numFmtId="0" fontId="14" fillId="0" borderId="0"/>
    <xf numFmtId="0" fontId="14" fillId="2" borderId="78"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4" fontId="26" fillId="66" borderId="78" applyNumberFormat="0" applyProtection="0">
      <alignment vertical="center"/>
    </xf>
    <xf numFmtId="0" fontId="14" fillId="0" borderId="0"/>
    <xf numFmtId="0" fontId="14" fillId="0" borderId="0"/>
    <xf numFmtId="0" fontId="14" fillId="0" borderId="0"/>
    <xf numFmtId="0" fontId="14" fillId="0" borderId="0"/>
    <xf numFmtId="0" fontId="14" fillId="0" borderId="0"/>
    <xf numFmtId="4" fontId="26" fillId="66" borderId="78" applyNumberFormat="0" applyProtection="0">
      <alignment vertical="center"/>
    </xf>
    <xf numFmtId="4" fontId="170" fillId="66" borderId="78" applyNumberFormat="0" applyProtection="0">
      <alignment vertical="center"/>
    </xf>
    <xf numFmtId="0" fontId="14" fillId="0" borderId="0"/>
    <xf numFmtId="0" fontId="14" fillId="0" borderId="0"/>
    <xf numFmtId="0" fontId="14" fillId="0" borderId="0"/>
    <xf numFmtId="0" fontId="14" fillId="0" borderId="0"/>
    <xf numFmtId="0" fontId="14" fillId="0" borderId="0"/>
    <xf numFmtId="4" fontId="170" fillId="66" borderId="78" applyNumberFormat="0" applyProtection="0">
      <alignment vertical="center"/>
    </xf>
    <xf numFmtId="4" fontId="26" fillId="66" borderId="78"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26" fillId="66" borderId="78" applyNumberFormat="0" applyProtection="0">
      <alignment horizontal="left" vertical="center" indent="1"/>
    </xf>
    <xf numFmtId="4" fontId="26" fillId="66" borderId="78"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26" fillId="66" borderId="78" applyNumberFormat="0" applyProtection="0">
      <alignment horizontal="left" vertical="center" indent="1"/>
    </xf>
    <xf numFmtId="4" fontId="26" fillId="64" borderId="78" applyNumberFormat="0" applyProtection="0">
      <alignment horizontal="right" vertical="center"/>
    </xf>
    <xf numFmtId="4" fontId="26" fillId="64" borderId="78" applyNumberFormat="0" applyProtection="0">
      <alignment horizontal="right" vertical="center"/>
    </xf>
    <xf numFmtId="0" fontId="14" fillId="0" borderId="0"/>
    <xf numFmtId="0" fontId="14" fillId="0" borderId="0"/>
    <xf numFmtId="0" fontId="14" fillId="0" borderId="0"/>
    <xf numFmtId="4" fontId="26" fillId="64" borderId="7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6" fillId="0" borderId="81" applyNumberFormat="0" applyProtection="0">
      <alignment horizontal="right" vertical="center"/>
    </xf>
    <xf numFmtId="4" fontId="16" fillId="0" borderId="81" applyNumberFormat="0" applyProtection="0">
      <alignment horizontal="right" vertical="center"/>
    </xf>
    <xf numFmtId="4" fontId="16" fillId="0" borderId="81" applyNumberFormat="0" applyProtection="0">
      <alignment horizontal="right" vertical="center"/>
    </xf>
    <xf numFmtId="4" fontId="16" fillId="0" borderId="81" applyNumberFormat="0" applyProtection="0">
      <alignment horizontal="right" vertical="center"/>
    </xf>
    <xf numFmtId="4" fontId="26" fillId="64" borderId="78" applyNumberFormat="0" applyProtection="0">
      <alignment horizontal="right" vertical="center"/>
    </xf>
    <xf numFmtId="4" fontId="170" fillId="64" borderId="7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170" fillId="64" borderId="78" applyNumberFormat="0" applyProtection="0">
      <alignment horizontal="right" vertical="center"/>
    </xf>
    <xf numFmtId="0" fontId="14" fillId="2" borderId="78" applyNumberFormat="0" applyProtection="0">
      <alignment horizontal="left" vertical="center" indent="1"/>
    </xf>
    <xf numFmtId="0" fontId="14" fillId="2" borderId="78" applyNumberFormat="0" applyProtection="0">
      <alignment horizontal="left" vertical="center" indent="1"/>
    </xf>
    <xf numFmtId="0" fontId="14" fillId="0" borderId="0"/>
    <xf numFmtId="0" fontId="14" fillId="0" borderId="0"/>
    <xf numFmtId="0" fontId="14" fillId="0" borderId="0"/>
    <xf numFmtId="0" fontId="14" fillId="2" borderId="78" applyNumberFormat="0" applyProtection="0">
      <alignment horizontal="left" vertical="center" indent="1"/>
    </xf>
    <xf numFmtId="0" fontId="14" fillId="0" borderId="0"/>
    <xf numFmtId="4" fontId="16" fillId="50" borderId="81" applyNumberFormat="0" applyProtection="0">
      <alignment horizontal="left" vertical="center" indent="1"/>
    </xf>
    <xf numFmtId="4" fontId="16" fillId="50" borderId="81" applyNumberFormat="0" applyProtection="0">
      <alignment horizontal="left" vertical="center" indent="1"/>
    </xf>
    <xf numFmtId="4" fontId="16" fillId="50" borderId="81" applyNumberFormat="0" applyProtection="0">
      <alignment horizontal="left" vertical="center" indent="1"/>
    </xf>
    <xf numFmtId="4" fontId="16" fillId="50" borderId="81" applyNumberFormat="0" applyProtection="0">
      <alignment horizontal="left" vertical="center" indent="1"/>
    </xf>
    <xf numFmtId="4" fontId="16" fillId="50" borderId="81" applyNumberFormat="0" applyProtection="0">
      <alignment horizontal="left" vertical="center" indent="1"/>
    </xf>
    <xf numFmtId="4" fontId="16" fillId="50" borderId="81" applyNumberFormat="0" applyProtection="0">
      <alignment horizontal="left" vertical="center" indent="1"/>
    </xf>
    <xf numFmtId="0" fontId="14" fillId="2" borderId="78" applyNumberFormat="0" applyProtection="0">
      <alignment horizontal="left" vertical="center" indent="1"/>
    </xf>
    <xf numFmtId="0" fontId="14" fillId="2" borderId="78" applyNumberFormat="0" applyProtection="0">
      <alignment horizontal="left" vertical="center" indent="1"/>
    </xf>
    <xf numFmtId="0" fontId="14" fillId="2" borderId="78" applyNumberFormat="0" applyProtection="0">
      <alignment horizontal="left" vertical="center" indent="1"/>
    </xf>
    <xf numFmtId="0" fontId="14" fillId="0" borderId="0"/>
    <xf numFmtId="0" fontId="14" fillId="0" borderId="0"/>
    <xf numFmtId="0" fontId="14" fillId="0" borderId="0"/>
    <xf numFmtId="0" fontId="14" fillId="2" borderId="78" applyNumberFormat="0" applyProtection="0">
      <alignment horizontal="left" vertical="center" indent="1"/>
    </xf>
    <xf numFmtId="0" fontId="14" fillId="0" borderId="0"/>
    <xf numFmtId="0" fontId="14" fillId="2" borderId="78" applyNumberFormat="0" applyProtection="0">
      <alignment horizontal="left" vertical="center" indent="1"/>
    </xf>
    <xf numFmtId="0" fontId="173" fillId="0" borderId="0" applyNumberFormat="0" applyProtection="0">
      <alignment horizontal="left" indent="5"/>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4" fillId="64" borderId="78"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174" fillId="64" borderId="78" applyNumberFormat="0" applyProtection="0">
      <alignment horizontal="right" vertical="center"/>
    </xf>
    <xf numFmtId="39" fontId="14" fillId="81" borderId="0"/>
    <xf numFmtId="38" fontId="14" fillId="82" borderId="0" applyNumberFormat="0" applyFont="0" applyBorder="0" applyAlignment="0" applyProtection="0"/>
    <xf numFmtId="39" fontId="14" fillId="81" borderId="0"/>
    <xf numFmtId="39" fontId="14" fillId="8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9" fontId="14" fillId="81" borderId="0"/>
    <xf numFmtId="39" fontId="14" fillId="81" borderId="0"/>
    <xf numFmtId="0" fontId="14" fillId="0" borderId="0"/>
    <xf numFmtId="0" fontId="14" fillId="0" borderId="0"/>
    <xf numFmtId="39" fontId="14" fillId="81" borderId="0"/>
    <xf numFmtId="39" fontId="14" fillId="81" borderId="0"/>
    <xf numFmtId="0" fontId="14" fillId="0" borderId="0"/>
    <xf numFmtId="0" fontId="14" fillId="0" borderId="0"/>
    <xf numFmtId="0" fontId="14" fillId="0" borderId="0"/>
    <xf numFmtId="39" fontId="14" fillId="81" borderId="0"/>
    <xf numFmtId="0" fontId="14" fillId="0" borderId="0"/>
    <xf numFmtId="0" fontId="14" fillId="0" borderId="0"/>
    <xf numFmtId="39" fontId="14" fillId="81" borderId="0"/>
    <xf numFmtId="39" fontId="14" fillId="81" borderId="0"/>
    <xf numFmtId="0" fontId="14" fillId="0" borderId="0"/>
    <xf numFmtId="0" fontId="14" fillId="0" borderId="0"/>
    <xf numFmtId="39" fontId="14" fillId="81" borderId="0"/>
    <xf numFmtId="39" fontId="14" fillId="8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9" fontId="14" fillId="81" borderId="0"/>
    <xf numFmtId="0" fontId="14" fillId="0" borderId="0"/>
    <xf numFmtId="0" fontId="14" fillId="0" borderId="0"/>
    <xf numFmtId="38" fontId="16" fillId="0" borderId="29"/>
    <xf numFmtId="38" fontId="16" fillId="0" borderId="29"/>
    <xf numFmtId="38" fontId="16" fillId="0" borderId="29"/>
    <xf numFmtId="0" fontId="14" fillId="0" borderId="0"/>
    <xf numFmtId="0" fontId="14" fillId="0" borderId="0"/>
    <xf numFmtId="0" fontId="14" fillId="0" borderId="0"/>
    <xf numFmtId="0" fontId="14" fillId="0" borderId="0"/>
    <xf numFmtId="0" fontId="14" fillId="0" borderId="0"/>
    <xf numFmtId="0" fontId="14" fillId="0" borderId="0"/>
    <xf numFmtId="38" fontId="16" fillId="0" borderId="29"/>
    <xf numFmtId="38" fontId="16" fillId="0" borderId="29"/>
    <xf numFmtId="0" fontId="14" fillId="0" borderId="0"/>
    <xf numFmtId="0" fontId="14" fillId="0" borderId="0"/>
    <xf numFmtId="0" fontId="14" fillId="0" borderId="0"/>
    <xf numFmtId="0" fontId="14" fillId="0" borderId="0"/>
    <xf numFmtId="0" fontId="14" fillId="0" borderId="0"/>
    <xf numFmtId="0" fontId="14" fillId="0" borderId="0"/>
    <xf numFmtId="38" fontId="16" fillId="0" borderId="29"/>
    <xf numFmtId="38" fontId="16" fillId="0" borderId="29"/>
    <xf numFmtId="0" fontId="14" fillId="0" borderId="0"/>
    <xf numFmtId="0" fontId="14" fillId="0" borderId="0"/>
    <xf numFmtId="0" fontId="14" fillId="0" borderId="0"/>
    <xf numFmtId="0" fontId="14" fillId="0" borderId="0"/>
    <xf numFmtId="0" fontId="14" fillId="0" borderId="0"/>
    <xf numFmtId="0" fontId="14" fillId="0" borderId="0"/>
    <xf numFmtId="38" fontId="16" fillId="0" borderId="29"/>
    <xf numFmtId="38" fontId="16" fillId="0" borderId="2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8" fontId="16" fillId="0" borderId="29"/>
    <xf numFmtId="38" fontId="128" fillId="0" borderId="80"/>
    <xf numFmtId="38" fontId="128" fillId="0" borderId="80"/>
    <xf numFmtId="0" fontId="14" fillId="0" borderId="0"/>
    <xf numFmtId="0" fontId="14" fillId="0" borderId="0"/>
    <xf numFmtId="0" fontId="14" fillId="0" borderId="0"/>
    <xf numFmtId="38" fontId="128" fillId="0" borderId="80"/>
    <xf numFmtId="38" fontId="128" fillId="0" borderId="80"/>
    <xf numFmtId="38" fontId="128" fillId="0" borderId="80"/>
    <xf numFmtId="0" fontId="14" fillId="0" borderId="0"/>
    <xf numFmtId="38" fontId="128" fillId="0" borderId="80"/>
    <xf numFmtId="0" fontId="14" fillId="0" borderId="0"/>
    <xf numFmtId="0" fontId="14" fillId="0" borderId="0"/>
    <xf numFmtId="0" fontId="14" fillId="0" borderId="0"/>
    <xf numFmtId="38" fontId="128" fillId="0" borderId="80"/>
    <xf numFmtId="0" fontId="14" fillId="0" borderId="0"/>
    <xf numFmtId="0" fontId="14" fillId="0" borderId="0"/>
    <xf numFmtId="0" fontId="14" fillId="0" borderId="0"/>
    <xf numFmtId="38" fontId="128" fillId="0" borderId="80"/>
    <xf numFmtId="39" fontId="17" fillId="83" borderId="0"/>
    <xf numFmtId="39" fontId="14" fillId="83"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177" fontId="14" fillId="0" borderId="0">
      <alignment horizontal="left" wrapText="1"/>
    </xf>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178" fontId="14" fillId="0" borderId="0">
      <alignment horizontal="left" wrapText="1"/>
    </xf>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177" fontId="14" fillId="0" borderId="0">
      <alignment horizontal="left" wrapText="1"/>
    </xf>
    <xf numFmtId="0" fontId="14" fillId="0" borderId="0"/>
    <xf numFmtId="189"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77" fontId="14" fillId="0" borderId="0">
      <alignment horizontal="left" wrapText="1"/>
    </xf>
    <xf numFmtId="178" fontId="14" fillId="0" borderId="0">
      <alignment horizontal="left" wrapText="1"/>
    </xf>
    <xf numFmtId="178" fontId="14" fillId="0" borderId="0">
      <alignment horizontal="left" wrapText="1"/>
    </xf>
    <xf numFmtId="18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166"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4" fontId="14" fillId="0" borderId="0">
      <alignment horizontal="left" wrapText="1"/>
    </xf>
    <xf numFmtId="184" fontId="14" fillId="0" borderId="0">
      <alignment horizontal="left" wrapText="1"/>
    </xf>
    <xf numFmtId="0" fontId="14" fillId="0" borderId="0"/>
    <xf numFmtId="0" fontId="14" fillId="0" borderId="0"/>
    <xf numFmtId="0" fontId="14" fillId="0" borderId="0"/>
    <xf numFmtId="177"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78" fontId="14" fillId="0" borderId="0">
      <alignment horizontal="left" wrapText="1"/>
    </xf>
    <xf numFmtId="18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180" fontId="14" fillId="0" borderId="0">
      <alignment horizontal="left" wrapText="1"/>
    </xf>
    <xf numFmtId="0" fontId="14" fillId="0" borderId="0"/>
    <xf numFmtId="0" fontId="14" fillId="0" borderId="0"/>
    <xf numFmtId="0" fontId="14" fillId="0" borderId="0"/>
    <xf numFmtId="0" fontId="14" fillId="0" borderId="0"/>
    <xf numFmtId="166" fontId="14" fillId="0" borderId="0">
      <alignment horizontal="left" wrapText="1"/>
    </xf>
    <xf numFmtId="166" fontId="14" fillId="0" borderId="0">
      <alignment horizontal="left" wrapText="1"/>
    </xf>
    <xf numFmtId="0" fontId="14" fillId="0" borderId="0"/>
    <xf numFmtId="0" fontId="14" fillId="0" borderId="0"/>
    <xf numFmtId="0" fontId="14" fillId="0" borderId="0"/>
    <xf numFmtId="0" fontId="14" fillId="0" borderId="0"/>
    <xf numFmtId="18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189" fontId="14" fillId="0" borderId="0">
      <alignment horizontal="left" wrapText="1"/>
    </xf>
    <xf numFmtId="189" fontId="14" fillId="0" borderId="0">
      <alignment horizontal="left" wrapText="1"/>
    </xf>
    <xf numFmtId="0" fontId="14" fillId="0" borderId="0"/>
    <xf numFmtId="0" fontId="14" fillId="0" borderId="0"/>
    <xf numFmtId="0" fontId="14" fillId="0" borderId="0"/>
    <xf numFmtId="0" fontId="14" fillId="0" borderId="0"/>
    <xf numFmtId="178"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8" fillId="84" borderId="82" applyNumberFormat="0" applyProtection="0">
      <alignment horizontal="center" wrapText="1"/>
    </xf>
    <xf numFmtId="0" fontId="14" fillId="0" borderId="0"/>
    <xf numFmtId="0" fontId="14" fillId="0" borderId="0"/>
    <xf numFmtId="0" fontId="14" fillId="0" borderId="0"/>
    <xf numFmtId="0" fontId="18" fillId="84" borderId="82" applyNumberFormat="0" applyProtection="0">
      <alignment horizontal="center" wrapText="1"/>
    </xf>
    <xf numFmtId="0" fontId="18" fillId="84" borderId="83" applyNumberFormat="0" applyAlignment="0" applyProtection="0">
      <alignment wrapText="1"/>
    </xf>
    <xf numFmtId="0" fontId="14" fillId="0" borderId="0"/>
    <xf numFmtId="0" fontId="14" fillId="0" borderId="0"/>
    <xf numFmtId="0" fontId="14" fillId="0" borderId="0"/>
    <xf numFmtId="0" fontId="18" fillId="84" borderId="83" applyNumberFormat="0" applyAlignment="0" applyProtection="0">
      <alignment wrapText="1"/>
    </xf>
    <xf numFmtId="0" fontId="14" fillId="85" borderId="0" applyNumberFormat="0" applyBorder="0">
      <alignment horizontal="center" wrapText="1"/>
    </xf>
    <xf numFmtId="0" fontId="14" fillId="85" borderId="0" applyNumberFormat="0" applyBorder="0">
      <alignment horizontal="center" wrapText="1"/>
    </xf>
    <xf numFmtId="0" fontId="14" fillId="0" borderId="0"/>
    <xf numFmtId="0" fontId="14" fillId="0" borderId="0"/>
    <xf numFmtId="0" fontId="14" fillId="86" borderId="84" applyNumberFormat="0">
      <alignment wrapText="1"/>
    </xf>
    <xf numFmtId="0" fontId="14" fillId="86" borderId="84" applyNumberFormat="0">
      <alignment wrapText="1"/>
    </xf>
    <xf numFmtId="0" fontId="14" fillId="0" borderId="0"/>
    <xf numFmtId="0" fontId="14" fillId="86" borderId="84" applyNumberFormat="0">
      <alignment wrapText="1"/>
    </xf>
    <xf numFmtId="0" fontId="14" fillId="86" borderId="84" applyNumberFormat="0">
      <alignment wrapText="1"/>
    </xf>
    <xf numFmtId="0" fontId="14" fillId="86" borderId="84" applyNumberFormat="0">
      <alignment wrapText="1"/>
    </xf>
    <xf numFmtId="0" fontId="14" fillId="86" borderId="84" applyNumberFormat="0">
      <alignment wrapText="1"/>
    </xf>
    <xf numFmtId="0" fontId="14" fillId="86" borderId="84" applyNumberFormat="0">
      <alignment wrapText="1"/>
    </xf>
    <xf numFmtId="0" fontId="14" fillId="86" borderId="84" applyNumberFormat="0">
      <alignment wrapText="1"/>
    </xf>
    <xf numFmtId="0" fontId="14" fillId="86" borderId="84" applyNumberFormat="0">
      <alignment wrapText="1"/>
    </xf>
    <xf numFmtId="0" fontId="14" fillId="0" borderId="0"/>
    <xf numFmtId="0" fontId="14" fillId="86" borderId="84" applyNumberFormat="0">
      <alignment wrapText="1"/>
    </xf>
    <xf numFmtId="0" fontId="14" fillId="86" borderId="84" applyNumberFormat="0">
      <alignment wrapText="1"/>
    </xf>
    <xf numFmtId="0" fontId="14" fillId="86" borderId="84" applyNumberFormat="0">
      <alignment wrapText="1"/>
    </xf>
    <xf numFmtId="0" fontId="14" fillId="86" borderId="84" applyNumberFormat="0">
      <alignment wrapText="1"/>
    </xf>
    <xf numFmtId="0" fontId="14" fillId="86" borderId="84" applyNumberFormat="0">
      <alignment wrapText="1"/>
    </xf>
    <xf numFmtId="0" fontId="14" fillId="86" borderId="84" applyNumberFormat="0">
      <alignment wrapText="1"/>
    </xf>
    <xf numFmtId="0" fontId="14" fillId="86" borderId="84" applyNumberFormat="0">
      <alignment wrapText="1"/>
    </xf>
    <xf numFmtId="0" fontId="14" fillId="86" borderId="0" applyNumberFormat="0" applyBorder="0">
      <alignment wrapText="1"/>
    </xf>
    <xf numFmtId="0" fontId="14" fillId="86" borderId="0" applyNumberFormat="0" applyBorder="0">
      <alignment wrapText="1"/>
    </xf>
    <xf numFmtId="0" fontId="14" fillId="0" borderId="0"/>
    <xf numFmtId="0" fontId="14" fillId="0" borderId="0"/>
    <xf numFmtId="0" fontId="14" fillId="0" borderId="0" applyNumberFormat="0" applyFill="0" applyBorder="0" applyProtection="0">
      <alignment horizontal="right" wrapText="1"/>
    </xf>
    <xf numFmtId="0" fontId="14" fillId="0" borderId="0" applyNumberFormat="0" applyFill="0" applyBorder="0" applyProtection="0">
      <alignment horizontal="right" wrapText="1"/>
    </xf>
    <xf numFmtId="0" fontId="14" fillId="0" borderId="0"/>
    <xf numFmtId="0" fontId="14" fillId="0" borderId="0"/>
    <xf numFmtId="220" fontId="14" fillId="0" borderId="0" applyFill="0" applyBorder="0" applyAlignment="0" applyProtection="0">
      <alignment wrapText="1"/>
    </xf>
    <xf numFmtId="220" fontId="14" fillId="0" borderId="0" applyFill="0" applyBorder="0" applyAlignment="0" applyProtection="0">
      <alignment wrapText="1"/>
    </xf>
    <xf numFmtId="0" fontId="14" fillId="0" borderId="0"/>
    <xf numFmtId="0" fontId="14" fillId="0" borderId="0"/>
    <xf numFmtId="171" fontId="14" fillId="0" borderId="0" applyFill="0" applyBorder="0" applyAlignment="0" applyProtection="0">
      <alignment wrapText="1"/>
    </xf>
    <xf numFmtId="171" fontId="14" fillId="0" borderId="0" applyFill="0" applyBorder="0" applyAlignment="0" applyProtection="0">
      <alignment wrapText="1"/>
    </xf>
    <xf numFmtId="0" fontId="14" fillId="0" borderId="0"/>
    <xf numFmtId="0" fontId="14" fillId="0" borderId="0"/>
    <xf numFmtId="171" fontId="14" fillId="0" borderId="0" applyFill="0" applyBorder="0" applyAlignment="0" applyProtection="0">
      <alignment wrapText="1"/>
    </xf>
    <xf numFmtId="171" fontId="14" fillId="0" borderId="0" applyFill="0" applyBorder="0" applyAlignment="0" applyProtection="0">
      <alignment wrapText="1"/>
    </xf>
    <xf numFmtId="0" fontId="14" fillId="0" borderId="0"/>
    <xf numFmtId="0" fontId="14" fillId="0" borderId="0"/>
    <xf numFmtId="0" fontId="14" fillId="0" borderId="0"/>
    <xf numFmtId="0" fontId="14" fillId="0" borderId="0"/>
    <xf numFmtId="0" fontId="14" fillId="0" borderId="0" applyNumberFormat="0" applyFill="0" applyBorder="0" applyProtection="0">
      <alignment horizontal="right" wrapText="1"/>
    </xf>
    <xf numFmtId="0" fontId="14" fillId="0" borderId="0" applyNumberFormat="0" applyFill="0" applyBorder="0" applyProtection="0">
      <alignment horizontal="right" wrapText="1"/>
    </xf>
    <xf numFmtId="0" fontId="14" fillId="0" borderId="0"/>
    <xf numFmtId="0" fontId="14" fillId="0" borderId="0"/>
    <xf numFmtId="0" fontId="14" fillId="0" borderId="0"/>
    <xf numFmtId="0" fontId="14" fillId="0" borderId="0"/>
    <xf numFmtId="0" fontId="14" fillId="0" borderId="0" applyNumberFormat="0" applyFill="0" applyBorder="0">
      <alignment horizontal="right" wrapText="1"/>
    </xf>
    <xf numFmtId="0" fontId="14" fillId="0" borderId="0" applyNumberFormat="0" applyFill="0" applyBorder="0">
      <alignment horizontal="right" wrapText="1"/>
    </xf>
    <xf numFmtId="0" fontId="14" fillId="0" borderId="0"/>
    <xf numFmtId="0" fontId="14" fillId="0" borderId="0"/>
    <xf numFmtId="17" fontId="14" fillId="0" borderId="0" applyFill="0" applyBorder="0">
      <alignment horizontal="right" wrapText="1"/>
    </xf>
    <xf numFmtId="17" fontId="14" fillId="0" borderId="0" applyFill="0" applyBorder="0">
      <alignment horizontal="right" wrapText="1"/>
    </xf>
    <xf numFmtId="0" fontId="14" fillId="0" borderId="0"/>
    <xf numFmtId="0" fontId="14" fillId="0" borderId="0"/>
    <xf numFmtId="8" fontId="14" fillId="0" borderId="0" applyFill="0" applyBorder="0" applyAlignment="0" applyProtection="0">
      <alignment wrapText="1"/>
    </xf>
    <xf numFmtId="8" fontId="14" fillId="0" borderId="0" applyFill="0" applyBorder="0" applyAlignment="0" applyProtection="0">
      <alignment wrapText="1"/>
    </xf>
    <xf numFmtId="0" fontId="14" fillId="0" borderId="0"/>
    <xf numFmtId="0" fontId="14" fillId="0" borderId="0"/>
    <xf numFmtId="0" fontId="14" fillId="0" borderId="0"/>
    <xf numFmtId="0" fontId="14" fillId="0" borderId="0"/>
    <xf numFmtId="0" fontId="18" fillId="0" borderId="0" applyNumberFormat="0" applyFill="0" applyBorder="0">
      <alignment horizontal="center" wrapText="1"/>
    </xf>
    <xf numFmtId="0" fontId="14" fillId="0" borderId="0"/>
    <xf numFmtId="0" fontId="14" fillId="0" borderId="0"/>
    <xf numFmtId="0" fontId="14" fillId="0" borderId="0"/>
    <xf numFmtId="0" fontId="14" fillId="0" borderId="0"/>
    <xf numFmtId="0" fontId="14" fillId="0" borderId="0"/>
    <xf numFmtId="0" fontId="18" fillId="0" borderId="0" applyNumberFormat="0" applyFill="0" applyBorder="0">
      <alignment horizontal="center" wrapText="1"/>
    </xf>
    <xf numFmtId="0" fontId="14" fillId="0" borderId="0"/>
    <xf numFmtId="0" fontId="14" fillId="0" borderId="0"/>
    <xf numFmtId="0" fontId="14" fillId="0" borderId="0"/>
    <xf numFmtId="0" fontId="14" fillId="0" borderId="0"/>
    <xf numFmtId="0" fontId="14" fillId="0" borderId="0"/>
    <xf numFmtId="0" fontId="18" fillId="0" borderId="0" applyNumberFormat="0" applyFill="0" applyBorder="0">
      <alignment horizont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applyNumberFormat="0" applyBorder="0" applyAlignment="0"/>
    <xf numFmtId="0" fontId="26" fillId="0" borderId="0" applyNumberFormat="0" applyBorder="0" applyAlignment="0"/>
    <xf numFmtId="0" fontId="175" fillId="0" borderId="0" applyNumberFormat="0" applyBorder="0" applyAlignment="0"/>
    <xf numFmtId="0" fontId="175" fillId="0" borderId="0" applyNumberFormat="0" applyBorder="0" applyAlignment="0"/>
    <xf numFmtId="0" fontId="25" fillId="0" borderId="0" applyNumberFormat="0" applyBorder="0" applyAlignment="0"/>
    <xf numFmtId="0" fontId="25" fillId="0" borderId="0" applyNumberFormat="0" applyBorder="0" applyAlignment="0"/>
    <xf numFmtId="0" fontId="176" fillId="0" borderId="0"/>
    <xf numFmtId="0" fontId="177" fillId="0" borderId="0"/>
    <xf numFmtId="0" fontId="119" fillId="0" borderId="0"/>
    <xf numFmtId="219" fontId="178" fillId="0" borderId="0"/>
    <xf numFmtId="199" fontId="24" fillId="0" borderId="0"/>
    <xf numFmtId="0" fontId="179" fillId="0" borderId="0"/>
    <xf numFmtId="0" fontId="151" fillId="0" borderId="85"/>
    <xf numFmtId="0" fontId="151" fillId="0" borderId="85"/>
    <xf numFmtId="40" fontId="180" fillId="0" borderId="0" applyBorder="0">
      <alignment horizontal="right"/>
    </xf>
    <xf numFmtId="41" fontId="19" fillId="61" borderId="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9" fontId="181" fillId="87" borderId="0" applyFont="0" applyBorder="0" applyAlignment="0">
      <alignment vertical="top" wrapText="1"/>
    </xf>
    <xf numFmtId="219" fontId="182" fillId="87" borderId="86" applyBorder="0">
      <alignment horizontal="right" vertical="top" wrapText="1"/>
    </xf>
    <xf numFmtId="219" fontId="182" fillId="87" borderId="86" applyBorder="0">
      <alignment horizontal="right" vertical="top" wrapText="1"/>
    </xf>
    <xf numFmtId="219" fontId="182" fillId="87" borderId="86" applyBorder="0">
      <alignment horizontal="right" vertical="top" wrapText="1"/>
    </xf>
    <xf numFmtId="219" fontId="182" fillId="87" borderId="86" applyBorder="0">
      <alignment horizontal="right" vertical="top" wrapText="1"/>
    </xf>
    <xf numFmtId="219" fontId="182" fillId="87" borderId="86" applyBorder="0">
      <alignment horizontal="right" vertical="top" wrapText="1"/>
    </xf>
    <xf numFmtId="219" fontId="182" fillId="87" borderId="86" applyBorder="0">
      <alignment horizontal="right" vertical="top" wrapText="1"/>
    </xf>
    <xf numFmtId="219" fontId="182" fillId="87" borderId="86" applyBorder="0">
      <alignment horizontal="right" vertical="top" wrapText="1"/>
    </xf>
    <xf numFmtId="219" fontId="182" fillId="87" borderId="86" applyBorder="0">
      <alignment horizontal="right" vertical="top" wrapText="1"/>
    </xf>
    <xf numFmtId="219" fontId="182" fillId="87" borderId="86" applyBorder="0">
      <alignment horizontal="righ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4" fillId="65" borderId="0" applyNumberFormat="0" applyBorder="0" applyProtection="0">
      <alignment vertical="top" wrapText="1"/>
    </xf>
    <xf numFmtId="0" fontId="183" fillId="0" borderId="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49" fontId="14" fillId="88" borderId="0" applyFont="0" applyBorder="0" applyAlignment="0" applyProtection="0"/>
    <xf numFmtId="0" fontId="184" fillId="0" borderId="0" applyFill="0" applyBorder="0" applyProtection="0">
      <alignment horizontal="left" vertical="top"/>
    </xf>
    <xf numFmtId="0" fontId="109"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8"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08"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9"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46"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1" fontId="185" fillId="61" borderId="0">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61" borderId="0">
      <alignment horizontal="left" wrapText="1"/>
    </xf>
    <xf numFmtId="0" fontId="18" fillId="61"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86" fillId="0" borderId="0">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18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0" fillId="0" borderId="87" applyNumberFormat="0" applyFill="0" applyAlignment="0" applyProtection="0"/>
    <xf numFmtId="0" fontId="31" fillId="0" borderId="88"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88" applyNumberFormat="0" applyFill="0" applyAlignment="0" applyProtection="0"/>
    <xf numFmtId="0" fontId="110" fillId="0" borderId="88" applyNumberFormat="0" applyFill="0" applyAlignment="0" applyProtection="0"/>
    <xf numFmtId="0" fontId="14" fillId="0" borderId="0"/>
    <xf numFmtId="0" fontId="14" fillId="0" borderId="0"/>
    <xf numFmtId="0" fontId="14" fillId="0" borderId="0"/>
    <xf numFmtId="0" fontId="110" fillId="0" borderId="88"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5" fillId="0" borderId="89" applyNumberFormat="0" applyFont="0" applyFill="0" applyAlignment="0" applyProtection="0"/>
    <xf numFmtId="0" fontId="14" fillId="0" borderId="0"/>
    <xf numFmtId="0" fontId="14" fillId="0" borderId="0"/>
    <xf numFmtId="0" fontId="14" fillId="0" borderId="0"/>
    <xf numFmtId="0" fontId="14" fillId="0" borderId="0"/>
    <xf numFmtId="0" fontId="31" fillId="0" borderId="55"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6" fillId="0" borderId="9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128" fillId="0" borderId="28"/>
    <xf numFmtId="214" fontId="131" fillId="0" borderId="28" applyAlignment="0"/>
    <xf numFmtId="215" fontId="131" fillId="0" borderId="28" applyAlignment="0"/>
    <xf numFmtId="219" fontId="131" fillId="0" borderId="28" applyAlignment="0">
      <alignment horizontal="right"/>
    </xf>
    <xf numFmtId="222" fontId="164" fillId="60" borderId="9" applyBorder="0">
      <alignment horizontal="right" vertical="center"/>
      <protection locked="0"/>
    </xf>
    <xf numFmtId="222" fontId="164" fillId="60" borderId="9" applyBorder="0">
      <alignment horizontal="right" vertical="center"/>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5" fillId="0" borderId="0" applyNumberFormat="0" applyFill="0" applyBorder="0" applyAlignment="0" applyProtection="0"/>
    <xf numFmtId="0" fontId="14" fillId="0" borderId="0"/>
    <xf numFmtId="0" fontId="14" fillId="0" borderId="0"/>
    <xf numFmtId="0" fontId="14" fillId="0" borderId="0"/>
    <xf numFmtId="0" fontId="188" fillId="0" borderId="0" applyNumberFormat="0" applyFill="0" applyBorder="0" applyAlignment="0" applyProtection="0"/>
    <xf numFmtId="0" fontId="14" fillId="0" borderId="0"/>
    <xf numFmtId="0" fontId="14" fillId="0" borderId="0"/>
    <xf numFmtId="0" fontId="14" fillId="0" borderId="0"/>
    <xf numFmtId="1" fontId="14" fillId="0" borderId="0">
      <alignment horizontal="center"/>
    </xf>
    <xf numFmtId="1" fontId="14" fillId="0" borderId="0">
      <alignment horizontal="center"/>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41" fontId="14" fillId="60" borderId="0"/>
    <xf numFmtId="0" fontId="189" fillId="0" borderId="0"/>
    <xf numFmtId="0" fontId="189" fillId="0" borderId="0"/>
    <xf numFmtId="0" fontId="189" fillId="0" borderId="0"/>
    <xf numFmtId="0" fontId="189" fillId="0" borderId="0"/>
    <xf numFmtId="2" fontId="30" fillId="0" borderId="0" applyFill="0" applyBorder="0" applyAlignment="0" applyProtection="0"/>
    <xf numFmtId="0" fontId="16" fillId="60" borderId="0"/>
    <xf numFmtId="0" fontId="189" fillId="0" borderId="0"/>
    <xf numFmtId="0" fontId="189" fillId="0" borderId="0"/>
    <xf numFmtId="0" fontId="190" fillId="0" borderId="0"/>
    <xf numFmtId="0" fontId="191" fillId="89" borderId="0"/>
    <xf numFmtId="0" fontId="43" fillId="89" borderId="75"/>
    <xf numFmtId="0" fontId="192" fillId="90" borderId="93"/>
    <xf numFmtId="0" fontId="193" fillId="89" borderId="85"/>
    <xf numFmtId="0" fontId="18" fillId="61" borderId="79" applyNumberFormat="0">
      <alignment horizontal="center" vertical="center" wrapText="1"/>
    </xf>
    <xf numFmtId="0" fontId="14" fillId="0" borderId="0" applyNumberFormat="0" applyBorder="0" applyAlignment="0"/>
    <xf numFmtId="0" fontId="191" fillId="0" borderId="0"/>
    <xf numFmtId="0" fontId="43" fillId="89" borderId="0"/>
    <xf numFmtId="0" fontId="18" fillId="61" borderId="0">
      <alignment horizontal="left" wrapText="1"/>
    </xf>
    <xf numFmtId="0" fontId="189" fillId="0" borderId="90"/>
    <xf numFmtId="178" fontId="14" fillId="0" borderId="0">
      <alignment horizontal="left" wrapText="1"/>
    </xf>
    <xf numFmtId="177" fontId="14" fillId="0" borderId="0">
      <alignment horizontal="left" wrapText="1"/>
    </xf>
    <xf numFmtId="177" fontId="14" fillId="0" borderId="0">
      <alignment horizontal="left" wrapText="1"/>
    </xf>
    <xf numFmtId="44" fontId="14" fillId="0" borderId="0" applyFont="0" applyFill="0" applyBorder="0" applyAlignment="0" applyProtection="0"/>
    <xf numFmtId="9" fontId="17"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70" fillId="57" borderId="73" applyNumberFormat="0" applyAlignment="0" applyProtection="0"/>
    <xf numFmtId="0" fontId="71" fillId="58" borderId="7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2" fillId="44" borderId="73" applyNumberFormat="0" applyAlignment="0" applyProtection="0"/>
    <xf numFmtId="0" fontId="92" fillId="44" borderId="73" applyNumberFormat="0" applyAlignment="0" applyProtection="0"/>
    <xf numFmtId="0" fontId="92" fillId="44" borderId="73" applyNumberFormat="0" applyAlignment="0" applyProtection="0"/>
    <xf numFmtId="0" fontId="92" fillId="44" borderId="7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4" fillId="39" borderId="77" applyNumberFormat="0" applyFont="0" applyAlignment="0" applyProtection="0"/>
    <xf numFmtId="0" fontId="4" fillId="10" borderId="54" applyNumberFormat="0" applyFont="0" applyAlignment="0" applyProtection="0"/>
    <xf numFmtId="0" fontId="104" fillId="39" borderId="77" applyNumberFormat="0" applyFont="0" applyAlignment="0" applyProtection="0"/>
    <xf numFmtId="0" fontId="27" fillId="39" borderId="7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0" fillId="0" borderId="87" applyNumberFormat="0" applyFill="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71" fillId="58" borderId="73" applyNumberFormat="0" applyAlignment="0" applyProtection="0"/>
    <xf numFmtId="0" fontId="71" fillId="58" borderId="73" applyNumberFormat="0" applyAlignment="0" applyProtection="0"/>
    <xf numFmtId="0" fontId="71" fillId="58" borderId="73" applyNumberFormat="0" applyAlignment="0" applyProtection="0"/>
    <xf numFmtId="0" fontId="70" fillId="57" borderId="73" applyNumberFormat="0" applyAlignment="0" applyProtection="0"/>
    <xf numFmtId="0" fontId="70" fillId="57" borderId="7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0" borderId="54" applyNumberFormat="0" applyFont="0" applyAlignment="0" applyProtection="0"/>
    <xf numFmtId="0" fontId="4" fillId="10" borderId="54" applyNumberFormat="0" applyFont="0" applyAlignment="0" applyProtection="0"/>
    <xf numFmtId="0" fontId="4" fillId="10" borderId="54" applyNumberFormat="0" applyFont="0" applyAlignment="0" applyProtection="0"/>
    <xf numFmtId="0" fontId="4" fillId="10" borderId="54" applyNumberFormat="0" applyFont="0" applyAlignment="0" applyProtection="0"/>
    <xf numFmtId="0" fontId="4" fillId="10" borderId="5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2" fontId="14" fillId="61" borderId="91">
      <alignment horizontal="left"/>
    </xf>
    <xf numFmtId="42" fontId="14" fillId="61" borderId="91">
      <alignment horizontal="left"/>
    </xf>
    <xf numFmtId="42" fontId="14" fillId="61" borderId="91">
      <alignment horizontal="left"/>
    </xf>
    <xf numFmtId="42" fontId="14" fillId="61" borderId="91">
      <alignment horizontal="left"/>
    </xf>
    <xf numFmtId="42" fontId="14" fillId="61" borderId="91">
      <alignment horizontal="left"/>
    </xf>
    <xf numFmtId="42" fontId="14" fillId="61" borderId="91">
      <alignment horizontal="left"/>
    </xf>
    <xf numFmtId="42" fontId="14" fillId="61" borderId="91">
      <alignment horizontal="left"/>
    </xf>
    <xf numFmtId="42" fontId="14" fillId="61" borderId="91">
      <alignment horizontal="left"/>
    </xf>
    <xf numFmtId="218" fontId="168" fillId="61" borderId="91">
      <alignment horizontal="left"/>
    </xf>
    <xf numFmtId="218" fontId="168" fillId="61" borderId="91">
      <alignment horizontal="left"/>
    </xf>
    <xf numFmtId="38" fontId="128" fillId="0" borderId="91"/>
    <xf numFmtId="38" fontId="128" fillId="0" borderId="91"/>
    <xf numFmtId="38" fontId="128" fillId="0" borderId="91"/>
    <xf numFmtId="38" fontId="128" fillId="0" borderId="91"/>
    <xf numFmtId="38" fontId="128" fillId="0" borderId="91"/>
    <xf numFmtId="38" fontId="128" fillId="0" borderId="91"/>
    <xf numFmtId="38" fontId="128" fillId="0" borderId="91"/>
    <xf numFmtId="38" fontId="128" fillId="0" borderId="91"/>
    <xf numFmtId="0" fontId="194" fillId="12" borderId="0" applyNumberFormat="0" applyBorder="0" applyAlignment="0" applyProtection="0"/>
    <xf numFmtId="0" fontId="19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3" fillId="12" borderId="0" applyNumberFormat="0" applyBorder="0" applyAlignment="0" applyProtection="0"/>
    <xf numFmtId="0" fontId="3"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2" fillId="36"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6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1"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6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61"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61"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3" fillId="16" borderId="0" applyNumberFormat="0" applyBorder="0" applyAlignment="0" applyProtection="0"/>
    <xf numFmtId="0" fontId="3"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2" fillId="38"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6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1"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6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61"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61"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16"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3" fillId="20" borderId="0" applyNumberFormat="0" applyBorder="0" applyAlignment="0" applyProtection="0"/>
    <xf numFmtId="0" fontId="3"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2" fillId="4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6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1"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6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61"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61"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0"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3" fillId="24" borderId="0" applyNumberFormat="0" applyBorder="0" applyAlignment="0" applyProtection="0"/>
    <xf numFmtId="0" fontId="3"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2" fillId="42"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1"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1"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1"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28" borderId="0" applyNumberFormat="0" applyBorder="0" applyAlignment="0" applyProtection="0"/>
    <xf numFmtId="0" fontId="3"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6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1"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6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61"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61"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28"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32" borderId="0" applyNumberFormat="0" applyBorder="0" applyAlignment="0" applyProtection="0"/>
    <xf numFmtId="0" fontId="3"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2" fillId="41"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6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1"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6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61"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61"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32"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3" fillId="13" borderId="0" applyNumberFormat="0" applyBorder="0" applyAlignment="0" applyProtection="0"/>
    <xf numFmtId="0" fontId="3"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2" fillId="35"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6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1"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6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61"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61"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3"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3" fillId="17" borderId="0" applyNumberFormat="0" applyBorder="0" applyAlignment="0" applyProtection="0"/>
    <xf numFmtId="0" fontId="3"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6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1"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6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61"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61"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17"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3" fillId="21" borderId="0" applyNumberFormat="0" applyBorder="0" applyAlignment="0" applyProtection="0"/>
    <xf numFmtId="0" fontId="3"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2" fillId="45"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6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1"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6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61"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61"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1"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3" fillId="25" borderId="0" applyNumberFormat="0" applyBorder="0" applyAlignment="0" applyProtection="0"/>
    <xf numFmtId="0" fontId="3"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2" fillId="42"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6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1"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6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61"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61"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5"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29" borderId="0" applyNumberFormat="0" applyBorder="0" applyAlignment="0" applyProtection="0"/>
    <xf numFmtId="0" fontId="3"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2" fillId="3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6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1"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6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61"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61"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29"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33" borderId="0" applyNumberFormat="0" applyBorder="0" applyAlignment="0" applyProtection="0"/>
    <xf numFmtId="0" fontId="3"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2" fillId="46"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6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1"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6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61"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61"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0" fontId="194" fillId="3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4" fillId="0" borderId="0"/>
    <xf numFmtId="0" fontId="194" fillId="0" borderId="0"/>
    <xf numFmtId="0" fontId="194" fillId="0" borderId="0"/>
    <xf numFmtId="0" fontId="194" fillId="0" borderId="0"/>
    <xf numFmtId="0" fontId="194" fillId="0" borderId="0"/>
    <xf numFmtId="0" fontId="1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3" fillId="0" borderId="0"/>
    <xf numFmtId="0" fontId="14" fillId="0" borderId="0"/>
    <xf numFmtId="0" fontId="194" fillId="0" borderId="0"/>
    <xf numFmtId="0" fontId="3" fillId="0" borderId="0"/>
    <xf numFmtId="0" fontId="194" fillId="0" borderId="0"/>
    <xf numFmtId="0" fontId="194" fillId="0" borderId="0"/>
    <xf numFmtId="0" fontId="3" fillId="0" borderId="0"/>
    <xf numFmtId="0" fontId="194" fillId="0" borderId="0"/>
    <xf numFmtId="0" fontId="3" fillId="0" borderId="0"/>
    <xf numFmtId="0" fontId="194" fillId="0" borderId="0"/>
    <xf numFmtId="0" fontId="3" fillId="0" borderId="0"/>
    <xf numFmtId="0" fontId="194" fillId="0" borderId="0"/>
    <xf numFmtId="0" fontId="3" fillId="0" borderId="0"/>
    <xf numFmtId="0" fontId="194" fillId="0" borderId="0"/>
    <xf numFmtId="0" fontId="3" fillId="0" borderId="0"/>
    <xf numFmtId="0" fontId="194" fillId="0" borderId="0"/>
    <xf numFmtId="0" fontId="194" fillId="0" borderId="0"/>
    <xf numFmtId="0" fontId="3" fillId="0" borderId="0"/>
    <xf numFmtId="0" fontId="3" fillId="0" borderId="0"/>
    <xf numFmtId="0" fontId="3" fillId="0" borderId="0"/>
    <xf numFmtId="0" fontId="194" fillId="0" borderId="0"/>
    <xf numFmtId="0" fontId="1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94" fillId="0" borderId="0"/>
    <xf numFmtId="0" fontId="194" fillId="0" borderId="0"/>
    <xf numFmtId="0" fontId="194" fillId="0" borderId="0"/>
    <xf numFmtId="0" fontId="194" fillId="0" borderId="0"/>
    <xf numFmtId="0" fontId="14"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14" fillId="0" borderId="0"/>
    <xf numFmtId="0" fontId="14" fillId="0" borderId="0"/>
    <xf numFmtId="0" fontId="61" fillId="0" borderId="0"/>
    <xf numFmtId="0" fontId="61" fillId="0" borderId="0"/>
    <xf numFmtId="0" fontId="61" fillId="0" borderId="0"/>
    <xf numFmtId="0" fontId="14"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4" fillId="0" borderId="0"/>
    <xf numFmtId="0" fontId="61" fillId="0" borderId="0"/>
    <xf numFmtId="0" fontId="14" fillId="0" borderId="0"/>
    <xf numFmtId="0" fontId="61" fillId="0" borderId="0"/>
    <xf numFmtId="0" fontId="61" fillId="0" borderId="0"/>
    <xf numFmtId="0" fontId="61" fillId="0" borderId="0"/>
    <xf numFmtId="0" fontId="61" fillId="0" borderId="0"/>
    <xf numFmtId="0" fontId="194" fillId="0" borderId="0"/>
    <xf numFmtId="0" fontId="63" fillId="0" borderId="0"/>
    <xf numFmtId="0" fontId="14" fillId="0" borderId="0"/>
    <xf numFmtId="0" fontId="61" fillId="0" borderId="0"/>
    <xf numFmtId="0" fontId="61" fillId="0" borderId="0"/>
    <xf numFmtId="0" fontId="61" fillId="0" borderId="0"/>
    <xf numFmtId="0" fontId="61"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4" fillId="0" borderId="0"/>
    <xf numFmtId="0" fontId="61" fillId="0" borderId="0"/>
    <xf numFmtId="0" fontId="61" fillId="0" borderId="0"/>
    <xf numFmtId="0" fontId="61"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14" fillId="0" borderId="0"/>
    <xf numFmtId="0" fontId="3" fillId="0" borderId="0"/>
    <xf numFmtId="0" fontId="194" fillId="0" borderId="0"/>
    <xf numFmtId="0" fontId="1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61" fillId="0" borderId="0"/>
    <xf numFmtId="0" fontId="61"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4" fillId="0" borderId="0"/>
    <xf numFmtId="0" fontId="61" fillId="0" borderId="0"/>
    <xf numFmtId="0" fontId="61" fillId="0" borderId="0"/>
    <xf numFmtId="0" fontId="14"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4" fillId="0" borderId="0"/>
    <xf numFmtId="0" fontId="14" fillId="0" borderId="0"/>
    <xf numFmtId="0" fontId="61" fillId="0" borderId="0"/>
    <xf numFmtId="0" fontId="61" fillId="0" borderId="0"/>
    <xf numFmtId="0" fontId="61" fillId="0" borderId="0"/>
    <xf numFmtId="0" fontId="1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 fillId="0" borderId="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61" fillId="0" borderId="0"/>
    <xf numFmtId="0" fontId="3" fillId="0" borderId="0"/>
    <xf numFmtId="0" fontId="3" fillId="0" borderId="0"/>
    <xf numFmtId="0" fontId="3" fillId="0" borderId="0"/>
    <xf numFmtId="0" fontId="61" fillId="0" borderId="0"/>
    <xf numFmtId="0" fontId="61" fillId="0" borderId="0"/>
    <xf numFmtId="0" fontId="61"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10" borderId="54" applyNumberFormat="0" applyFont="0" applyAlignment="0" applyProtection="0"/>
    <xf numFmtId="0" fontId="61" fillId="10" borderId="54" applyNumberFormat="0" applyFont="0" applyAlignment="0" applyProtection="0"/>
    <xf numFmtId="0" fontId="63" fillId="10" borderId="54" applyNumberFormat="0" applyFont="0" applyAlignment="0" applyProtection="0"/>
    <xf numFmtId="0" fontId="3"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3" fillId="10" borderId="54" applyNumberFormat="0" applyFont="0" applyAlignment="0" applyProtection="0"/>
    <xf numFmtId="0" fontId="3" fillId="10" borderId="54" applyNumberFormat="0" applyFont="0" applyAlignment="0" applyProtection="0"/>
    <xf numFmtId="0" fontId="3" fillId="10" borderId="54" applyNumberFormat="0" applyFont="0" applyAlignment="0" applyProtection="0"/>
    <xf numFmtId="0" fontId="3" fillId="10" borderId="54" applyNumberFormat="0" applyFont="0" applyAlignment="0" applyProtection="0"/>
    <xf numFmtId="0" fontId="3" fillId="10" borderId="54" applyNumberFormat="0" applyFont="0" applyAlignment="0" applyProtection="0"/>
    <xf numFmtId="0" fontId="3" fillId="10" borderId="54" applyNumberFormat="0" applyFont="0" applyAlignment="0" applyProtection="0"/>
    <xf numFmtId="0" fontId="3" fillId="10" borderId="54" applyNumberFormat="0" applyFont="0" applyAlignment="0" applyProtection="0"/>
    <xf numFmtId="0" fontId="3" fillId="10" borderId="54" applyNumberFormat="0" applyFont="0" applyAlignment="0" applyProtection="0"/>
    <xf numFmtId="0" fontId="3" fillId="10" borderId="54" applyNumberFormat="0" applyFont="0" applyAlignment="0" applyProtection="0"/>
    <xf numFmtId="0" fontId="3" fillId="10" borderId="54" applyNumberFormat="0" applyFont="0" applyAlignment="0" applyProtection="0"/>
    <xf numFmtId="0" fontId="3"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61" fillId="10" borderId="54" applyNumberFormat="0" applyFont="0" applyAlignment="0" applyProtection="0"/>
    <xf numFmtId="0" fontId="194" fillId="10" borderId="54" applyNumberFormat="0" applyFont="0" applyAlignment="0" applyProtection="0"/>
    <xf numFmtId="0" fontId="194" fillId="10" borderId="54" applyNumberFormat="0" applyFont="0" applyAlignment="0" applyProtection="0"/>
    <xf numFmtId="0" fontId="194" fillId="10" borderId="54" applyNumberFormat="0" applyFont="0" applyAlignment="0" applyProtection="0"/>
    <xf numFmtId="0" fontId="194" fillId="10" borderId="54" applyNumberFormat="0" applyFont="0" applyAlignment="0" applyProtection="0"/>
    <xf numFmtId="0" fontId="194" fillId="10" borderId="54" applyNumberFormat="0" applyFont="0" applyAlignment="0" applyProtection="0"/>
    <xf numFmtId="0" fontId="3" fillId="10" borderId="54" applyNumberFormat="0" applyFont="0" applyAlignment="0" applyProtection="0"/>
    <xf numFmtId="0" fontId="194" fillId="10" borderId="54" applyNumberFormat="0" applyFont="0" applyAlignment="0" applyProtection="0"/>
    <xf numFmtId="0" fontId="194" fillId="10" borderId="54" applyNumberFormat="0" applyFont="0" applyAlignment="0" applyProtection="0"/>
    <xf numFmtId="0" fontId="194" fillId="10" borderId="54" applyNumberFormat="0" applyFont="0" applyAlignment="0" applyProtection="0"/>
    <xf numFmtId="0" fontId="194" fillId="10" borderId="54" applyNumberFormat="0" applyFont="0" applyAlignment="0" applyProtection="0"/>
    <xf numFmtId="0" fontId="194" fillId="10" borderId="54" applyNumberFormat="0" applyFont="0" applyAlignment="0" applyProtection="0"/>
    <xf numFmtId="0" fontId="194" fillId="10" borderId="54" applyNumberFormat="0" applyFont="0" applyAlignment="0" applyProtection="0"/>
    <xf numFmtId="0" fontId="194" fillId="10" borderId="5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 fillId="0" borderId="0"/>
    <xf numFmtId="44" fontId="17" fillId="0" borderId="0" applyFont="0" applyFill="0" applyBorder="0" applyAlignment="0" applyProtection="0"/>
    <xf numFmtId="178" fontId="206" fillId="0" borderId="0">
      <alignment horizontal="left" wrapText="1"/>
    </xf>
    <xf numFmtId="44" fontId="206" fillId="0" borderId="0" applyFont="0" applyFill="0" applyBorder="0" applyAlignment="0" applyProtection="0"/>
    <xf numFmtId="10" fontId="206" fillId="0" borderId="74"/>
    <xf numFmtId="43" fontId="206" fillId="0" borderId="0" applyFont="0" applyFill="0" applyBorder="0" applyAlignment="0" applyProtection="0"/>
    <xf numFmtId="178" fontId="14" fillId="0" borderId="0">
      <alignment horizontal="left" wrapText="1"/>
    </xf>
    <xf numFmtId="178" fontId="14" fillId="0" borderId="0">
      <alignment horizontal="left" wrapText="1"/>
    </xf>
    <xf numFmtId="178"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89" fontId="14" fillId="0" borderId="0">
      <alignment horizontal="left" wrapText="1"/>
    </xf>
    <xf numFmtId="189" fontId="14" fillId="0" borderId="0">
      <alignment horizontal="left" wrapText="1"/>
    </xf>
    <xf numFmtId="189"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8"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177" fontId="14" fillId="0" borderId="0">
      <alignment horizontal="left" wrapText="1"/>
    </xf>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4" fillId="0" borderId="0" applyFont="0" applyFill="0" applyBorder="0" applyAlignment="0" applyProtection="0"/>
    <xf numFmtId="10" fontId="14" fillId="0" borderId="74"/>
    <xf numFmtId="178" fontId="17" fillId="0" borderId="0">
      <alignment horizontal="left" wrapText="1"/>
    </xf>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cellStyleXfs>
  <cellXfs count="1339">
    <xf numFmtId="0" fontId="0" fillId="0" borderId="0" xfId="0" applyNumberFormat="1" applyAlignment="1"/>
    <xf numFmtId="173" fontId="14" fillId="0" borderId="10" xfId="0" applyNumberFormat="1" applyFont="1" applyFill="1" applyBorder="1" applyAlignment="1">
      <alignment horizontal="center"/>
    </xf>
    <xf numFmtId="173" fontId="14" fillId="0" borderId="46" xfId="0" applyNumberFormat="1" applyFont="1" applyFill="1" applyBorder="1" applyAlignment="1">
      <alignment horizontal="center"/>
    </xf>
    <xf numFmtId="173" fontId="14" fillId="0" borderId="11" xfId="0" applyNumberFormat="1" applyFont="1" applyFill="1" applyBorder="1" applyAlignment="1"/>
    <xf numFmtId="173" fontId="14" fillId="0" borderId="16" xfId="0" applyNumberFormat="1" applyFont="1" applyFill="1" applyBorder="1" applyAlignment="1">
      <alignment horizontal="center"/>
    </xf>
    <xf numFmtId="173" fontId="14" fillId="0" borderId="15" xfId="0" applyNumberFormat="1" applyFont="1" applyFill="1" applyBorder="1" applyAlignment="1">
      <alignment horizontal="center"/>
    </xf>
    <xf numFmtId="173" fontId="14" fillId="0" borderId="45" xfId="0" applyNumberFormat="1" applyFont="1" applyFill="1" applyBorder="1" applyAlignment="1">
      <alignment horizontal="center"/>
    </xf>
    <xf numFmtId="173" fontId="14" fillId="0" borderId="45" xfId="0" applyNumberFormat="1" applyFont="1" applyFill="1" applyBorder="1" applyAlignment="1"/>
    <xf numFmtId="0" fontId="10" fillId="0" borderId="0" xfId="0" applyNumberFormat="1" applyFont="1" applyFill="1" applyAlignment="1">
      <alignment horizontal="right"/>
    </xf>
    <xf numFmtId="0" fontId="9" fillId="0" borderId="0" xfId="0" applyNumberFormat="1" applyFont="1" applyFill="1" applyAlignment="1" applyProtection="1">
      <alignment horizontal="center"/>
      <protection locked="0"/>
    </xf>
    <xf numFmtId="9" fontId="9" fillId="0" borderId="0" xfId="0" applyNumberFormat="1" applyFont="1" applyFill="1" applyAlignment="1">
      <alignment horizontal="center"/>
    </xf>
    <xf numFmtId="0" fontId="9" fillId="0" borderId="0" xfId="0" applyNumberFormat="1" applyFont="1" applyFill="1" applyAlignment="1" applyProtection="1">
      <alignment horizontal="left"/>
      <protection locked="0"/>
    </xf>
    <xf numFmtId="0" fontId="9" fillId="0" borderId="0" xfId="0" applyNumberFormat="1" applyFont="1" applyFill="1" applyAlignment="1">
      <alignment horizontal="fill"/>
    </xf>
    <xf numFmtId="170" fontId="9" fillId="0" borderId="0" xfId="0" applyNumberFormat="1" applyFont="1" applyFill="1" applyBorder="1" applyAlignment="1" applyProtection="1">
      <protection locked="0"/>
    </xf>
    <xf numFmtId="15" fontId="10" fillId="0" borderId="0" xfId="0" applyNumberFormat="1" applyFont="1" applyFill="1" applyAlignment="1">
      <alignment horizontal="centerContinuous"/>
    </xf>
    <xf numFmtId="18" fontId="10" fillId="0" borderId="0" xfId="0" applyNumberFormat="1" applyFont="1" applyFill="1" applyAlignment="1">
      <alignment horizontal="centerContinuous"/>
    </xf>
    <xf numFmtId="0" fontId="10" fillId="0" borderId="5" xfId="0" applyNumberFormat="1" applyFont="1" applyFill="1" applyBorder="1" applyAlignment="1" applyProtection="1">
      <alignment horizontal="center"/>
      <protection locked="0"/>
    </xf>
    <xf numFmtId="0" fontId="10" fillId="0" borderId="5" xfId="0" applyNumberFormat="1" applyFont="1" applyFill="1" applyBorder="1" applyAlignment="1">
      <alignment horizontal="left"/>
    </xf>
    <xf numFmtId="0" fontId="10" fillId="0" borderId="5" xfId="0" applyNumberFormat="1" applyFont="1" applyFill="1" applyBorder="1" applyAlignment="1">
      <alignment horizontal="right"/>
    </xf>
    <xf numFmtId="0" fontId="10" fillId="0" borderId="0" xfId="0" applyNumberFormat="1" applyFont="1" applyFill="1" applyAlignment="1">
      <alignment horizontal="center" wrapText="1"/>
    </xf>
    <xf numFmtId="42" fontId="9" fillId="0" borderId="0" xfId="0" applyNumberFormat="1" applyFont="1" applyFill="1" applyAlignment="1">
      <alignment horizontal="left"/>
    </xf>
    <xf numFmtId="0" fontId="10" fillId="0" borderId="0" xfId="0" quotePrefix="1" applyNumberFormat="1" applyFont="1" applyFill="1" applyBorder="1" applyAlignment="1">
      <alignment horizontal="right"/>
    </xf>
    <xf numFmtId="0" fontId="10" fillId="0" borderId="0" xfId="0" quotePrefix="1" applyNumberFormat="1" applyFont="1" applyFill="1" applyAlignment="1">
      <alignment horizontal="centerContinuous"/>
    </xf>
    <xf numFmtId="18" fontId="10" fillId="0" borderId="0" xfId="0" quotePrefix="1" applyNumberFormat="1" applyFont="1" applyFill="1" applyAlignment="1">
      <alignment horizontal="centerContinuous"/>
    </xf>
    <xf numFmtId="41" fontId="9" fillId="0" borderId="0" xfId="0" applyNumberFormat="1" applyFont="1" applyFill="1" applyAlignment="1">
      <alignment horizontal="left"/>
    </xf>
    <xf numFmtId="0" fontId="10" fillId="0" borderId="0" xfId="0" applyNumberFormat="1" applyFont="1" applyFill="1" applyAlignment="1">
      <alignment horizontal="fill"/>
    </xf>
    <xf numFmtId="0" fontId="10" fillId="0" borderId="0" xfId="0" quotePrefix="1" applyNumberFormat="1" applyFont="1" applyFill="1" applyAlignment="1">
      <alignment horizontal="left"/>
    </xf>
    <xf numFmtId="0" fontId="9" fillId="0" borderId="0" xfId="0" applyNumberFormat="1" applyFont="1" applyFill="1" applyAlignment="1">
      <alignment horizontal="centerContinuous"/>
    </xf>
    <xf numFmtId="37" fontId="9" fillId="0" borderId="0" xfId="0" applyNumberFormat="1" applyFont="1" applyFill="1" applyAlignment="1">
      <alignment horizontal="right"/>
    </xf>
    <xf numFmtId="0" fontId="9" fillId="0" borderId="0" xfId="0" quotePrefix="1" applyNumberFormat="1" applyFont="1" applyFill="1" applyAlignment="1">
      <alignment horizontal="center"/>
    </xf>
    <xf numFmtId="37" fontId="9" fillId="0" borderId="0" xfId="0" applyNumberFormat="1" applyFont="1" applyFill="1" applyBorder="1" applyAlignment="1">
      <alignment horizontal="center"/>
    </xf>
    <xf numFmtId="0" fontId="11" fillId="0" borderId="0" xfId="0" quotePrefix="1" applyNumberFormat="1" applyFont="1" applyFill="1" applyAlignment="1">
      <alignment horizontal="center"/>
    </xf>
    <xf numFmtId="0" fontId="11" fillId="0" borderId="0" xfId="0" applyNumberFormat="1" applyFont="1" applyFill="1" applyBorder="1" applyAlignment="1">
      <alignment horizontal="center"/>
    </xf>
    <xf numFmtId="37" fontId="11" fillId="0" borderId="0" xfId="0" applyNumberFormat="1" applyFont="1" applyFill="1" applyBorder="1" applyAlignment="1">
      <alignment horizontal="center"/>
    </xf>
    <xf numFmtId="0" fontId="9" fillId="0" borderId="0" xfId="0" quotePrefix="1" applyNumberFormat="1" applyFont="1" applyFill="1" applyAlignment="1">
      <alignment horizontal="left"/>
    </xf>
    <xf numFmtId="9" fontId="9" fillId="0" borderId="0" xfId="0" applyNumberFormat="1" applyFont="1" applyFill="1" applyAlignment="1">
      <alignment horizontal="right"/>
    </xf>
    <xf numFmtId="171" fontId="9" fillId="0" borderId="0" xfId="0" quotePrefix="1" applyNumberFormat="1" applyFont="1" applyFill="1" applyAlignment="1">
      <alignment horizontal="left"/>
    </xf>
    <xf numFmtId="1" fontId="9" fillId="0" borderId="0" xfId="0" quotePrefix="1" applyNumberFormat="1" applyFont="1" applyFill="1" applyAlignment="1">
      <alignment horizontal="left"/>
    </xf>
    <xf numFmtId="10" fontId="10" fillId="0" borderId="0" xfId="0" applyNumberFormat="1" applyFont="1" applyFill="1" applyAlignment="1">
      <alignment horizontal="center"/>
    </xf>
    <xf numFmtId="0" fontId="10" fillId="0" borderId="5" xfId="0" quotePrefix="1" applyNumberFormat="1" applyFont="1" applyFill="1" applyBorder="1" applyAlignment="1">
      <alignment horizontal="center"/>
    </xf>
    <xf numFmtId="170" fontId="9" fillId="0" borderId="0" xfId="0" applyNumberFormat="1" applyFont="1" applyFill="1" applyAlignment="1" applyProtection="1">
      <protection locked="0"/>
    </xf>
    <xf numFmtId="170" fontId="9" fillId="0" borderId="0" xfId="0" applyNumberFormat="1" applyFont="1" applyFill="1" applyAlignment="1" applyProtection="1">
      <alignment horizontal="left"/>
      <protection locked="0"/>
    </xf>
    <xf numFmtId="0" fontId="9" fillId="0" borderId="0" xfId="0" applyNumberFormat="1" applyFont="1" applyFill="1" applyAlignment="1">
      <alignment horizontal="right"/>
    </xf>
    <xf numFmtId="1" fontId="9" fillId="0" borderId="0" xfId="0" applyNumberFormat="1" applyFont="1" applyFill="1" applyAlignment="1">
      <alignment horizontal="left"/>
    </xf>
    <xf numFmtId="170" fontId="10" fillId="0" borderId="5" xfId="0" applyNumberFormat="1" applyFont="1" applyFill="1" applyBorder="1" applyAlignment="1">
      <alignment horizontal="center"/>
    </xf>
    <xf numFmtId="0" fontId="10" fillId="0" borderId="5" xfId="0" applyNumberFormat="1" applyFont="1" applyFill="1" applyBorder="1" applyAlignment="1" applyProtection="1">
      <alignment horizontal="right"/>
      <protection locked="0"/>
    </xf>
    <xf numFmtId="10" fontId="9" fillId="0" borderId="0" xfId="0" applyNumberFormat="1" applyFont="1" applyFill="1" applyAlignment="1">
      <alignment horizontal="center"/>
    </xf>
    <xf numFmtId="170" fontId="9" fillId="0" borderId="0" xfId="0" applyNumberFormat="1" applyFont="1" applyFill="1" applyAlignment="1">
      <alignment horizontal="center"/>
    </xf>
    <xf numFmtId="0" fontId="10" fillId="0" borderId="0" xfId="0" quotePrefix="1" applyNumberFormat="1" applyFont="1" applyFill="1" applyAlignment="1">
      <alignment horizontal="center"/>
    </xf>
    <xf numFmtId="9" fontId="10" fillId="0" borderId="5" xfId="0" applyNumberFormat="1" applyFont="1" applyFill="1" applyBorder="1" applyAlignment="1">
      <alignment horizontal="center"/>
    </xf>
    <xf numFmtId="17" fontId="9" fillId="0" borderId="0" xfId="0" applyNumberFormat="1" applyFont="1" applyFill="1" applyBorder="1" applyAlignment="1">
      <alignment horizontal="left"/>
    </xf>
    <xf numFmtId="3" fontId="9" fillId="0" borderId="0" xfId="0" applyNumberFormat="1" applyFont="1" applyFill="1" applyAlignment="1">
      <alignment horizontal="right"/>
    </xf>
    <xf numFmtId="0" fontId="9" fillId="0" borderId="0" xfId="0" applyNumberFormat="1" applyFont="1" applyFill="1" applyBorder="1" applyAlignment="1" applyProtection="1">
      <alignment horizontal="left"/>
      <protection locked="0"/>
    </xf>
    <xf numFmtId="0" fontId="10" fillId="0" borderId="0" xfId="0" applyNumberFormat="1" applyFont="1" applyFill="1" applyAlignment="1" applyProtection="1">
      <alignment horizontal="right"/>
      <protection locked="0"/>
    </xf>
    <xf numFmtId="0" fontId="10" fillId="0" borderId="0" xfId="0" applyNumberFormat="1" applyFont="1" applyFill="1" applyAlignment="1" applyProtection="1">
      <alignment horizontal="left"/>
      <protection locked="0"/>
    </xf>
    <xf numFmtId="0" fontId="10" fillId="0" borderId="0" xfId="0" applyNumberFormat="1" applyFont="1" applyFill="1" applyAlignment="1">
      <alignment horizontal="left"/>
    </xf>
    <xf numFmtId="3" fontId="10" fillId="0" borderId="0" xfId="0" applyNumberFormat="1" applyFont="1" applyFill="1" applyAlignment="1">
      <alignment horizontal="centerContinuous"/>
    </xf>
    <xf numFmtId="0" fontId="10" fillId="0" borderId="0" xfId="0" quotePrefix="1" applyNumberFormat="1" applyFont="1" applyFill="1" applyAlignment="1">
      <alignment horizontal="fill"/>
    </xf>
    <xf numFmtId="3" fontId="10" fillId="0" borderId="0" xfId="0" applyNumberFormat="1" applyFont="1" applyFill="1" applyAlignment="1">
      <alignment horizontal="center"/>
    </xf>
    <xf numFmtId="3" fontId="10" fillId="0" borderId="5" xfId="0" applyNumberFormat="1" applyFont="1" applyFill="1" applyBorder="1" applyAlignment="1">
      <alignment horizontal="center"/>
    </xf>
    <xf numFmtId="0" fontId="10" fillId="0" borderId="5" xfId="0" applyNumberFormat="1" applyFont="1" applyFill="1" applyBorder="1" applyAlignment="1">
      <alignment horizontal="centerContinuous"/>
    </xf>
    <xf numFmtId="49" fontId="10" fillId="0" borderId="0" xfId="0" applyNumberFormat="1" applyFont="1" applyFill="1" applyAlignment="1">
      <alignment horizontal="center"/>
    </xf>
    <xf numFmtId="0" fontId="9" fillId="0" borderId="0" xfId="0" applyNumberFormat="1" applyFont="1" applyFill="1" applyAlignment="1" applyProtection="1">
      <alignment horizontal="fill"/>
      <protection locked="0"/>
    </xf>
    <xf numFmtId="0" fontId="9" fillId="0" borderId="0" xfId="0" applyNumberFormat="1" applyFont="1" applyFill="1" applyBorder="1" applyAlignment="1">
      <alignment horizontal="right"/>
    </xf>
    <xf numFmtId="164" fontId="9" fillId="0" borderId="0" xfId="0" applyNumberFormat="1" applyFont="1" applyFill="1" applyAlignment="1">
      <alignment horizontal="left"/>
    </xf>
    <xf numFmtId="49" fontId="9" fillId="0" borderId="0" xfId="0" applyNumberFormat="1" applyFont="1" applyFill="1" applyAlignment="1">
      <alignment horizontal="fill"/>
    </xf>
    <xf numFmtId="9" fontId="9" fillId="0" borderId="0" xfId="0" applyNumberFormat="1" applyFont="1" applyFill="1" applyBorder="1" applyAlignment="1" applyProtection="1">
      <protection locked="0"/>
    </xf>
    <xf numFmtId="0" fontId="11" fillId="0" borderId="0" xfId="0" applyNumberFormat="1" applyFont="1" applyFill="1" applyBorder="1" applyAlignment="1"/>
    <xf numFmtId="0" fontId="9" fillId="0" borderId="0" xfId="0" applyNumberFormat="1" applyFont="1" applyFill="1" applyAlignment="1" applyProtection="1">
      <alignment horizontal="centerContinuous"/>
      <protection locked="0"/>
    </xf>
    <xf numFmtId="0" fontId="10" fillId="0" borderId="0" xfId="0" applyNumberFormat="1" applyFont="1" applyFill="1" applyBorder="1" applyAlignment="1">
      <alignment horizontal="left"/>
    </xf>
    <xf numFmtId="0" fontId="15" fillId="0" borderId="0" xfId="0" applyNumberFormat="1" applyFont="1" applyFill="1" applyAlignment="1"/>
    <xf numFmtId="15" fontId="9" fillId="0" borderId="0" xfId="0" applyNumberFormat="1" applyFont="1" applyFill="1" applyAlignment="1"/>
    <xf numFmtId="3" fontId="9" fillId="0" borderId="0" xfId="0" applyNumberFormat="1" applyFont="1" applyFill="1" applyAlignment="1"/>
    <xf numFmtId="170" fontId="9" fillId="0" borderId="0" xfId="0" applyNumberFormat="1" applyFont="1" applyFill="1" applyAlignment="1"/>
    <xf numFmtId="2" fontId="9" fillId="0" borderId="0" xfId="0" applyNumberFormat="1" applyFont="1" applyFill="1" applyAlignment="1"/>
    <xf numFmtId="49" fontId="9" fillId="0" borderId="0" xfId="0" applyNumberFormat="1" applyFont="1" applyFill="1" applyAlignment="1"/>
    <xf numFmtId="15" fontId="10" fillId="0" borderId="0" xfId="0" applyNumberFormat="1" applyFont="1" applyFill="1" applyAlignment="1"/>
    <xf numFmtId="0" fontId="10" fillId="0" borderId="0" xfId="0" applyNumberFormat="1" applyFont="1" applyFill="1" applyAlignment="1" applyProtection="1">
      <protection locked="0"/>
    </xf>
    <xf numFmtId="170" fontId="10" fillId="0" borderId="0" xfId="0" applyNumberFormat="1" applyFont="1" applyFill="1" applyAlignment="1"/>
    <xf numFmtId="2" fontId="10" fillId="0" borderId="0" xfId="0" applyNumberFormat="1" applyFont="1" applyFill="1" applyAlignment="1"/>
    <xf numFmtId="0" fontId="0" fillId="0" borderId="0" xfId="0" applyNumberFormat="1" applyFill="1" applyAlignment="1"/>
    <xf numFmtId="3" fontId="10" fillId="0" borderId="0" xfId="0" applyNumberFormat="1" applyFont="1" applyFill="1" applyAlignment="1"/>
    <xf numFmtId="0" fontId="10" fillId="0" borderId="0" xfId="0" applyNumberFormat="1" applyFont="1" applyFill="1" applyBorder="1" applyAlignment="1"/>
    <xf numFmtId="49" fontId="10" fillId="0" borderId="0" xfId="0" applyNumberFormat="1" applyFont="1" applyFill="1" applyAlignment="1"/>
    <xf numFmtId="0" fontId="10" fillId="0" borderId="5" xfId="0" applyNumberFormat="1" applyFont="1" applyFill="1" applyBorder="1" applyAlignment="1" applyProtection="1">
      <protection locked="0"/>
    </xf>
    <xf numFmtId="167" fontId="9" fillId="0" borderId="0" xfId="0" applyNumberFormat="1" applyFont="1" applyFill="1" applyAlignment="1"/>
    <xf numFmtId="0" fontId="9" fillId="0" borderId="5" xfId="0" applyNumberFormat="1" applyFont="1" applyFill="1" applyBorder="1" applyAlignment="1"/>
    <xf numFmtId="0" fontId="9" fillId="0" borderId="0" xfId="0" applyNumberFormat="1" applyFont="1" applyFill="1" applyAlignment="1" applyProtection="1">
      <protection locked="0"/>
    </xf>
    <xf numFmtId="0" fontId="11" fillId="0" borderId="0" xfId="0" applyNumberFormat="1" applyFont="1" applyFill="1" applyAlignment="1"/>
    <xf numFmtId="170" fontId="9" fillId="0" borderId="0" xfId="0" applyNumberFormat="1" applyFont="1" applyFill="1" applyBorder="1" applyAlignment="1"/>
    <xf numFmtId="3" fontId="9" fillId="0" borderId="0" xfId="0" applyNumberFormat="1" applyFont="1" applyFill="1" applyBorder="1" applyAlignment="1" applyProtection="1">
      <protection locked="0"/>
    </xf>
    <xf numFmtId="10" fontId="9" fillId="0" borderId="0" xfId="0" applyNumberFormat="1" applyFont="1" applyFill="1" applyAlignment="1"/>
    <xf numFmtId="1" fontId="9" fillId="0" borderId="0" xfId="0" applyNumberFormat="1" applyFont="1" applyFill="1" applyAlignment="1"/>
    <xf numFmtId="4" fontId="9" fillId="0" borderId="0" xfId="0" applyNumberFormat="1" applyFont="1" applyFill="1" applyAlignment="1"/>
    <xf numFmtId="10" fontId="9" fillId="0" borderId="0" xfId="0" applyNumberFormat="1" applyFont="1" applyFill="1" applyBorder="1" applyAlignment="1"/>
    <xf numFmtId="3" fontId="9" fillId="0" borderId="0" xfId="0" applyNumberFormat="1" applyFont="1" applyFill="1" applyBorder="1" applyAlignment="1"/>
    <xf numFmtId="41" fontId="9" fillId="0" borderId="0" xfId="0" applyNumberFormat="1" applyFont="1" applyFill="1" applyAlignment="1">
      <alignment horizontal="right"/>
    </xf>
    <xf numFmtId="171" fontId="9" fillId="0" borderId="0" xfId="0" applyNumberFormat="1" applyFont="1" applyFill="1" applyAlignment="1">
      <alignment horizontal="left"/>
    </xf>
    <xf numFmtId="6" fontId="9" fillId="0" borderId="0" xfId="0" applyNumberFormat="1" applyFont="1" applyFill="1" applyBorder="1" applyAlignment="1"/>
    <xf numFmtId="0" fontId="10" fillId="0" borderId="0" xfId="0" applyNumberFormat="1" applyFont="1" applyFill="1" applyAlignment="1">
      <alignment horizontal="centerContinuous" vertical="center"/>
    </xf>
    <xf numFmtId="9" fontId="9" fillId="0" borderId="0" xfId="0" applyNumberFormat="1" applyFont="1" applyFill="1" applyBorder="1" applyAlignment="1"/>
    <xf numFmtId="42" fontId="9" fillId="0" borderId="0" xfId="0" applyNumberFormat="1" applyFont="1" applyFill="1" applyAlignment="1" applyProtection="1">
      <alignment horizontal="right"/>
      <protection locked="0"/>
    </xf>
    <xf numFmtId="41" fontId="9" fillId="0" borderId="0" xfId="0" applyNumberFormat="1" applyFont="1" applyFill="1" applyAlignment="1" applyProtection="1">
      <alignment horizontal="right"/>
      <protection locked="0"/>
    </xf>
    <xf numFmtId="178" fontId="10" fillId="0" borderId="0" xfId="0" applyFont="1" applyFill="1" applyAlignment="1" applyProtection="1">
      <alignment horizontal="centerContinuous"/>
      <protection locked="0"/>
    </xf>
    <xf numFmtId="178" fontId="10" fillId="0" borderId="0" xfId="0" applyFont="1" applyFill="1" applyAlignment="1">
      <alignment horizontal="centerContinuous"/>
    </xf>
    <xf numFmtId="178" fontId="10" fillId="0" borderId="0" xfId="0" applyFont="1" applyFill="1" applyAlignment="1" applyProtection="1">
      <alignment horizontal="center"/>
      <protection locked="0"/>
    </xf>
    <xf numFmtId="178" fontId="10" fillId="0" borderId="0" xfId="0" applyFont="1" applyFill="1" applyAlignment="1">
      <alignment horizontal="center"/>
    </xf>
    <xf numFmtId="178" fontId="10" fillId="0" borderId="5" xfId="0" applyFont="1" applyFill="1" applyBorder="1" applyAlignment="1">
      <alignment horizontal="center"/>
    </xf>
    <xf numFmtId="42" fontId="10" fillId="0" borderId="0" xfId="0" applyNumberFormat="1" applyFont="1" applyFill="1" applyAlignment="1" applyProtection="1">
      <alignment horizontal="center"/>
      <protection locked="0"/>
    </xf>
    <xf numFmtId="178" fontId="9" fillId="0" borderId="0" xfId="0" applyFont="1" applyFill="1" applyAlignment="1">
      <alignment vertical="center"/>
    </xf>
    <xf numFmtId="178" fontId="9" fillId="0" borderId="0" xfId="0" applyFont="1" applyFill="1" applyAlignment="1">
      <alignment horizontal="left" vertical="center"/>
    </xf>
    <xf numFmtId="178" fontId="9" fillId="0" borderId="0" xfId="0" applyFont="1" applyAlignment="1">
      <alignment horizontal="left"/>
    </xf>
    <xf numFmtId="178" fontId="9" fillId="0" borderId="0" xfId="0" quotePrefix="1" applyFont="1" applyFill="1" applyAlignment="1"/>
    <xf numFmtId="173" fontId="9" fillId="0" borderId="5" xfId="0" applyNumberFormat="1" applyFont="1" applyFill="1" applyBorder="1" applyAlignment="1"/>
    <xf numFmtId="0" fontId="9" fillId="0" borderId="0" xfId="0" applyNumberFormat="1" applyFont="1" applyFill="1" applyAlignment="1">
      <alignment horizontal="left" wrapText="1"/>
    </xf>
    <xf numFmtId="178" fontId="10" fillId="0" borderId="0" xfId="0" applyFont="1" applyFill="1" applyAlignment="1">
      <alignment horizontal="right"/>
    </xf>
    <xf numFmtId="0" fontId="18" fillId="0" borderId="0" xfId="0" applyNumberFormat="1" applyFont="1" applyFill="1" applyAlignment="1" applyProtection="1">
      <protection locked="0"/>
    </xf>
    <xf numFmtId="178" fontId="9" fillId="0" borderId="0" xfId="0" applyFont="1" applyFill="1">
      <alignment horizontal="left" wrapText="1"/>
    </xf>
    <xf numFmtId="178" fontId="12" fillId="0" borderId="0" xfId="0" applyFont="1" applyFill="1" applyAlignment="1">
      <alignment horizontal="centerContinuous"/>
    </xf>
    <xf numFmtId="178" fontId="21" fillId="0" borderId="0" xfId="0" applyFont="1" applyFill="1" applyAlignment="1">
      <alignment horizontal="centerContinuous"/>
    </xf>
    <xf numFmtId="178" fontId="10" fillId="0" borderId="0" xfId="0" applyFont="1" applyFill="1">
      <alignment horizontal="left" wrapText="1"/>
    </xf>
    <xf numFmtId="178" fontId="9" fillId="0" borderId="0" xfId="0" applyFont="1" applyFill="1" applyAlignment="1">
      <alignment horizontal="center"/>
    </xf>
    <xf numFmtId="178" fontId="10" fillId="0" borderId="5" xfId="0" applyFont="1" applyFill="1" applyBorder="1">
      <alignment horizontal="left" wrapText="1"/>
    </xf>
    <xf numFmtId="178" fontId="11" fillId="0" borderId="0" xfId="0" applyFont="1" applyAlignment="1">
      <alignment horizontal="left"/>
    </xf>
    <xf numFmtId="178" fontId="9" fillId="0" borderId="0" xfId="0" applyFont="1" applyAlignment="1">
      <alignment horizontal="left" indent="2"/>
    </xf>
    <xf numFmtId="178" fontId="10" fillId="0" borderId="5" xfId="0" applyFont="1" applyBorder="1" applyProtection="1">
      <alignment horizontal="left" wrapText="1"/>
      <protection locked="0"/>
    </xf>
    <xf numFmtId="178" fontId="10" fillId="0" borderId="5" xfId="0" applyFont="1" applyFill="1" applyBorder="1" applyAlignment="1" applyProtection="1">
      <alignment horizontal="center"/>
      <protection locked="0"/>
    </xf>
    <xf numFmtId="170" fontId="9" fillId="0" borderId="0" xfId="0" applyNumberFormat="1" applyFont="1" applyFill="1" applyBorder="1">
      <alignment horizontal="left" wrapText="1"/>
    </xf>
    <xf numFmtId="178" fontId="10" fillId="0" borderId="0" xfId="0" applyFont="1" applyFill="1" applyAlignment="1">
      <alignment horizontal="centerContinuous" wrapText="1"/>
    </xf>
    <xf numFmtId="178" fontId="9" fillId="0" borderId="0" xfId="0" applyFont="1" applyAlignment="1">
      <alignment horizontal="left" indent="1"/>
    </xf>
    <xf numFmtId="178" fontId="10" fillId="0" borderId="0" xfId="0" applyFont="1" applyAlignment="1">
      <alignment horizontal="center"/>
    </xf>
    <xf numFmtId="178" fontId="10" fillId="0" borderId="0" xfId="0" applyFont="1" applyProtection="1">
      <alignment horizontal="left" wrapText="1"/>
      <protection locked="0"/>
    </xf>
    <xf numFmtId="178" fontId="10" fillId="0" borderId="5" xfId="0" applyFont="1" applyBorder="1" applyAlignment="1">
      <alignment horizontal="center"/>
    </xf>
    <xf numFmtId="180" fontId="9" fillId="0" borderId="0" xfId="0" applyNumberFormat="1" applyFont="1" applyBorder="1" applyAlignment="1">
      <alignment horizontal="center"/>
    </xf>
    <xf numFmtId="180" fontId="9" fillId="0" borderId="0" xfId="0" applyNumberFormat="1" applyFont="1" applyBorder="1" applyAlignment="1">
      <alignment horizontal="center" wrapText="1"/>
    </xf>
    <xf numFmtId="178" fontId="11" fillId="0" borderId="0" xfId="0" applyFont="1" applyBorder="1" applyAlignment="1">
      <alignment horizontal="left"/>
    </xf>
    <xf numFmtId="41" fontId="9" fillId="0" borderId="0" xfId="0" applyNumberFormat="1" applyFont="1" applyFill="1">
      <alignment horizontal="left" wrapText="1"/>
    </xf>
    <xf numFmtId="41" fontId="9" fillId="0" borderId="0" xfId="0" applyNumberFormat="1" applyFont="1" applyFill="1" applyAlignment="1">
      <alignment horizontal="fill"/>
    </xf>
    <xf numFmtId="37" fontId="9" fillId="0" borderId="0" xfId="0" applyNumberFormat="1" applyFont="1" applyFill="1" applyBorder="1" applyAlignment="1"/>
    <xf numFmtId="0" fontId="9" fillId="0" borderId="0" xfId="0" applyNumberFormat="1" applyFont="1" applyFill="1" applyAlignment="1">
      <alignment horizontal="left" vertical="center" indent="2"/>
    </xf>
    <xf numFmtId="172" fontId="9" fillId="0" borderId="0" xfId="0" applyNumberFormat="1" applyFont="1" applyFill="1" applyBorder="1" applyAlignment="1">
      <alignment horizontal="right"/>
    </xf>
    <xf numFmtId="41" fontId="9" fillId="0" borderId="0" xfId="0" applyNumberFormat="1" applyFont="1" applyFill="1" applyAlignment="1">
      <alignment horizontal="center"/>
    </xf>
    <xf numFmtId="0" fontId="9" fillId="0" borderId="0" xfId="0" applyNumberFormat="1" applyFont="1" applyFill="1" applyBorder="1" applyAlignment="1" applyProtection="1">
      <alignment horizontal="center"/>
      <protection locked="0"/>
    </xf>
    <xf numFmtId="164" fontId="9" fillId="0" borderId="0" xfId="0" applyNumberFormat="1" applyFont="1" applyFill="1" applyAlignment="1">
      <alignment horizontal="right"/>
    </xf>
    <xf numFmtId="178" fontId="9" fillId="0" borderId="0" xfId="0" applyFont="1" applyFill="1" applyAlignment="1">
      <alignment horizontal="left" indent="2"/>
    </xf>
    <xf numFmtId="170" fontId="11" fillId="0" borderId="0" xfId="0" applyNumberFormat="1" applyFont="1" applyFill="1" applyBorder="1" applyAlignment="1"/>
    <xf numFmtId="41" fontId="21" fillId="0" borderId="0" xfId="0" applyNumberFormat="1" applyFont="1" applyFill="1" applyBorder="1" applyAlignment="1"/>
    <xf numFmtId="42" fontId="21" fillId="0" borderId="0" xfId="0" applyNumberFormat="1" applyFont="1" applyFill="1" applyBorder="1" applyAlignment="1"/>
    <xf numFmtId="178" fontId="9" fillId="0" borderId="0" xfId="0" applyFont="1" applyFill="1" applyAlignment="1">
      <alignment horizontal="right"/>
    </xf>
    <xf numFmtId="42" fontId="9" fillId="0" borderId="0" xfId="0" applyNumberFormat="1" applyFont="1" applyFill="1" applyAlignment="1">
      <alignment horizontal="right"/>
    </xf>
    <xf numFmtId="0" fontId="13" fillId="0" borderId="0" xfId="0" applyNumberFormat="1" applyFont="1" applyFill="1" applyBorder="1" applyAlignment="1">
      <alignment horizontal="centerContinuous"/>
    </xf>
    <xf numFmtId="0" fontId="10" fillId="0" borderId="0" xfId="0" quotePrefix="1" applyNumberFormat="1" applyFont="1" applyFill="1" applyAlignment="1">
      <alignment horizontal="centerContinuous" vertical="center"/>
    </xf>
    <xf numFmtId="41" fontId="9" fillId="0" borderId="0" xfId="0" applyNumberFormat="1" applyFont="1" applyFill="1" applyBorder="1" applyAlignment="1">
      <alignment vertical="center"/>
    </xf>
    <xf numFmtId="178" fontId="10" fillId="0" borderId="0" xfId="0" applyFont="1" applyFill="1" applyAlignment="1" applyProtection="1">
      <alignment horizontal="centerContinuous" vertical="center"/>
      <protection locked="0"/>
    </xf>
    <xf numFmtId="178" fontId="11" fillId="0" borderId="0" xfId="0" applyFont="1" applyFill="1" applyAlignment="1">
      <alignment horizontal="left"/>
    </xf>
    <xf numFmtId="173" fontId="9" fillId="0" borderId="0" xfId="0" applyNumberFormat="1" applyFont="1" applyFill="1" applyBorder="1" applyAlignment="1">
      <alignment horizontal="center"/>
    </xf>
    <xf numFmtId="178" fontId="11" fillId="0" borderId="0" xfId="0" applyFont="1" applyFill="1" applyBorder="1" applyAlignment="1">
      <alignment horizontal="left"/>
    </xf>
    <xf numFmtId="9" fontId="9" fillId="0" borderId="0" xfId="0" applyNumberFormat="1" applyFont="1" applyFill="1" applyAlignment="1"/>
    <xf numFmtId="0" fontId="9" fillId="0" borderId="0" xfId="0" applyNumberFormat="1" applyFont="1" applyFill="1" applyAlignment="1">
      <alignment horizontal="left" indent="2"/>
    </xf>
    <xf numFmtId="178" fontId="9" fillId="0" borderId="0" xfId="0" applyNumberFormat="1" applyFont="1" applyFill="1" applyAlignment="1"/>
    <xf numFmtId="178" fontId="9" fillId="0" borderId="5" xfId="0" applyNumberFormat="1" applyFont="1" applyFill="1" applyBorder="1" applyAlignment="1"/>
    <xf numFmtId="165" fontId="9" fillId="0" borderId="0" xfId="0" applyNumberFormat="1" applyFont="1" applyFill="1" applyBorder="1" applyAlignment="1">
      <alignment horizontal="right"/>
    </xf>
    <xf numFmtId="4" fontId="9" fillId="0" borderId="0" xfId="0" applyNumberFormat="1" applyFont="1" applyFill="1" applyAlignment="1">
      <alignment horizontal="center"/>
    </xf>
    <xf numFmtId="173" fontId="14" fillId="0" borderId="2" xfId="0" applyNumberFormat="1" applyFont="1" applyFill="1" applyBorder="1" applyAlignment="1"/>
    <xf numFmtId="174" fontId="14" fillId="0" borderId="12" xfId="0" applyNumberFormat="1" applyFont="1" applyFill="1" applyBorder="1" applyAlignment="1"/>
    <xf numFmtId="3" fontId="9" fillId="0" borderId="0" xfId="0" applyNumberFormat="1" applyFont="1" applyFill="1" applyAlignment="1">
      <alignment wrapText="1"/>
    </xf>
    <xf numFmtId="15" fontId="9" fillId="0" borderId="0" xfId="0" applyNumberFormat="1" applyFont="1" applyFill="1">
      <alignment horizontal="left" wrapText="1"/>
    </xf>
    <xf numFmtId="37" fontId="9" fillId="0" borderId="0" xfId="0" applyNumberFormat="1" applyFont="1" applyFill="1" applyAlignment="1"/>
    <xf numFmtId="178" fontId="9" fillId="0" borderId="0" xfId="0" applyFont="1" applyFill="1" applyAlignment="1">
      <alignment horizontal="center" vertical="top"/>
    </xf>
    <xf numFmtId="178" fontId="9" fillId="0" borderId="0" xfId="0" applyFont="1" applyFill="1" applyAlignment="1">
      <alignment horizontal="center" vertical="center"/>
    </xf>
    <xf numFmtId="0" fontId="21" fillId="0" borderId="0" xfId="0" applyNumberFormat="1" applyFont="1" applyFill="1" applyAlignment="1"/>
    <xf numFmtId="0" fontId="21" fillId="0" borderId="0" xfId="0" applyNumberFormat="1" applyFont="1" applyFill="1" applyAlignment="1">
      <alignment horizontal="center"/>
    </xf>
    <xf numFmtId="42" fontId="9" fillId="0" borderId="0" xfId="0" applyNumberFormat="1" applyFont="1" applyAlignment="1" applyProtection="1">
      <alignment horizontal="right"/>
      <protection locked="0"/>
    </xf>
    <xf numFmtId="178" fontId="9" fillId="0" borderId="0" xfId="0" quotePrefix="1" applyFont="1" applyFill="1" applyAlignment="1">
      <alignment horizontal="left"/>
    </xf>
    <xf numFmtId="0" fontId="21" fillId="0" borderId="0" xfId="0" applyNumberFormat="1" applyFont="1" applyFill="1" applyAlignment="1">
      <alignment horizontal="centerContinuous"/>
    </xf>
    <xf numFmtId="0" fontId="10" fillId="0" borderId="0" xfId="0" applyNumberFormat="1" applyFont="1" applyFill="1" applyAlignment="1" applyProtection="1">
      <alignment horizontal="centerContinuous"/>
      <protection locked="0"/>
    </xf>
    <xf numFmtId="0" fontId="10" fillId="0" borderId="5" xfId="0" applyNumberFormat="1" applyFont="1" applyFill="1" applyBorder="1" applyAlignment="1">
      <alignment horizontal="center"/>
    </xf>
    <xf numFmtId="0" fontId="10" fillId="0" borderId="5" xfId="0" applyNumberFormat="1" applyFont="1" applyFill="1" applyBorder="1" applyAlignment="1"/>
    <xf numFmtId="0" fontId="9" fillId="0" borderId="0" xfId="0" applyNumberFormat="1" applyFont="1" applyFill="1" applyAlignment="1">
      <alignment horizontal="left" indent="1"/>
    </xf>
    <xf numFmtId="41" fontId="9" fillId="0" borderId="0" xfId="0" applyNumberFormat="1" applyFont="1" applyFill="1" applyAlignment="1" applyProtection="1">
      <protection locked="0"/>
    </xf>
    <xf numFmtId="0" fontId="10" fillId="0" borderId="0" xfId="0" quotePrefix="1" applyNumberFormat="1" applyFont="1" applyFill="1" applyBorder="1" applyAlignment="1">
      <alignment horizontal="centerContinuous"/>
    </xf>
    <xf numFmtId="42" fontId="9" fillId="0" borderId="0" xfId="0" applyNumberFormat="1" applyFont="1" applyAlignment="1"/>
    <xf numFmtId="0" fontId="10" fillId="0" borderId="0" xfId="0" applyNumberFormat="1" applyFont="1" applyAlignment="1"/>
    <xf numFmtId="37" fontId="9" fillId="0" borderId="0" xfId="0" applyNumberFormat="1" applyFont="1" applyAlignment="1"/>
    <xf numFmtId="37" fontId="9" fillId="0" borderId="0" xfId="0" applyNumberFormat="1" applyFont="1" applyFill="1" applyAlignment="1" applyProtection="1">
      <protection locked="0"/>
    </xf>
    <xf numFmtId="0" fontId="10" fillId="0" borderId="0" xfId="0" applyNumberFormat="1" applyFont="1" applyAlignment="1">
      <alignment horizontal="right"/>
    </xf>
    <xf numFmtId="41" fontId="9" fillId="0" borderId="0" xfId="0" applyNumberFormat="1" applyFont="1" applyAlignment="1"/>
    <xf numFmtId="0" fontId="9" fillId="0" borderId="0" xfId="0" applyNumberFormat="1" applyFont="1" applyBorder="1" applyAlignment="1"/>
    <xf numFmtId="0" fontId="15" fillId="0" borderId="0" xfId="0" applyNumberFormat="1" applyFont="1" applyAlignment="1"/>
    <xf numFmtId="182" fontId="9" fillId="0" borderId="0" xfId="0" applyNumberFormat="1" applyFont="1" applyFill="1" applyAlignment="1"/>
    <xf numFmtId="41" fontId="9" fillId="0" borderId="0" xfId="0" applyNumberFormat="1" applyFont="1" applyFill="1" applyBorder="1" applyAlignment="1" applyProtection="1">
      <alignment horizontal="left" wrapText="1"/>
      <protection locked="0"/>
    </xf>
    <xf numFmtId="41" fontId="9" fillId="0" borderId="5" xfId="0" applyNumberFormat="1" applyFont="1" applyFill="1" applyBorder="1" applyAlignment="1" applyProtection="1">
      <protection locked="0"/>
    </xf>
    <xf numFmtId="9" fontId="9" fillId="0" borderId="0" xfId="0" applyNumberFormat="1" applyFont="1" applyFill="1" applyBorder="1" applyAlignment="1">
      <alignment horizontal="right" wrapText="1"/>
    </xf>
    <xf numFmtId="42" fontId="9" fillId="0" borderId="0" xfId="0" applyNumberFormat="1" applyFont="1" applyFill="1" applyAlignment="1">
      <alignment vertical="center"/>
    </xf>
    <xf numFmtId="41" fontId="9" fillId="0" borderId="0" xfId="0" applyNumberFormat="1" applyFont="1" applyFill="1" applyBorder="1" applyAlignment="1">
      <alignment horizontal="left" wrapText="1"/>
    </xf>
    <xf numFmtId="42" fontId="9" fillId="0" borderId="0" xfId="0" applyNumberFormat="1" applyFont="1" applyFill="1" applyAlignment="1" applyProtection="1">
      <protection locked="0"/>
    </xf>
    <xf numFmtId="173" fontId="9" fillId="0" borderId="0" xfId="0" applyNumberFormat="1" applyFont="1" applyFill="1" applyBorder="1" applyAlignment="1"/>
    <xf numFmtId="0" fontId="0" fillId="0" borderId="0" xfId="0" applyNumberFormat="1" applyAlignment="1"/>
    <xf numFmtId="42" fontId="9" fillId="0" borderId="0" xfId="0" applyNumberFormat="1" applyFont="1" applyFill="1" applyAlignment="1"/>
    <xf numFmtId="42" fontId="9" fillId="0" borderId="0" xfId="0" applyNumberFormat="1" applyFont="1" applyFill="1" applyBorder="1" applyAlignment="1"/>
    <xf numFmtId="41" fontId="9" fillId="0" borderId="0" xfId="0" applyNumberFormat="1" applyFont="1" applyFill="1" applyBorder="1" applyAlignment="1"/>
    <xf numFmtId="178" fontId="9" fillId="0" borderId="0" xfId="0" applyNumberFormat="1" applyFont="1" applyFill="1" applyAlignment="1">
      <alignment horizontal="left" indent="1"/>
    </xf>
    <xf numFmtId="41" fontId="9" fillId="0" borderId="5" xfId="0" applyNumberFormat="1" applyFont="1" applyFill="1" applyBorder="1" applyAlignment="1"/>
    <xf numFmtId="37" fontId="9" fillId="0" borderId="0" xfId="0" applyNumberFormat="1" applyFont="1" applyFill="1" applyBorder="1" applyAlignment="1">
      <alignment horizontal="left" indent="1"/>
    </xf>
    <xf numFmtId="174" fontId="9" fillId="0" borderId="12" xfId="0" applyNumberFormat="1" applyFont="1" applyFill="1" applyBorder="1" applyAlignment="1"/>
    <xf numFmtId="41" fontId="9" fillId="0" borderId="0" xfId="0" applyNumberFormat="1" applyFont="1" applyFill="1" applyBorder="1" applyAlignment="1">
      <alignment horizontal="right"/>
    </xf>
    <xf numFmtId="0" fontId="10" fillId="0" borderId="5" xfId="0" applyNumberFormat="1" applyFont="1" applyBorder="1" applyAlignment="1">
      <alignment horizontal="center"/>
    </xf>
    <xf numFmtId="0" fontId="10" fillId="0" borderId="5" xfId="0" applyNumberFormat="1" applyFont="1" applyBorder="1" applyAlignment="1"/>
    <xf numFmtId="41" fontId="9" fillId="0" borderId="0" xfId="0" applyNumberFormat="1" applyFont="1" applyFill="1" applyAlignment="1"/>
    <xf numFmtId="0" fontId="9" fillId="0" borderId="0" xfId="0" applyNumberFormat="1" applyFont="1" applyAlignment="1"/>
    <xf numFmtId="0" fontId="21" fillId="0" borderId="0" xfId="0" applyNumberFormat="1" applyFont="1" applyFill="1" applyAlignment="1">
      <alignment horizontal="right"/>
    </xf>
    <xf numFmtId="0" fontId="21" fillId="0" borderId="0" xfId="0" applyNumberFormat="1" applyFont="1" applyAlignment="1">
      <alignment horizontal="center"/>
    </xf>
    <xf numFmtId="180" fontId="9" fillId="0" borderId="0" xfId="0" applyNumberFormat="1" applyFont="1" applyBorder="1" applyAlignment="1">
      <alignment horizontal="center" vertical="center" wrapText="1"/>
    </xf>
    <xf numFmtId="0" fontId="0" fillId="0" borderId="0" xfId="0" applyNumberFormat="1" applyFont="1" applyAlignment="1"/>
    <xf numFmtId="42" fontId="9" fillId="0" borderId="19" xfId="0" applyNumberFormat="1" applyFont="1" applyFill="1" applyBorder="1" applyAlignment="1" applyProtection="1">
      <protection locked="0"/>
    </xf>
    <xf numFmtId="41" fontId="9" fillId="0" borderId="18" xfId="0" applyNumberFormat="1" applyFont="1" applyFill="1" applyBorder="1" applyAlignment="1" applyProtection="1">
      <protection locked="0"/>
    </xf>
    <xf numFmtId="170" fontId="9" fillId="0" borderId="18" xfId="0" applyNumberFormat="1" applyFont="1" applyFill="1" applyBorder="1" applyAlignment="1" applyProtection="1">
      <alignment horizontal="right"/>
      <protection locked="0"/>
    </xf>
    <xf numFmtId="0" fontId="9" fillId="0" borderId="18" xfId="0" applyNumberFormat="1" applyFont="1" applyFill="1" applyBorder="1" applyAlignment="1" applyProtection="1">
      <alignment horizontal="left"/>
      <protection locked="0"/>
    </xf>
    <xf numFmtId="0" fontId="0" fillId="0" borderId="0" xfId="0" applyNumberFormat="1" applyFont="1" applyFill="1" applyAlignment="1"/>
    <xf numFmtId="42" fontId="9" fillId="0" borderId="19" xfId="0" applyNumberFormat="1" applyFont="1" applyFill="1" applyBorder="1" applyAlignment="1"/>
    <xf numFmtId="41" fontId="9" fillId="0" borderId="18" xfId="0" applyNumberFormat="1" applyFont="1" applyFill="1" applyBorder="1" applyAlignment="1" applyProtection="1">
      <alignment horizontal="right"/>
      <protection locked="0"/>
    </xf>
    <xf numFmtId="173" fontId="9" fillId="0" borderId="18" xfId="0" applyNumberFormat="1" applyFont="1" applyFill="1" applyBorder="1" applyAlignment="1"/>
    <xf numFmtId="174" fontId="9" fillId="0" borderId="19" xfId="0" applyNumberFormat="1" applyFont="1" applyFill="1" applyBorder="1" applyAlignment="1"/>
    <xf numFmtId="37" fontId="9" fillId="0" borderId="0" xfId="0" applyNumberFormat="1" applyFont="1" applyFill="1" applyBorder="1" applyAlignment="1">
      <alignment horizontal="right"/>
    </xf>
    <xf numFmtId="178" fontId="9" fillId="0" borderId="0" xfId="0" applyNumberFormat="1" applyFont="1" applyFill="1" applyAlignment="1">
      <alignment horizontal="left"/>
    </xf>
    <xf numFmtId="178" fontId="9" fillId="0" borderId="0" xfId="0" quotePrefix="1" applyNumberFormat="1" applyFont="1" applyFill="1" applyAlignment="1">
      <alignment horizontal="left"/>
    </xf>
    <xf numFmtId="41" fontId="9" fillId="0" borderId="0" xfId="0" applyNumberFormat="1" applyFont="1" applyFill="1" applyBorder="1" applyAlignment="1" applyProtection="1">
      <protection locked="0"/>
    </xf>
    <xf numFmtId="174" fontId="9" fillId="0" borderId="0" xfId="0" applyNumberFormat="1" applyFont="1" applyFill="1" applyBorder="1" applyAlignment="1"/>
    <xf numFmtId="178" fontId="9" fillId="0" borderId="0" xfId="0" applyFont="1" applyFill="1" applyAlignment="1">
      <alignment horizontal="centerContinuous"/>
    </xf>
    <xf numFmtId="173" fontId="14" fillId="0" borderId="0" xfId="0" applyNumberFormat="1" applyFont="1" applyFill="1" applyAlignment="1">
      <alignment horizontal="right"/>
    </xf>
    <xf numFmtId="0" fontId="0" fillId="0" borderId="0" xfId="0" applyNumberFormat="1" applyFont="1" applyFill="1" applyBorder="1" applyAlignment="1"/>
    <xf numFmtId="42" fontId="0" fillId="0" borderId="0" xfId="0" applyNumberFormat="1" applyFont="1" applyAlignment="1"/>
    <xf numFmtId="10" fontId="9" fillId="0" borderId="0" xfId="0" applyNumberFormat="1" applyFont="1" applyFill="1" applyBorder="1" applyAlignment="1">
      <alignment horizontal="center"/>
    </xf>
    <xf numFmtId="0" fontId="9" fillId="0" borderId="0" xfId="0" quotePrefix="1" applyNumberFormat="1" applyFont="1" applyFill="1" applyAlignment="1"/>
    <xf numFmtId="41" fontId="0" fillId="0" borderId="0" xfId="0" applyNumberFormat="1" applyFont="1" applyAlignment="1"/>
    <xf numFmtId="42" fontId="9" fillId="0" borderId="0" xfId="0" applyNumberFormat="1" applyFont="1" applyFill="1" applyBorder="1" applyAlignment="1" applyProtection="1">
      <protection locked="0"/>
    </xf>
    <xf numFmtId="0" fontId="18" fillId="0" borderId="0" xfId="0" applyNumberFormat="1" applyFont="1" applyFill="1" applyAlignment="1"/>
    <xf numFmtId="0" fontId="14" fillId="0" borderId="0" xfId="0" applyNumberFormat="1" applyFont="1" applyFill="1" applyAlignment="1">
      <alignment horizontal="center"/>
    </xf>
    <xf numFmtId="173" fontId="9" fillId="0" borderId="22" xfId="0" applyNumberFormat="1" applyFont="1" applyFill="1" applyBorder="1" applyAlignment="1"/>
    <xf numFmtId="178" fontId="14" fillId="0" borderId="0" xfId="0" applyFont="1" applyAlignment="1"/>
    <xf numFmtId="43" fontId="9" fillId="0" borderId="0" xfId="0" applyNumberFormat="1" applyFont="1" applyFill="1" applyAlignment="1"/>
    <xf numFmtId="178" fontId="9" fillId="0" borderId="0" xfId="0" quotePrefix="1" applyFont="1" applyFill="1" applyBorder="1" applyAlignment="1">
      <alignment horizontal="left"/>
    </xf>
    <xf numFmtId="178" fontId="9" fillId="0" borderId="0" xfId="0" applyFont="1" applyFill="1" applyAlignment="1">
      <alignment horizontal="left"/>
    </xf>
    <xf numFmtId="178" fontId="9" fillId="0" borderId="0" xfId="0" applyFont="1" applyFill="1" applyBorder="1" applyAlignment="1"/>
    <xf numFmtId="178" fontId="9" fillId="0" borderId="0" xfId="0" applyNumberFormat="1" applyFont="1" applyFill="1" applyBorder="1" applyAlignment="1"/>
    <xf numFmtId="178" fontId="9" fillId="0" borderId="0" xfId="0" applyFont="1" applyFill="1" applyBorder="1" applyAlignment="1">
      <alignment horizontal="left"/>
    </xf>
    <xf numFmtId="10" fontId="9" fillId="0" borderId="0" xfId="0" applyNumberFormat="1" applyFont="1" applyFill="1" applyAlignment="1" applyProtection="1">
      <protection locked="0"/>
    </xf>
    <xf numFmtId="0" fontId="14" fillId="0" borderId="0" xfId="0" applyNumberFormat="1" applyFont="1" applyFill="1" applyAlignment="1">
      <alignment horizontal="right"/>
    </xf>
    <xf numFmtId="0" fontId="10" fillId="0" borderId="0" xfId="0" applyNumberFormat="1" applyFont="1" applyFill="1" applyAlignment="1">
      <alignment horizontal="centerContinuous"/>
    </xf>
    <xf numFmtId="0" fontId="10" fillId="0" borderId="0" xfId="0" applyNumberFormat="1" applyFont="1" applyFill="1" applyBorder="1" applyAlignment="1">
      <alignment horizontal="centerContinuous"/>
    </xf>
    <xf numFmtId="0" fontId="10" fillId="0" borderId="0" xfId="0" applyNumberFormat="1" applyFont="1" applyFill="1" applyAlignment="1"/>
    <xf numFmtId="0" fontId="9" fillId="0" borderId="0" xfId="0" applyNumberFormat="1" applyFont="1" applyFill="1" applyBorder="1" applyAlignment="1"/>
    <xf numFmtId="0" fontId="9" fillId="0" borderId="0" xfId="0" applyNumberFormat="1" applyFont="1" applyFill="1" applyAlignment="1"/>
    <xf numFmtId="0" fontId="9" fillId="0" borderId="0" xfId="0" applyNumberFormat="1" applyFont="1" applyFill="1" applyAlignment="1">
      <alignment horizontal="center"/>
    </xf>
    <xf numFmtId="0" fontId="9" fillId="0" borderId="0" xfId="0" applyNumberFormat="1" applyFont="1" applyFill="1" applyBorder="1" applyAlignment="1">
      <alignment horizontal="left"/>
    </xf>
    <xf numFmtId="0" fontId="9" fillId="0" borderId="0" xfId="0" applyNumberFormat="1" applyFont="1" applyFill="1" applyAlignment="1">
      <alignment horizontal="left"/>
    </xf>
    <xf numFmtId="0" fontId="10" fillId="0" borderId="0" xfId="0" applyNumberFormat="1" applyFont="1" applyFill="1" applyBorder="1" applyAlignment="1">
      <alignment horizontal="right"/>
    </xf>
    <xf numFmtId="181" fontId="10" fillId="0" borderId="0" xfId="0" applyNumberFormat="1" applyFont="1" applyFill="1" applyBorder="1" applyAlignment="1"/>
    <xf numFmtId="0" fontId="14" fillId="0" borderId="0" xfId="0" applyNumberFormat="1" applyFont="1" applyFill="1" applyAlignment="1">
      <alignment horizontal="left" indent="1"/>
    </xf>
    <xf numFmtId="0" fontId="10" fillId="0" borderId="0" xfId="0" applyNumberFormat="1" applyFont="1" applyFill="1" applyBorder="1" applyAlignment="1">
      <alignment horizontal="center"/>
    </xf>
    <xf numFmtId="0" fontId="9" fillId="0" borderId="0" xfId="0" applyNumberFormat="1" applyFont="1" applyFill="1" applyBorder="1" applyAlignment="1">
      <alignment horizontal="center"/>
    </xf>
    <xf numFmtId="3" fontId="14" fillId="0" borderId="0" xfId="0" applyNumberFormat="1" applyFont="1" applyFill="1" applyAlignment="1"/>
    <xf numFmtId="10" fontId="14" fillId="0" borderId="0" xfId="0" applyNumberFormat="1" applyFont="1" applyFill="1" applyAlignment="1"/>
    <xf numFmtId="5" fontId="9" fillId="0" borderId="0" xfId="0" applyNumberFormat="1" applyFont="1" applyFill="1" applyAlignment="1" applyProtection="1">
      <protection locked="0"/>
    </xf>
    <xf numFmtId="170" fontId="9" fillId="0" borderId="0" xfId="0" applyNumberFormat="1" applyFont="1" applyFill="1" applyBorder="1" applyAlignment="1">
      <alignment horizontal="right" wrapText="1"/>
    </xf>
    <xf numFmtId="178" fontId="9" fillId="0" borderId="0" xfId="0" applyNumberFormat="1" applyFont="1" applyFill="1" applyBorder="1" applyAlignment="1">
      <alignment horizontal="left" wrapText="1"/>
    </xf>
    <xf numFmtId="168" fontId="9" fillId="0" borderId="0" xfId="0" applyNumberFormat="1" applyFont="1" applyFill="1" applyAlignment="1"/>
    <xf numFmtId="41" fontId="9" fillId="0" borderId="0" xfId="0" applyNumberFormat="1" applyFont="1" applyFill="1" applyAlignment="1">
      <alignment wrapText="1"/>
    </xf>
    <xf numFmtId="42" fontId="9" fillId="0" borderId="0" xfId="0" applyNumberFormat="1" applyFont="1" applyFill="1" applyBorder="1" applyAlignment="1" applyProtection="1">
      <alignment horizontal="right"/>
    </xf>
    <xf numFmtId="42" fontId="14" fillId="0" borderId="0" xfId="0" applyNumberFormat="1" applyFont="1" applyFill="1" applyAlignment="1"/>
    <xf numFmtId="0" fontId="14" fillId="0" borderId="0" xfId="0" quotePrefix="1" applyNumberFormat="1" applyFont="1" applyFill="1" applyAlignment="1"/>
    <xf numFmtId="41" fontId="9" fillId="0" borderId="33" xfId="0" applyNumberFormat="1" applyFont="1" applyFill="1" applyBorder="1" applyAlignment="1" applyProtection="1">
      <protection locked="0"/>
    </xf>
    <xf numFmtId="3" fontId="13" fillId="0" borderId="0" xfId="0" applyNumberFormat="1" applyFont="1" applyFill="1" applyAlignment="1">
      <alignment horizontal="centerContinuous"/>
    </xf>
    <xf numFmtId="10" fontId="32" fillId="0" borderId="0" xfId="0" applyNumberFormat="1" applyFont="1" applyFill="1" applyAlignment="1"/>
    <xf numFmtId="0" fontId="7" fillId="0" borderId="0" xfId="0" applyNumberFormat="1" applyFont="1" applyAlignment="1"/>
    <xf numFmtId="173" fontId="14" fillId="0" borderId="10" xfId="0" applyNumberFormat="1" applyFont="1" applyFill="1" applyBorder="1" applyAlignment="1"/>
    <xf numFmtId="0" fontId="14" fillId="0" borderId="0" xfId="0" applyNumberFormat="1" applyFont="1" applyBorder="1" applyAlignment="1"/>
    <xf numFmtId="0" fontId="38" fillId="0" borderId="0" xfId="0" applyNumberFormat="1" applyFont="1" applyBorder="1" applyAlignment="1"/>
    <xf numFmtId="41" fontId="38" fillId="0" borderId="34" xfId="0" applyNumberFormat="1" applyFont="1" applyFill="1" applyBorder="1" applyAlignment="1"/>
    <xf numFmtId="41" fontId="38" fillId="0" borderId="33" xfId="0" applyNumberFormat="1" applyFont="1" applyFill="1" applyBorder="1" applyAlignment="1"/>
    <xf numFmtId="0" fontId="16" fillId="0" borderId="0" xfId="0" applyNumberFormat="1" applyFont="1" applyFill="1" applyBorder="1" applyAlignment="1"/>
    <xf numFmtId="178" fontId="38" fillId="0" borderId="24" xfId="0" applyNumberFormat="1" applyFont="1" applyFill="1" applyBorder="1" applyAlignment="1">
      <alignment horizontal="left"/>
    </xf>
    <xf numFmtId="0" fontId="38" fillId="0" borderId="0" xfId="0" applyNumberFormat="1" applyFont="1" applyFill="1" applyBorder="1" applyAlignment="1">
      <alignment horizontal="center"/>
    </xf>
    <xf numFmtId="0" fontId="38" fillId="0" borderId="24" xfId="0" applyNumberFormat="1" applyFont="1" applyFill="1" applyBorder="1" applyAlignment="1"/>
    <xf numFmtId="41" fontId="38" fillId="0" borderId="25" xfId="0" applyNumberFormat="1" applyFont="1" applyFill="1" applyBorder="1" applyAlignment="1"/>
    <xf numFmtId="0" fontId="37" fillId="0" borderId="37" xfId="0" applyNumberFormat="1" applyFont="1" applyFill="1" applyBorder="1" applyAlignment="1">
      <alignment horizontal="center"/>
    </xf>
    <xf numFmtId="0" fontId="16" fillId="0" borderId="37" xfId="0" applyNumberFormat="1" applyFont="1" applyFill="1" applyBorder="1" applyAlignment="1"/>
    <xf numFmtId="178" fontId="37" fillId="0" borderId="23" xfId="0" applyNumberFormat="1" applyFont="1" applyFill="1" applyBorder="1" applyAlignment="1">
      <alignment horizontal="left"/>
    </xf>
    <xf numFmtId="0" fontId="36" fillId="0" borderId="0" xfId="0" applyNumberFormat="1" applyFont="1" applyFill="1" applyBorder="1" applyAlignment="1"/>
    <xf numFmtId="178" fontId="36" fillId="0" borderId="0" xfId="0" applyNumberFormat="1" applyFont="1" applyFill="1" applyBorder="1" applyAlignment="1">
      <alignment horizontal="left"/>
    </xf>
    <xf numFmtId="0" fontId="34" fillId="0" borderId="0" xfId="0" applyNumberFormat="1" applyFont="1" applyFill="1" applyAlignment="1"/>
    <xf numFmtId="0" fontId="18" fillId="0" borderId="0" xfId="0" applyNumberFormat="1" applyFont="1" applyFill="1" applyAlignment="1">
      <alignment horizontal="left"/>
    </xf>
    <xf numFmtId="0" fontId="22" fillId="0" borderId="0" xfId="0" applyNumberFormat="1" applyFont="1" applyFill="1" applyAlignment="1">
      <alignment horizontal="left"/>
    </xf>
    <xf numFmtId="174" fontId="9" fillId="0" borderId="0" xfId="0" applyNumberFormat="1" applyFont="1" applyFill="1" applyBorder="1" applyAlignment="1" applyProtection="1">
      <alignment horizontal="left"/>
      <protection locked="0"/>
    </xf>
    <xf numFmtId="9" fontId="9" fillId="0" borderId="0" xfId="0" applyNumberFormat="1" applyFont="1" applyFill="1" applyBorder="1" applyAlignment="1" applyProtection="1">
      <alignment horizontal="right"/>
      <protection locked="0"/>
    </xf>
    <xf numFmtId="41" fontId="9" fillId="0" borderId="35" xfId="0" applyNumberFormat="1" applyFont="1" applyFill="1" applyBorder="1" applyAlignment="1">
      <alignment horizontal="right"/>
    </xf>
    <xf numFmtId="0" fontId="9" fillId="0" borderId="0" xfId="0" applyNumberFormat="1" applyFont="1" applyFill="1" applyBorder="1" applyAlignment="1" applyProtection="1">
      <alignment horizontal="left" indent="1"/>
      <protection locked="0"/>
    </xf>
    <xf numFmtId="41" fontId="9" fillId="0" borderId="35" xfId="0" applyNumberFormat="1" applyFont="1" applyFill="1" applyBorder="1" applyAlignment="1" applyProtection="1">
      <alignment horizontal="left"/>
      <protection locked="0"/>
    </xf>
    <xf numFmtId="1" fontId="9" fillId="0" borderId="0" xfId="0" applyNumberFormat="1" applyFont="1" applyFill="1" applyAlignment="1">
      <alignment horizontal="center"/>
    </xf>
    <xf numFmtId="178" fontId="11" fillId="0" borderId="0" xfId="0" applyFont="1" applyFill="1" applyAlignment="1"/>
    <xf numFmtId="178" fontId="9" fillId="0" borderId="0" xfId="0" applyFont="1" applyFill="1" applyBorder="1" applyAlignment="1">
      <alignment horizontal="left" indent="1"/>
    </xf>
    <xf numFmtId="0" fontId="11" fillId="0" borderId="0" xfId="0" applyNumberFormat="1" applyFont="1" applyFill="1" applyAlignment="1">
      <alignment horizontal="left"/>
    </xf>
    <xf numFmtId="178" fontId="9" fillId="0" borderId="0" xfId="0" applyFont="1" applyAlignment="1"/>
    <xf numFmtId="37" fontId="9" fillId="0" borderId="0" xfId="0" applyNumberFormat="1" applyFont="1" applyFill="1" applyAlignment="1">
      <alignment horizontal="left"/>
    </xf>
    <xf numFmtId="0" fontId="14" fillId="0" borderId="0" xfId="0" applyNumberFormat="1" applyFont="1" applyFill="1" applyAlignment="1"/>
    <xf numFmtId="0" fontId="14" fillId="0" borderId="0" xfId="0" applyNumberFormat="1" applyFont="1" applyAlignment="1"/>
    <xf numFmtId="41" fontId="38" fillId="0" borderId="0" xfId="0" applyNumberFormat="1" applyFont="1" applyFill="1" applyBorder="1" applyAlignment="1"/>
    <xf numFmtId="178" fontId="38" fillId="0" borderId="40" xfId="0" applyNumberFormat="1" applyFont="1" applyFill="1" applyBorder="1" applyAlignment="1">
      <alignment horizontal="left"/>
    </xf>
    <xf numFmtId="0" fontId="38" fillId="0" borderId="39" xfId="0" applyNumberFormat="1" applyFont="1" applyFill="1" applyBorder="1" applyAlignment="1">
      <alignment horizontal="center"/>
    </xf>
    <xf numFmtId="173" fontId="38" fillId="0" borderId="41" xfId="0" applyNumberFormat="1" applyFont="1" applyFill="1" applyBorder="1" applyAlignment="1"/>
    <xf numFmtId="0" fontId="33" fillId="0" borderId="3" xfId="0" applyNumberFormat="1" applyFont="1" applyBorder="1" applyAlignment="1">
      <alignment horizontal="right"/>
    </xf>
    <xf numFmtId="41" fontId="33" fillId="0" borderId="3" xfId="0" applyNumberFormat="1" applyFont="1" applyBorder="1" applyAlignment="1"/>
    <xf numFmtId="10" fontId="33" fillId="0" borderId="27" xfId="0" applyNumberFormat="1" applyFont="1" applyBorder="1" applyAlignment="1"/>
    <xf numFmtId="0" fontId="16" fillId="0" borderId="26" xfId="0" applyNumberFormat="1" applyFont="1" applyBorder="1" applyAlignment="1"/>
    <xf numFmtId="168" fontId="37" fillId="0" borderId="36" xfId="0" applyNumberFormat="1" applyFont="1" applyFill="1" applyBorder="1" applyAlignment="1"/>
    <xf numFmtId="0" fontId="14" fillId="0" borderId="0" xfId="0" applyNumberFormat="1" applyFont="1" applyFill="1" applyAlignment="1">
      <alignment horizontal="left" indent="2"/>
    </xf>
    <xf numFmtId="174" fontId="14" fillId="0" borderId="0" xfId="0" applyNumberFormat="1" applyFont="1" applyFill="1" applyAlignment="1"/>
    <xf numFmtId="167" fontId="14" fillId="0" borderId="0" xfId="0" applyNumberFormat="1" applyFont="1" applyFill="1" applyAlignment="1"/>
    <xf numFmtId="178" fontId="9" fillId="0" borderId="0" xfId="0" applyFont="1" applyFill="1" applyBorder="1" applyAlignment="1" applyProtection="1">
      <alignment horizontal="left"/>
      <protection locked="0"/>
    </xf>
    <xf numFmtId="178" fontId="9" fillId="0" borderId="0" xfId="0" applyFont="1" applyFill="1" applyAlignment="1">
      <alignment horizontal="left" indent="1"/>
    </xf>
    <xf numFmtId="178" fontId="9" fillId="0" borderId="0" xfId="0" applyFont="1" applyFill="1" applyAlignment="1">
      <alignment horizontal="left" wrapText="1"/>
    </xf>
    <xf numFmtId="173" fontId="9" fillId="0" borderId="0" xfId="0" applyNumberFormat="1" applyFont="1" applyBorder="1" applyAlignment="1"/>
    <xf numFmtId="173" fontId="9" fillId="0" borderId="0" xfId="0" applyNumberFormat="1" applyFont="1" applyAlignment="1"/>
    <xf numFmtId="2" fontId="10" fillId="0" borderId="0" xfId="0" applyNumberFormat="1" applyFont="1" applyFill="1" applyAlignment="1" applyProtection="1">
      <alignment horizontal="center"/>
      <protection locked="0"/>
    </xf>
    <xf numFmtId="173" fontId="9" fillId="0" borderId="2" xfId="0" applyNumberFormat="1" applyFont="1" applyFill="1" applyBorder="1" applyAlignment="1"/>
    <xf numFmtId="174" fontId="14" fillId="0" borderId="6" xfId="0" applyNumberFormat="1" applyFont="1" applyFill="1" applyBorder="1" applyAlignment="1"/>
    <xf numFmtId="41" fontId="9" fillId="0" borderId="0" xfId="0" applyNumberFormat="1" applyFont="1" applyAlignment="1" applyProtection="1">
      <alignment horizontal="right"/>
      <protection locked="0"/>
    </xf>
    <xf numFmtId="41" fontId="9" fillId="0" borderId="0" xfId="0" applyNumberFormat="1" applyFont="1" applyBorder="1" applyAlignment="1"/>
    <xf numFmtId="41" fontId="9" fillId="0" borderId="42" xfId="0" applyNumberFormat="1" applyFont="1" applyFill="1" applyBorder="1" applyAlignment="1"/>
    <xf numFmtId="42" fontId="9" fillId="0" borderId="0" xfId="0" applyNumberFormat="1" applyFont="1" applyFill="1" applyBorder="1" applyAlignment="1" applyProtection="1">
      <alignment horizontal="center"/>
      <protection locked="0"/>
    </xf>
    <xf numFmtId="0" fontId="14" fillId="0" borderId="0" xfId="0" applyNumberFormat="1" applyFont="1" applyFill="1" applyBorder="1" applyAlignment="1">
      <alignment horizontal="left" indent="1"/>
    </xf>
    <xf numFmtId="173" fontId="9" fillId="0" borderId="0" xfId="0" applyNumberFormat="1" applyFont="1" applyFill="1" applyAlignment="1"/>
    <xf numFmtId="0" fontId="27" fillId="0" borderId="0" xfId="0" applyNumberFormat="1" applyFont="1" applyFill="1" applyAlignment="1"/>
    <xf numFmtId="178" fontId="14" fillId="0" borderId="0" xfId="0" applyFont="1" applyFill="1" applyAlignment="1"/>
    <xf numFmtId="178" fontId="14" fillId="0" borderId="8" xfId="0" applyFont="1" applyFill="1" applyBorder="1" applyAlignment="1">
      <alignment horizontal="center"/>
    </xf>
    <xf numFmtId="178" fontId="14" fillId="0" borderId="13" xfId="0" applyFont="1" applyFill="1" applyBorder="1" applyAlignment="1">
      <alignment horizontal="center"/>
    </xf>
    <xf numFmtId="0" fontId="39" fillId="0" borderId="0" xfId="0" applyNumberFormat="1" applyFont="1" applyFill="1" applyAlignment="1"/>
    <xf numFmtId="42" fontId="14" fillId="0" borderId="19" xfId="0" applyNumberFormat="1" applyFont="1" applyFill="1" applyBorder="1" applyAlignment="1"/>
    <xf numFmtId="42" fontId="19" fillId="0" borderId="0" xfId="0" applyNumberFormat="1" applyFont="1" applyFill="1" applyBorder="1" applyAlignment="1"/>
    <xf numFmtId="178" fontId="18" fillId="0" borderId="0" xfId="0" applyFont="1" applyFill="1" applyAlignment="1"/>
    <xf numFmtId="41" fontId="18" fillId="0" borderId="19" xfId="0" applyNumberFormat="1" applyFont="1" applyFill="1" applyBorder="1" applyAlignment="1"/>
    <xf numFmtId="170" fontId="9" fillId="0" borderId="0" xfId="0" applyNumberFormat="1" applyFont="1" applyAlignment="1" applyProtection="1">
      <protection locked="0"/>
    </xf>
    <xf numFmtId="166" fontId="9" fillId="0" borderId="0" xfId="0" applyNumberFormat="1" applyFont="1" applyAlignment="1"/>
    <xf numFmtId="170" fontId="9" fillId="0" borderId="0" xfId="0" applyNumberFormat="1" applyFont="1" applyBorder="1" applyAlignment="1" applyProtection="1">
      <protection locked="0"/>
    </xf>
    <xf numFmtId="170" fontId="9" fillId="0" borderId="0" xfId="0" applyNumberFormat="1" applyFont="1" applyAlignment="1" applyProtection="1">
      <alignment horizontal="center"/>
      <protection locked="0"/>
    </xf>
    <xf numFmtId="170" fontId="9" fillId="0" borderId="0" xfId="0" applyNumberFormat="1" applyFont="1" applyBorder="1" applyAlignment="1" applyProtection="1">
      <alignment horizontal="center"/>
      <protection locked="0"/>
    </xf>
    <xf numFmtId="170" fontId="9" fillId="0" borderId="0" xfId="0" applyNumberFormat="1" applyFont="1" applyAlignment="1" applyProtection="1">
      <alignment horizontal="right"/>
      <protection locked="0"/>
    </xf>
    <xf numFmtId="9" fontId="9" fillId="0" borderId="0" xfId="0" applyNumberFormat="1" applyFont="1" applyAlignment="1"/>
    <xf numFmtId="10" fontId="9" fillId="0" borderId="0" xfId="0" applyNumberFormat="1" applyFont="1" applyFill="1" applyAlignment="1">
      <alignment horizontal="right"/>
    </xf>
    <xf numFmtId="170" fontId="21" fillId="0" borderId="0" xfId="0" applyNumberFormat="1" applyFont="1" applyFill="1" applyAlignment="1" applyProtection="1">
      <alignment horizontal="right"/>
      <protection locked="0"/>
    </xf>
    <xf numFmtId="41" fontId="9" fillId="0" borderId="42" xfId="0" applyNumberFormat="1" applyFont="1" applyFill="1" applyBorder="1" applyAlignment="1" applyProtection="1">
      <protection locked="0"/>
    </xf>
    <xf numFmtId="0" fontId="18" fillId="0" borderId="0" xfId="0" applyNumberFormat="1" applyFont="1" applyAlignment="1">
      <alignment horizontal="left"/>
    </xf>
    <xf numFmtId="174" fontId="9" fillId="0" borderId="35" xfId="0" applyNumberFormat="1" applyFont="1" applyFill="1" applyBorder="1" applyAlignment="1" applyProtection="1">
      <alignment horizontal="left"/>
      <protection locked="0"/>
    </xf>
    <xf numFmtId="173" fontId="14" fillId="0" borderId="17" xfId="0" applyNumberFormat="1" applyFont="1" applyFill="1" applyBorder="1" applyAlignment="1"/>
    <xf numFmtId="173" fontId="14" fillId="0" borderId="16" xfId="0" applyNumberFormat="1" applyFont="1" applyFill="1" applyBorder="1" applyAlignment="1"/>
    <xf numFmtId="173" fontId="14" fillId="0" borderId="15" xfId="0" applyNumberFormat="1" applyFont="1" applyFill="1" applyBorder="1" applyAlignment="1"/>
    <xf numFmtId="173" fontId="14" fillId="0" borderId="31" xfId="0" applyNumberFormat="1" applyFont="1" applyFill="1" applyBorder="1" applyAlignment="1"/>
    <xf numFmtId="178" fontId="41" fillId="0" borderId="0" xfId="0" applyFont="1" applyFill="1" applyAlignment="1">
      <alignment horizontal="left"/>
    </xf>
    <xf numFmtId="0" fontId="9" fillId="0" borderId="0" xfId="6" applyFont="1" applyFill="1" applyAlignment="1">
      <alignment horizontal="left"/>
    </xf>
    <xf numFmtId="0" fontId="9" fillId="0" borderId="0" xfId="6" applyFont="1" applyFill="1" applyAlignment="1"/>
    <xf numFmtId="0" fontId="9" fillId="0" borderId="0" xfId="8" applyFont="1" applyFill="1" applyAlignment="1">
      <alignment horizontal="center"/>
    </xf>
    <xf numFmtId="178" fontId="11" fillId="0" borderId="0" xfId="17529" applyFont="1" applyAlignment="1">
      <alignment horizontal="left"/>
    </xf>
    <xf numFmtId="0" fontId="9" fillId="0" borderId="0" xfId="8" applyFont="1" applyFill="1"/>
    <xf numFmtId="0" fontId="14" fillId="0" borderId="0" xfId="8" applyFont="1" applyFill="1"/>
    <xf numFmtId="178" fontId="9" fillId="0" borderId="0" xfId="17529" applyFont="1" applyFill="1" applyAlignment="1">
      <alignment horizontal="left" indent="2"/>
    </xf>
    <xf numFmtId="42" fontId="9" fillId="0" borderId="0" xfId="13448" applyNumberFormat="1" applyFont="1" applyFill="1"/>
    <xf numFmtId="42" fontId="9" fillId="0" borderId="0" xfId="13448" applyNumberFormat="1" applyFont="1" applyFill="1" applyBorder="1"/>
    <xf numFmtId="41" fontId="9" fillId="0" borderId="0" xfId="13448" applyNumberFormat="1" applyFont="1" applyFill="1"/>
    <xf numFmtId="0" fontId="9" fillId="0" borderId="0" xfId="662" applyNumberFormat="1" applyFont="1" applyFill="1" applyAlignment="1">
      <alignment horizontal="left" indent="2"/>
    </xf>
    <xf numFmtId="0" fontId="9" fillId="0" borderId="0" xfId="8" applyFont="1" applyFill="1" applyAlignment="1">
      <alignment horizontal="left" indent="2"/>
    </xf>
    <xf numFmtId="178" fontId="9" fillId="0" borderId="0" xfId="17529" applyFont="1" applyFill="1" applyAlignment="1">
      <alignment horizontal="left"/>
    </xf>
    <xf numFmtId="42" fontId="9" fillId="0" borderId="19" xfId="8" applyNumberFormat="1" applyFont="1" applyFill="1" applyBorder="1"/>
    <xf numFmtId="42" fontId="9" fillId="0" borderId="0" xfId="8" applyNumberFormat="1" applyFont="1" applyFill="1" applyBorder="1"/>
    <xf numFmtId="178" fontId="11" fillId="0" borderId="0" xfId="17529" applyFont="1" applyFill="1" applyAlignment="1">
      <alignment horizontal="left"/>
    </xf>
    <xf numFmtId="178" fontId="9" fillId="0" borderId="0" xfId="17529" applyFont="1" applyFill="1" applyAlignment="1">
      <alignment horizontal="left" indent="1"/>
    </xf>
    <xf numFmtId="178" fontId="9" fillId="0" borderId="0" xfId="17529" quotePrefix="1" applyFont="1" applyFill="1" applyAlignment="1">
      <alignment horizontal="left"/>
    </xf>
    <xf numFmtId="41" fontId="9" fillId="0" borderId="91" xfId="8" applyNumberFormat="1" applyFont="1" applyFill="1" applyBorder="1"/>
    <xf numFmtId="41" fontId="9" fillId="0" borderId="0" xfId="8" applyNumberFormat="1" applyFont="1" applyFill="1" applyBorder="1"/>
    <xf numFmtId="0" fontId="9" fillId="0" borderId="0" xfId="15172" applyFont="1" applyFill="1" applyAlignment="1">
      <alignment horizontal="left"/>
    </xf>
    <xf numFmtId="9" fontId="9" fillId="0" borderId="0" xfId="15172" applyNumberFormat="1" applyFont="1" applyFill="1" applyBorder="1" applyAlignment="1"/>
    <xf numFmtId="0" fontId="14" fillId="0" borderId="0" xfId="662" applyNumberFormat="1" applyFont="1" applyAlignment="1"/>
    <xf numFmtId="18" fontId="10" fillId="0" borderId="0" xfId="0" applyNumberFormat="1" applyFont="1" applyFill="1" applyAlignment="1">
      <alignment horizontal="center"/>
    </xf>
    <xf numFmtId="173" fontId="9" fillId="0" borderId="79" xfId="0" applyNumberFormat="1" applyFont="1" applyFill="1" applyBorder="1" applyAlignment="1"/>
    <xf numFmtId="42" fontId="9" fillId="0" borderId="0" xfId="0" applyNumberFormat="1" applyFont="1" applyFill="1" applyBorder="1" applyProtection="1">
      <alignment horizontal="left" wrapText="1"/>
      <protection locked="0"/>
    </xf>
    <xf numFmtId="41" fontId="9" fillId="0" borderId="91" xfId="0" applyNumberFormat="1" applyFont="1" applyFill="1" applyBorder="1" applyAlignment="1"/>
    <xf numFmtId="10" fontId="9" fillId="0" borderId="5" xfId="0" applyNumberFormat="1" applyFont="1" applyFill="1" applyBorder="1" applyAlignment="1"/>
    <xf numFmtId="42" fontId="9" fillId="0" borderId="19" xfId="0" applyNumberFormat="1" applyFont="1" applyBorder="1" applyAlignment="1"/>
    <xf numFmtId="10" fontId="14" fillId="0" borderId="0" xfId="18252" applyNumberFormat="1" applyFont="1" applyFill="1" applyAlignment="1"/>
    <xf numFmtId="178" fontId="9" fillId="0" borderId="0" xfId="0" applyFont="1" applyFill="1" applyAlignment="1"/>
    <xf numFmtId="173" fontId="14" fillId="0" borderId="0" xfId="0" applyNumberFormat="1" applyFont="1" applyFill="1" applyAlignment="1"/>
    <xf numFmtId="41" fontId="14" fillId="0" borderId="0" xfId="0" applyNumberFormat="1" applyFont="1" applyFill="1" applyAlignment="1"/>
    <xf numFmtId="42" fontId="14" fillId="0" borderId="0" xfId="0" applyNumberFormat="1" applyFont="1" applyFill="1" applyAlignment="1"/>
    <xf numFmtId="43" fontId="14" fillId="0" borderId="0" xfId="0" applyNumberFormat="1" applyFont="1" applyFill="1" applyBorder="1" applyAlignment="1"/>
    <xf numFmtId="0" fontId="11" fillId="0" borderId="0" xfId="0" applyNumberFormat="1" applyFont="1" applyBorder="1" applyAlignment="1"/>
    <xf numFmtId="0" fontId="11" fillId="0" borderId="0" xfId="0" applyNumberFormat="1" applyFont="1" applyAlignment="1"/>
    <xf numFmtId="178" fontId="9" fillId="0" borderId="0" xfId="0" applyNumberFormat="1" applyFont="1" applyAlignment="1">
      <alignment horizontal="left" indent="1"/>
    </xf>
    <xf numFmtId="174" fontId="9" fillId="0" borderId="0" xfId="0" applyNumberFormat="1" applyFont="1" applyFill="1" applyAlignment="1"/>
    <xf numFmtId="37" fontId="9" fillId="0" borderId="5" xfId="0" applyNumberFormat="1" applyFont="1" applyFill="1" applyBorder="1" applyAlignment="1"/>
    <xf numFmtId="173" fontId="9" fillId="0" borderId="0" xfId="0" quotePrefix="1" applyNumberFormat="1" applyFont="1" applyFill="1" applyBorder="1" applyAlignment="1">
      <alignment horizontal="centerContinuous"/>
    </xf>
    <xf numFmtId="165" fontId="9" fillId="0" borderId="0" xfId="0" applyNumberFormat="1" applyFont="1" applyFill="1" applyAlignment="1"/>
    <xf numFmtId="173" fontId="22" fillId="0" borderId="0" xfId="13423" applyNumberFormat="1" applyFont="1" applyFill="1" applyAlignment="1"/>
    <xf numFmtId="173" fontId="0" fillId="0" borderId="0" xfId="13423" applyNumberFormat="1" applyFont="1" applyFill="1" applyAlignment="1"/>
    <xf numFmtId="173" fontId="195" fillId="0" borderId="0" xfId="13423" applyNumberFormat="1" applyFont="1" applyFill="1" applyAlignment="1"/>
    <xf numFmtId="173" fontId="187" fillId="0" borderId="79" xfId="13423" applyNumberFormat="1" applyFont="1" applyFill="1" applyBorder="1" applyAlignment="1">
      <alignment horizontal="center"/>
    </xf>
    <xf numFmtId="173" fontId="195" fillId="0" borderId="0" xfId="13423" applyNumberFormat="1" applyFont="1" applyFill="1" applyAlignment="1">
      <alignment horizontal="right"/>
    </xf>
    <xf numFmtId="9" fontId="195" fillId="0" borderId="79" xfId="847" applyFont="1" applyFill="1" applyBorder="1" applyAlignment="1"/>
    <xf numFmtId="38" fontId="195" fillId="0" borderId="0" xfId="13423" applyNumberFormat="1" applyFont="1" applyFill="1" applyBorder="1" applyAlignment="1"/>
    <xf numFmtId="9" fontId="195" fillId="0" borderId="0" xfId="847" applyFont="1" applyFill="1" applyBorder="1" applyAlignment="1"/>
    <xf numFmtId="38" fontId="195" fillId="0" borderId="19" xfId="13423" applyNumberFormat="1" applyFont="1" applyFill="1" applyBorder="1" applyAlignment="1"/>
    <xf numFmtId="49" fontId="195" fillId="0" borderId="0" xfId="13423" applyNumberFormat="1" applyFont="1" applyFill="1" applyBorder="1" applyAlignment="1"/>
    <xf numFmtId="173" fontId="195" fillId="0" borderId="0" xfId="13423" applyNumberFormat="1" applyFont="1" applyFill="1" applyBorder="1" applyAlignment="1"/>
    <xf numFmtId="49" fontId="195" fillId="0" borderId="0" xfId="13423" applyNumberFormat="1" applyFont="1" applyFill="1" applyAlignment="1"/>
    <xf numFmtId="0" fontId="195" fillId="0" borderId="0" xfId="13423" applyNumberFormat="1" applyFont="1" applyFill="1" applyAlignment="1"/>
    <xf numFmtId="173" fontId="195" fillId="0" borderId="19" xfId="13423" applyNumberFormat="1" applyFont="1" applyFill="1" applyBorder="1" applyAlignment="1"/>
    <xf numFmtId="0" fontId="195" fillId="0" borderId="0" xfId="0" applyNumberFormat="1" applyFont="1" applyFill="1" applyAlignment="1"/>
    <xf numFmtId="0" fontId="37" fillId="0" borderId="92" xfId="0" applyNumberFormat="1" applyFont="1" applyFill="1" applyBorder="1" applyAlignment="1">
      <alignment horizontal="center"/>
    </xf>
    <xf numFmtId="41" fontId="38" fillId="0" borderId="91" xfId="0" applyNumberFormat="1" applyFont="1" applyFill="1" applyBorder="1" applyAlignment="1"/>
    <xf numFmtId="41" fontId="38" fillId="0" borderId="79" xfId="0" applyNumberFormat="1" applyFont="1" applyFill="1" applyBorder="1" applyAlignment="1"/>
    <xf numFmtId="178" fontId="9" fillId="0" borderId="0" xfId="6" applyNumberFormat="1" applyFont="1" applyFill="1" applyAlignment="1">
      <alignment horizontal="left" indent="1"/>
    </xf>
    <xf numFmtId="41" fontId="9" fillId="0" borderId="79" xfId="0" applyNumberFormat="1" applyFont="1" applyFill="1" applyBorder="1" applyAlignment="1"/>
    <xf numFmtId="170" fontId="9" fillId="0" borderId="79" xfId="0" applyNumberFormat="1" applyFont="1" applyFill="1" applyBorder="1" applyAlignment="1">
      <alignment horizontal="right" wrapText="1"/>
    </xf>
    <xf numFmtId="41" fontId="9" fillId="0" borderId="0" xfId="15172" applyNumberFormat="1" applyFont="1" applyFill="1" applyBorder="1" applyAlignment="1" applyProtection="1">
      <protection locked="0"/>
    </xf>
    <xf numFmtId="174" fontId="9" fillId="0" borderId="19" xfId="15172" applyNumberFormat="1" applyFont="1" applyFill="1" applyBorder="1" applyAlignment="1"/>
    <xf numFmtId="178" fontId="9" fillId="0" borderId="0" xfId="0" applyNumberFormat="1" applyFont="1" applyFill="1" applyAlignment="1">
      <alignment horizontal="left" wrapText="1"/>
    </xf>
    <xf numFmtId="178" fontId="10" fillId="0" borderId="0" xfId="0" applyNumberFormat="1" applyFont="1" applyFill="1" applyAlignment="1">
      <alignment horizontal="left"/>
    </xf>
    <xf numFmtId="41" fontId="14" fillId="0" borderId="0" xfId="0" applyNumberFormat="1" applyFont="1" applyFill="1" applyBorder="1" applyAlignment="1">
      <alignment horizontal="left" wrapText="1"/>
    </xf>
    <xf numFmtId="41" fontId="19" fillId="0" borderId="0" xfId="0" applyNumberFormat="1" applyFont="1" applyFill="1" applyBorder="1" applyAlignment="1">
      <alignment horizontal="left" wrapText="1"/>
    </xf>
    <xf numFmtId="178" fontId="9" fillId="0" borderId="0" xfId="0" applyNumberFormat="1" applyFont="1" applyAlignment="1">
      <alignment horizontal="left"/>
    </xf>
    <xf numFmtId="42" fontId="9" fillId="0" borderId="0" xfId="0" applyNumberFormat="1" applyFont="1" applyFill="1" applyBorder="1" applyAlignment="1">
      <alignment horizontal="left" wrapText="1"/>
    </xf>
    <xf numFmtId="41" fontId="9" fillId="0" borderId="79" xfId="0" applyNumberFormat="1" applyFont="1" applyFill="1" applyBorder="1" applyAlignment="1" applyProtection="1">
      <protection locked="0"/>
    </xf>
    <xf numFmtId="41" fontId="9" fillId="0" borderId="19" xfId="0" applyNumberFormat="1" applyFont="1" applyBorder="1" applyAlignment="1"/>
    <xf numFmtId="178" fontId="32" fillId="0" borderId="0" xfId="0" applyNumberFormat="1" applyFont="1" applyAlignment="1">
      <alignment horizontal="left"/>
    </xf>
    <xf numFmtId="178" fontId="32" fillId="0" borderId="0" xfId="0" applyNumberFormat="1" applyFont="1" applyFill="1" applyAlignment="1">
      <alignment horizontal="left"/>
    </xf>
    <xf numFmtId="178" fontId="196" fillId="0" borderId="0" xfId="0" applyFont="1">
      <alignment horizontal="left" wrapText="1"/>
    </xf>
    <xf numFmtId="178" fontId="197" fillId="0" borderId="0" xfId="0" applyFont="1" applyAlignment="1">
      <alignment horizontal="left" indent="2"/>
    </xf>
    <xf numFmtId="178" fontId="197" fillId="0" borderId="0" xfId="0" applyFont="1">
      <alignment horizontal="left" wrapText="1"/>
    </xf>
    <xf numFmtId="0" fontId="197" fillId="0" borderId="0" xfId="21226" applyFont="1" applyFill="1" applyBorder="1" applyAlignment="1">
      <alignment horizontal="left"/>
    </xf>
    <xf numFmtId="178" fontId="197" fillId="0" borderId="0" xfId="0" applyFont="1" applyFill="1" applyAlignment="1">
      <alignment horizontal="left"/>
    </xf>
    <xf numFmtId="0" fontId="168" fillId="0" borderId="0" xfId="0" applyNumberFormat="1" applyFont="1" applyAlignment="1">
      <alignment horizontal="left"/>
    </xf>
    <xf numFmtId="0" fontId="9" fillId="0" borderId="0" xfId="15001" applyFont="1" applyFill="1" applyAlignment="1">
      <alignment horizontal="left" indent="1"/>
    </xf>
    <xf numFmtId="0" fontId="10" fillId="0" borderId="5" xfId="0" quotePrefix="1" applyNumberFormat="1" applyFont="1" applyFill="1" applyBorder="1" applyAlignment="1" applyProtection="1">
      <alignment horizontal="center"/>
      <protection locked="0"/>
    </xf>
    <xf numFmtId="178" fontId="14" fillId="0" borderId="0" xfId="0" applyFont="1" applyFill="1" applyAlignment="1">
      <alignment horizontal="centerContinuous"/>
    </xf>
    <xf numFmtId="178" fontId="11" fillId="0" borderId="0" xfId="0" applyNumberFormat="1" applyFont="1" applyAlignment="1">
      <alignment horizontal="left"/>
    </xf>
    <xf numFmtId="178" fontId="14" fillId="0" borderId="0" xfId="0" applyFont="1" applyFill="1" applyAlignment="1">
      <alignment horizontal="right"/>
    </xf>
    <xf numFmtId="42" fontId="9" fillId="0" borderId="79" xfId="0" applyNumberFormat="1" applyFont="1" applyBorder="1" applyAlignment="1" applyProtection="1">
      <alignment horizontal="right"/>
      <protection locked="0"/>
    </xf>
    <xf numFmtId="41" fontId="9" fillId="0" borderId="79" xfId="0" applyNumberFormat="1" applyFont="1" applyBorder="1" applyAlignment="1"/>
    <xf numFmtId="41" fontId="10" fillId="0" borderId="0" xfId="0" applyNumberFormat="1" applyFont="1" applyBorder="1" applyAlignment="1"/>
    <xf numFmtId="41" fontId="11" fillId="0" borderId="0" xfId="0" applyNumberFormat="1" applyFont="1" applyBorder="1" applyAlignment="1"/>
    <xf numFmtId="42" fontId="9" fillId="0" borderId="0" xfId="0" applyNumberFormat="1" applyFont="1" applyBorder="1" applyAlignment="1" applyProtection="1">
      <alignment horizontal="right"/>
      <protection locked="0"/>
    </xf>
    <xf numFmtId="178" fontId="10" fillId="0" borderId="0" xfId="0" applyFont="1" applyFill="1" applyAlignment="1"/>
    <xf numFmtId="178" fontId="197" fillId="0" borderId="0" xfId="0" applyFont="1" applyAlignment="1"/>
    <xf numFmtId="41" fontId="10" fillId="0" borderId="0" xfId="0" applyNumberFormat="1" applyFont="1" applyAlignment="1">
      <alignment horizontal="center"/>
    </xf>
    <xf numFmtId="178" fontId="10" fillId="0" borderId="79" xfId="0" applyFont="1" applyFill="1" applyBorder="1" applyAlignment="1">
      <alignment horizontal="center"/>
    </xf>
    <xf numFmtId="178" fontId="10" fillId="0" borderId="79" xfId="0" applyFont="1" applyFill="1" applyBorder="1" applyAlignment="1" applyProtection="1">
      <protection locked="0"/>
    </xf>
    <xf numFmtId="41" fontId="10" fillId="0" borderId="79" xfId="0" applyNumberFormat="1" applyFont="1" applyBorder="1" applyAlignment="1">
      <alignment horizontal="center"/>
    </xf>
    <xf numFmtId="178" fontId="10" fillId="0" borderId="79" xfId="0" applyFont="1" applyBorder="1" applyAlignment="1">
      <alignment horizontal="center"/>
    </xf>
    <xf numFmtId="0" fontId="9" fillId="0" borderId="0" xfId="890" applyNumberFormat="1" applyFont="1" applyFill="1" applyAlignment="1" applyProtection="1">
      <protection locked="0"/>
    </xf>
    <xf numFmtId="0" fontId="9" fillId="0" borderId="0" xfId="890" applyNumberFormat="1" applyFont="1" applyFill="1" applyBorder="1" applyAlignment="1" applyProtection="1">
      <protection locked="0"/>
    </xf>
    <xf numFmtId="173" fontId="197" fillId="0" borderId="0" xfId="0" applyNumberFormat="1" applyFont="1" applyAlignment="1"/>
    <xf numFmtId="9" fontId="9" fillId="0" borderId="0" xfId="6" applyNumberFormat="1" applyFont="1" applyFill="1" applyAlignment="1"/>
    <xf numFmtId="41" fontId="9" fillId="0" borderId="0" xfId="12" applyNumberFormat="1" applyFont="1" applyFill="1" applyBorder="1" applyAlignment="1"/>
    <xf numFmtId="0" fontId="32" fillId="0" borderId="0" xfId="6" applyFont="1" applyFill="1" applyAlignment="1"/>
    <xf numFmtId="37" fontId="10" fillId="0" borderId="0" xfId="0" applyNumberFormat="1" applyFont="1" applyFill="1" applyAlignment="1"/>
    <xf numFmtId="167" fontId="9" fillId="0" borderId="5" xfId="0" applyNumberFormat="1" applyFont="1" applyFill="1" applyBorder="1" applyAlignment="1">
      <alignment horizontal="center"/>
    </xf>
    <xf numFmtId="41" fontId="9" fillId="0" borderId="95" xfId="890" applyNumberFormat="1" applyFont="1" applyFill="1" applyBorder="1" applyProtection="1">
      <protection locked="0"/>
    </xf>
    <xf numFmtId="41" fontId="0" fillId="0" borderId="0" xfId="0" applyNumberFormat="1" applyFill="1" applyAlignment="1"/>
    <xf numFmtId="42" fontId="9" fillId="0" borderId="0" xfId="8" applyNumberFormat="1" applyFont="1" applyFill="1"/>
    <xf numFmtId="178" fontId="9" fillId="0" borderId="0" xfId="7" applyFont="1" applyAlignment="1">
      <alignment horizontal="left" indent="2"/>
    </xf>
    <xf numFmtId="169" fontId="9" fillId="0" borderId="5" xfId="0" applyNumberFormat="1" applyFont="1" applyFill="1" applyBorder="1" applyAlignment="1" applyProtection="1">
      <protection locked="0"/>
    </xf>
    <xf numFmtId="178" fontId="9" fillId="0" borderId="4" xfId="0" applyNumberFormat="1" applyFont="1" applyFill="1" applyBorder="1" applyAlignment="1" applyProtection="1">
      <protection locked="0"/>
    </xf>
    <xf numFmtId="10" fontId="9" fillId="0" borderId="91" xfId="0" applyNumberFormat="1" applyFont="1" applyFill="1" applyBorder="1" applyAlignment="1"/>
    <xf numFmtId="0" fontId="9" fillId="0" borderId="91" xfId="0" applyNumberFormat="1" applyFont="1" applyFill="1" applyBorder="1" applyAlignment="1"/>
    <xf numFmtId="41" fontId="14" fillId="1" borderId="0" xfId="0" applyNumberFormat="1" applyFont="1" applyFill="1" applyAlignment="1"/>
    <xf numFmtId="42" fontId="9" fillId="0" borderId="0" xfId="0" applyNumberFormat="1" applyFont="1" applyBorder="1" applyAlignment="1"/>
    <xf numFmtId="174" fontId="9" fillId="0" borderId="0" xfId="21227" applyNumberFormat="1" applyFont="1" applyFill="1" applyBorder="1" applyAlignment="1">
      <alignment horizontal="right" wrapText="1"/>
    </xf>
    <xf numFmtId="223" fontId="10" fillId="0" borderId="14" xfId="0" applyNumberFormat="1" applyFont="1" applyFill="1" applyBorder="1" applyAlignment="1"/>
    <xf numFmtId="41" fontId="9" fillId="0" borderId="95" xfId="0" applyNumberFormat="1" applyFont="1" applyFill="1" applyBorder="1" applyAlignment="1" applyProtection="1">
      <protection locked="0"/>
    </xf>
    <xf numFmtId="173" fontId="9" fillId="0" borderId="95" xfId="0" applyNumberFormat="1" applyFont="1" applyFill="1" applyBorder="1" applyAlignment="1"/>
    <xf numFmtId="174" fontId="9" fillId="0" borderId="0" xfId="21227" applyNumberFormat="1" applyFont="1" applyFill="1" applyBorder="1" applyAlignment="1"/>
    <xf numFmtId="41" fontId="9" fillId="0" borderId="95" xfId="0" applyNumberFormat="1" applyFont="1" applyFill="1" applyBorder="1" applyAlignment="1"/>
    <xf numFmtId="37" fontId="9" fillId="0" borderId="95" xfId="0" applyNumberFormat="1" applyFont="1" applyFill="1" applyBorder="1" applyAlignment="1"/>
    <xf numFmtId="41" fontId="9" fillId="0" borderId="0" xfId="0" applyNumberFormat="1" applyFont="1" applyFill="1" applyBorder="1" applyAlignment="1" applyProtection="1">
      <alignment horizontal="right"/>
      <protection locked="0"/>
    </xf>
    <xf numFmtId="41" fontId="9" fillId="0" borderId="95" xfId="0" applyNumberFormat="1" applyFont="1" applyBorder="1" applyAlignment="1" applyProtection="1">
      <alignment horizontal="right"/>
      <protection locked="0"/>
    </xf>
    <xf numFmtId="41" fontId="9" fillId="0" borderId="95" xfId="0" applyNumberFormat="1" applyFont="1" applyFill="1" applyBorder="1" applyAlignment="1">
      <alignment horizontal="right"/>
    </xf>
    <xf numFmtId="41" fontId="9" fillId="0" borderId="95" xfId="0" applyNumberFormat="1" applyFont="1" applyBorder="1" applyAlignment="1"/>
    <xf numFmtId="41" fontId="9" fillId="0" borderId="0" xfId="0" applyNumberFormat="1" applyFont="1" applyBorder="1" applyAlignment="1" applyProtection="1">
      <alignment horizontal="right"/>
      <protection locked="0"/>
    </xf>
    <xf numFmtId="174" fontId="9" fillId="0" borderId="19" xfId="21227" applyNumberFormat="1" applyFont="1" applyFill="1" applyBorder="1" applyAlignment="1"/>
    <xf numFmtId="41" fontId="7" fillId="0" borderId="0" xfId="0" applyNumberFormat="1" applyFont="1" applyAlignment="1"/>
    <xf numFmtId="43" fontId="7" fillId="0" borderId="0" xfId="0" applyNumberFormat="1" applyFont="1" applyAlignment="1"/>
    <xf numFmtId="41" fontId="40" fillId="0" borderId="0" xfId="0" applyNumberFormat="1" applyFont="1" applyAlignment="1"/>
    <xf numFmtId="0" fontId="33" fillId="0" borderId="3" xfId="0" applyNumberFormat="1" applyFont="1" applyBorder="1" applyAlignment="1">
      <alignment horizontal="left"/>
    </xf>
    <xf numFmtId="41" fontId="38" fillId="0" borderId="39" xfId="0" applyNumberFormat="1" applyFont="1" applyFill="1" applyBorder="1" applyAlignment="1"/>
    <xf numFmtId="0" fontId="200" fillId="0" borderId="0" xfId="0" applyNumberFormat="1" applyFont="1" applyFill="1" applyAlignment="1">
      <alignment horizontal="center"/>
    </xf>
    <xf numFmtId="0" fontId="200" fillId="0" borderId="0" xfId="0" quotePrefix="1" applyNumberFormat="1" applyFont="1" applyFill="1" applyAlignment="1">
      <alignment horizontal="left"/>
    </xf>
    <xf numFmtId="0" fontId="187" fillId="0" borderId="0" xfId="0" applyNumberFormat="1" applyFont="1" applyFill="1" applyBorder="1" applyAlignment="1">
      <alignment horizontal="center"/>
    </xf>
    <xf numFmtId="0" fontId="201" fillId="0" borderId="0" xfId="0" applyNumberFormat="1" applyFont="1" applyAlignment="1"/>
    <xf numFmtId="0" fontId="200" fillId="0" borderId="0" xfId="0" applyNumberFormat="1" applyFont="1" applyFill="1" applyAlignment="1">
      <alignment horizontal="left"/>
    </xf>
    <xf numFmtId="0" fontId="160" fillId="0" borderId="0" xfId="0" applyNumberFormat="1" applyFont="1" applyAlignment="1"/>
    <xf numFmtId="173" fontId="200" fillId="0" borderId="0" xfId="0" applyNumberFormat="1" applyFont="1" applyFill="1" applyAlignment="1">
      <alignment horizontal="right"/>
    </xf>
    <xf numFmtId="173" fontId="200" fillId="0" borderId="0" xfId="0" applyNumberFormat="1" applyFont="1" applyFill="1" applyBorder="1" applyAlignment="1">
      <alignment horizontal="right"/>
    </xf>
    <xf numFmtId="0" fontId="200" fillId="0" borderId="0" xfId="0" applyNumberFormat="1" applyFont="1" applyFill="1" applyAlignment="1"/>
    <xf numFmtId="0" fontId="160" fillId="0" borderId="0" xfId="0" applyNumberFormat="1" applyFont="1" applyFill="1" applyAlignment="1"/>
    <xf numFmtId="0" fontId="202" fillId="0" borderId="0" xfId="0" applyNumberFormat="1" applyFont="1" applyFill="1" applyAlignment="1">
      <alignment horizontal="center"/>
    </xf>
    <xf numFmtId="10" fontId="160" fillId="0" borderId="0" xfId="0" applyNumberFormat="1" applyFont="1" applyAlignment="1"/>
    <xf numFmtId="43" fontId="160" fillId="0" borderId="0" xfId="0" applyNumberFormat="1" applyFont="1" applyFill="1" applyAlignment="1">
      <alignment horizontal="right"/>
    </xf>
    <xf numFmtId="174" fontId="200" fillId="0" borderId="0" xfId="0" applyNumberFormat="1" applyFont="1" applyFill="1" applyAlignment="1">
      <alignment horizontal="left"/>
    </xf>
    <xf numFmtId="0" fontId="187" fillId="0" borderId="0" xfId="0" applyNumberFormat="1" applyFont="1" applyFill="1" applyAlignment="1">
      <alignment horizontal="center"/>
    </xf>
    <xf numFmtId="43" fontId="200" fillId="0" borderId="0" xfId="0" applyNumberFormat="1" applyFont="1" applyFill="1" applyAlignment="1">
      <alignment horizontal="left"/>
    </xf>
    <xf numFmtId="173" fontId="187" fillId="0" borderId="0" xfId="0" applyNumberFormat="1" applyFont="1" applyFill="1" applyBorder="1" applyAlignment="1">
      <alignment horizontal="center"/>
    </xf>
    <xf numFmtId="0" fontId="202" fillId="0" borderId="0" xfId="0" applyNumberFormat="1" applyFont="1" applyFill="1" applyBorder="1" applyAlignment="1">
      <alignment horizontal="center"/>
    </xf>
    <xf numFmtId="173" fontId="202" fillId="0" borderId="0" xfId="0" applyNumberFormat="1" applyFont="1" applyFill="1" applyBorder="1" applyAlignment="1">
      <alignment horizontal="center"/>
    </xf>
    <xf numFmtId="184" fontId="200" fillId="0" borderId="0" xfId="0" applyNumberFormat="1" applyFont="1" applyFill="1" applyBorder="1" applyAlignment="1"/>
    <xf numFmtId="173" fontId="187" fillId="0" borderId="0" xfId="0" applyNumberFormat="1" applyFont="1" applyFill="1" applyAlignment="1">
      <alignment horizontal="center"/>
    </xf>
    <xf numFmtId="174" fontId="160" fillId="0" borderId="0" xfId="0" applyNumberFormat="1" applyFont="1" applyAlignment="1"/>
    <xf numFmtId="173" fontId="160" fillId="0" borderId="0" xfId="0" applyNumberFormat="1" applyFont="1" applyAlignment="1"/>
    <xf numFmtId="173" fontId="200" fillId="0" borderId="0" xfId="0" applyNumberFormat="1" applyFont="1" applyFill="1" applyBorder="1" applyAlignment="1"/>
    <xf numFmtId="0" fontId="200" fillId="0" borderId="0" xfId="0" applyNumberFormat="1" applyFont="1" applyFill="1" applyBorder="1" applyAlignment="1">
      <alignment horizontal="left" indent="1"/>
    </xf>
    <xf numFmtId="0" fontId="200" fillId="0" borderId="0" xfId="0" applyNumberFormat="1" applyFont="1" applyFill="1" applyAlignment="1">
      <alignment horizontal="center" vertical="top"/>
    </xf>
    <xf numFmtId="0" fontId="200" fillId="0" borderId="0" xfId="0" applyNumberFormat="1" applyFont="1" applyFill="1" applyAlignment="1">
      <alignment vertical="top"/>
    </xf>
    <xf numFmtId="0" fontId="200" fillId="0" borderId="0" xfId="0" quotePrefix="1" applyNumberFormat="1" applyFont="1" applyFill="1" applyBorder="1" applyAlignment="1">
      <alignment horizontal="left"/>
    </xf>
    <xf numFmtId="0" fontId="204" fillId="0" borderId="0" xfId="0" applyNumberFormat="1" applyFont="1" applyAlignment="1"/>
    <xf numFmtId="0" fontId="200" fillId="0" borderId="0" xfId="0" applyNumberFormat="1" applyFont="1" applyFill="1" applyAlignment="1">
      <alignment horizontal="left" vertical="center" indent="1"/>
    </xf>
    <xf numFmtId="185" fontId="200" fillId="0" borderId="0" xfId="0" applyNumberFormat="1" applyFont="1" applyFill="1" applyAlignment="1">
      <alignment horizontal="right"/>
    </xf>
    <xf numFmtId="185" fontId="160" fillId="0" borderId="0" xfId="0" applyNumberFormat="1" applyFont="1" applyAlignment="1"/>
    <xf numFmtId="173" fontId="200" fillId="0" borderId="0" xfId="3" applyNumberFormat="1" applyFont="1" applyFill="1" applyBorder="1"/>
    <xf numFmtId="0" fontId="205" fillId="0" borderId="0" xfId="0" applyNumberFormat="1" applyFont="1" applyFill="1" applyAlignment="1">
      <alignment horizontal="left"/>
    </xf>
    <xf numFmtId="0" fontId="160" fillId="0" borderId="0" xfId="0" applyNumberFormat="1" applyFont="1" applyAlignment="1">
      <alignment horizontal="center" wrapText="1"/>
    </xf>
    <xf numFmtId="174" fontId="201" fillId="0" borderId="0" xfId="0" applyNumberFormat="1" applyFont="1" applyAlignment="1"/>
    <xf numFmtId="184" fontId="160" fillId="0" borderId="0" xfId="0" applyNumberFormat="1" applyFont="1" applyBorder="1" applyAlignment="1"/>
    <xf numFmtId="0" fontId="18" fillId="0" borderId="44" xfId="0" applyNumberFormat="1" applyFont="1" applyFill="1" applyBorder="1" applyAlignment="1">
      <alignment horizontal="center" vertical="center" wrapText="1"/>
    </xf>
    <xf numFmtId="173" fontId="14" fillId="0" borderId="46" xfId="0" applyNumberFormat="1" applyFont="1" applyFill="1" applyBorder="1" applyAlignment="1"/>
    <xf numFmtId="174" fontId="9" fillId="0" borderId="0" xfId="21227" applyNumberFormat="1" applyFont="1" applyFill="1" applyAlignment="1"/>
    <xf numFmtId="17" fontId="9" fillId="0" borderId="0" xfId="0" applyNumberFormat="1" applyFont="1" applyAlignment="1"/>
    <xf numFmtId="10" fontId="11" fillId="0" borderId="0" xfId="0" applyNumberFormat="1" applyFont="1" applyFill="1" applyAlignment="1">
      <alignment horizontal="center"/>
    </xf>
    <xf numFmtId="42" fontId="9" fillId="0" borderId="79" xfId="0" applyNumberFormat="1" applyFont="1" applyFill="1" applyBorder="1" applyAlignment="1" applyProtection="1">
      <protection locked="0"/>
    </xf>
    <xf numFmtId="15" fontId="9" fillId="0" borderId="0" xfId="0" applyNumberFormat="1" applyFont="1" applyFill="1" applyAlignment="1">
      <alignment vertical="top"/>
    </xf>
    <xf numFmtId="37" fontId="9" fillId="0" borderId="79" xfId="0" applyNumberFormat="1" applyFont="1" applyFill="1" applyBorder="1" applyAlignment="1" applyProtection="1">
      <protection locked="0"/>
    </xf>
    <xf numFmtId="0" fontId="32" fillId="0" borderId="0" xfId="0" applyNumberFormat="1" applyFont="1" applyFill="1" applyAlignment="1">
      <alignment horizontal="left"/>
    </xf>
    <xf numFmtId="42" fontId="9" fillId="0" borderId="0" xfId="0" applyNumberFormat="1" applyFont="1" applyBorder="1" applyAlignment="1" applyProtection="1">
      <protection locked="0"/>
    </xf>
    <xf numFmtId="174" fontId="9" fillId="0" borderId="95" xfId="21227" applyNumberFormat="1" applyFont="1" applyFill="1" applyBorder="1" applyAlignment="1"/>
    <xf numFmtId="174" fontId="9" fillId="0" borderId="43" xfId="21227" applyNumberFormat="1" applyFont="1" applyFill="1" applyBorder="1" applyAlignment="1"/>
    <xf numFmtId="42" fontId="9" fillId="0" borderId="0" xfId="0" applyNumberFormat="1" applyFont="1">
      <alignment horizontal="left" wrapText="1"/>
    </xf>
    <xf numFmtId="41" fontId="9" fillId="0" borderId="0" xfId="0" applyNumberFormat="1" applyFont="1">
      <alignment horizontal="left" wrapText="1"/>
    </xf>
    <xf numFmtId="41" fontId="9" fillId="0" borderId="42" xfId="0" applyNumberFormat="1" applyFont="1" applyBorder="1">
      <alignment horizontal="left" wrapText="1"/>
    </xf>
    <xf numFmtId="41" fontId="27" fillId="0" borderId="0" xfId="0" applyNumberFormat="1" applyFont="1">
      <alignment horizontal="left" wrapText="1"/>
    </xf>
    <xf numFmtId="174" fontId="9" fillId="0" borderId="0" xfId="21227" applyNumberFormat="1" applyFont="1" applyBorder="1" applyAlignment="1">
      <alignment horizontal="left" wrapText="1"/>
    </xf>
    <xf numFmtId="178" fontId="9" fillId="0" borderId="0" xfId="0" applyNumberFormat="1" applyFont="1" applyAlignment="1"/>
    <xf numFmtId="173" fontId="9" fillId="0" borderId="95" xfId="1" applyNumberFormat="1" applyFont="1" applyFill="1" applyBorder="1" applyAlignment="1">
      <alignment horizontal="left" wrapText="1"/>
    </xf>
    <xf numFmtId="0" fontId="201" fillId="0" borderId="0" xfId="0" applyNumberFormat="1" applyFont="1" applyFill="1" applyAlignment="1"/>
    <xf numFmtId="0" fontId="14" fillId="0" borderId="0" xfId="0" applyNumberFormat="1" applyFont="1" applyFill="1" applyAlignment="1">
      <alignment horizontal="centerContinuous"/>
    </xf>
    <xf numFmtId="0" fontId="14" fillId="0" borderId="5" xfId="0" applyNumberFormat="1" applyFont="1" applyFill="1" applyBorder="1" applyAlignment="1">
      <alignment horizontal="center"/>
    </xf>
    <xf numFmtId="0" fontId="14" fillId="0" borderId="45" xfId="0" applyNumberFormat="1" applyFont="1" applyFill="1" applyBorder="1" applyAlignment="1"/>
    <xf numFmtId="0" fontId="14" fillId="0" borderId="45" xfId="0" quotePrefix="1" applyNumberFormat="1" applyFont="1" applyFill="1" applyBorder="1" applyAlignment="1">
      <alignment horizontal="center"/>
    </xf>
    <xf numFmtId="3" fontId="14" fillId="0" borderId="45" xfId="0" applyNumberFormat="1" applyFont="1" applyFill="1" applyBorder="1" applyAlignment="1"/>
    <xf numFmtId="0" fontId="14" fillId="0" borderId="16" xfId="0" applyNumberFormat="1" applyFont="1" applyFill="1" applyBorder="1" applyAlignment="1"/>
    <xf numFmtId="0" fontId="14" fillId="0" borderId="16" xfId="0" quotePrefix="1" applyNumberFormat="1" applyFont="1" applyFill="1" applyBorder="1" applyAlignment="1">
      <alignment horizontal="center"/>
    </xf>
    <xf numFmtId="3" fontId="14" fillId="0" borderId="16" xfId="0" applyNumberFormat="1" applyFont="1" applyFill="1" applyBorder="1" applyAlignment="1"/>
    <xf numFmtId="0" fontId="14" fillId="0" borderId="15" xfId="0" applyNumberFormat="1" applyFont="1" applyFill="1" applyBorder="1" applyAlignment="1"/>
    <xf numFmtId="0" fontId="14" fillId="0" borderId="15" xfId="0" quotePrefix="1" applyNumberFormat="1" applyFont="1" applyFill="1" applyBorder="1" applyAlignment="1">
      <alignment horizontal="center"/>
    </xf>
    <xf numFmtId="3" fontId="14" fillId="0" borderId="15" xfId="0" applyNumberFormat="1" applyFont="1" applyFill="1" applyBorder="1" applyAlignment="1"/>
    <xf numFmtId="10" fontId="14" fillId="0" borderId="15" xfId="0" applyNumberFormat="1" applyFont="1" applyFill="1" applyBorder="1" applyAlignment="1"/>
    <xf numFmtId="0" fontId="14" fillId="0" borderId="44" xfId="0" applyNumberFormat="1" applyFont="1" applyFill="1" applyBorder="1" applyAlignment="1"/>
    <xf numFmtId="10" fontId="14" fillId="0" borderId="44" xfId="0" applyNumberFormat="1" applyFont="1" applyFill="1" applyBorder="1" applyAlignment="1"/>
    <xf numFmtId="173" fontId="14" fillId="0" borderId="44" xfId="0" applyNumberFormat="1" applyFont="1" applyFill="1" applyBorder="1" applyAlignment="1"/>
    <xf numFmtId="0" fontId="14" fillId="0" borderId="38" xfId="0" applyNumberFormat="1" applyFont="1" applyFill="1" applyBorder="1" applyAlignment="1">
      <alignment horizontal="center"/>
    </xf>
    <xf numFmtId="0" fontId="18" fillId="0" borderId="0" xfId="0" applyNumberFormat="1" applyFont="1" applyFill="1" applyAlignment="1">
      <alignment horizontal="center"/>
    </xf>
    <xf numFmtId="9" fontId="14" fillId="0" borderId="0" xfId="0" applyNumberFormat="1" applyFont="1" applyFill="1" applyAlignment="1"/>
    <xf numFmtId="43" fontId="14" fillId="0" borderId="0" xfId="1" applyFont="1" applyFill="1" applyAlignment="1"/>
    <xf numFmtId="0" fontId="14" fillId="0" borderId="23" xfId="0" applyNumberFormat="1" applyFont="1" applyFill="1" applyBorder="1" applyAlignment="1"/>
    <xf numFmtId="0" fontId="14" fillId="0" borderId="37" xfId="0" applyNumberFormat="1" applyFont="1" applyFill="1" applyBorder="1" applyAlignment="1"/>
    <xf numFmtId="0" fontId="14" fillId="0" borderId="36" xfId="0" applyNumberFormat="1" applyFont="1" applyFill="1" applyBorder="1" applyAlignment="1"/>
    <xf numFmtId="0" fontId="14" fillId="0" borderId="24" xfId="0" applyNumberFormat="1" applyFont="1" applyFill="1" applyBorder="1" applyAlignment="1"/>
    <xf numFmtId="178" fontId="27" fillId="0" borderId="0" xfId="0" applyFont="1" applyFill="1" applyBorder="1" applyAlignment="1"/>
    <xf numFmtId="178" fontId="27" fillId="0" borderId="25" xfId="0" quotePrefix="1" applyFont="1" applyFill="1" applyBorder="1" applyAlignment="1"/>
    <xf numFmtId="178" fontId="27" fillId="0" borderId="25" xfId="0" applyFont="1" applyFill="1" applyBorder="1" applyAlignment="1"/>
    <xf numFmtId="0" fontId="14" fillId="0" borderId="24" xfId="0" applyNumberFormat="1" applyFont="1" applyFill="1" applyBorder="1" applyAlignment="1">
      <alignment horizontal="left" indent="8"/>
    </xf>
    <xf numFmtId="0" fontId="14" fillId="0" borderId="0" xfId="0" applyNumberFormat="1" applyFont="1" applyFill="1" applyBorder="1" applyAlignment="1">
      <alignment horizontal="left" indent="2"/>
    </xf>
    <xf numFmtId="0" fontId="14" fillId="0" borderId="25" xfId="0" applyNumberFormat="1" applyFont="1" applyFill="1" applyBorder="1" applyAlignment="1">
      <alignment horizontal="left" indent="2"/>
    </xf>
    <xf numFmtId="43" fontId="14" fillId="0" borderId="25" xfId="0" applyNumberFormat="1" applyFont="1" applyFill="1" applyBorder="1" applyAlignment="1">
      <alignment horizontal="left" indent="2"/>
    </xf>
    <xf numFmtId="0" fontId="14" fillId="0" borderId="26" xfId="0" applyNumberFormat="1" applyFont="1" applyFill="1" applyBorder="1" applyAlignment="1">
      <alignment horizontal="left" indent="8"/>
    </xf>
    <xf numFmtId="0" fontId="14" fillId="0" borderId="3" xfId="0" applyNumberFormat="1" applyFont="1" applyFill="1" applyBorder="1" applyAlignment="1">
      <alignment horizontal="left" indent="2"/>
    </xf>
    <xf numFmtId="43" fontId="14" fillId="0" borderId="27" xfId="0" applyNumberFormat="1" applyFont="1" applyFill="1" applyBorder="1" applyAlignment="1">
      <alignment horizontal="left" indent="2"/>
    </xf>
    <xf numFmtId="43" fontId="14" fillId="0" borderId="0" xfId="0" applyNumberFormat="1" applyFont="1" applyFill="1" applyAlignment="1">
      <alignment horizontal="left" indent="2"/>
    </xf>
    <xf numFmtId="43" fontId="14" fillId="0" borderId="14" xfId="0" applyNumberFormat="1" applyFont="1" applyFill="1" applyBorder="1" applyAlignment="1"/>
    <xf numFmtId="173" fontId="0" fillId="0" borderId="0" xfId="13423" applyNumberFormat="1" applyFont="1" applyFill="1" applyBorder="1" applyAlignment="1"/>
    <xf numFmtId="0" fontId="0" fillId="0" borderId="16" xfId="0" applyNumberFormat="1" applyFont="1" applyFill="1" applyBorder="1" applyAlignment="1"/>
    <xf numFmtId="0" fontId="0" fillId="0" borderId="15" xfId="0" applyNumberFormat="1" applyFont="1" applyFill="1" applyBorder="1" applyAlignment="1"/>
    <xf numFmtId="178" fontId="18" fillId="0" borderId="0" xfId="0" applyFont="1" applyFill="1" applyAlignment="1">
      <alignment horizontal="left"/>
    </xf>
    <xf numFmtId="5" fontId="9" fillId="0" borderId="0" xfId="0" applyNumberFormat="1" applyFont="1" applyFill="1" applyBorder="1" applyAlignment="1"/>
    <xf numFmtId="0" fontId="9" fillId="0" borderId="95" xfId="0" applyNumberFormat="1" applyFont="1" applyFill="1" applyBorder="1" applyAlignment="1"/>
    <xf numFmtId="0" fontId="9" fillId="0" borderId="79" xfId="0" applyNumberFormat="1" applyFont="1" applyFill="1" applyBorder="1" applyAlignment="1"/>
    <xf numFmtId="178" fontId="9" fillId="0" borderId="79" xfId="0" applyFont="1" applyFill="1" applyBorder="1" applyAlignment="1">
      <alignment horizontal="left"/>
    </xf>
    <xf numFmtId="42" fontId="9" fillId="0" borderId="79" xfId="0" applyNumberFormat="1" applyFont="1" applyBorder="1" applyAlignment="1"/>
    <xf numFmtId="42" fontId="9" fillId="0" borderId="94" xfId="0" applyNumberFormat="1" applyFont="1" applyBorder="1" applyAlignment="1"/>
    <xf numFmtId="165" fontId="9" fillId="0" borderId="79" xfId="0" applyNumberFormat="1" applyFont="1" applyFill="1" applyBorder="1" applyAlignment="1">
      <alignment horizontal="right"/>
    </xf>
    <xf numFmtId="10" fontId="9" fillId="0" borderId="79" xfId="0" applyNumberFormat="1" applyFont="1" applyFill="1" applyBorder="1" applyAlignment="1">
      <alignment horizontal="right"/>
    </xf>
    <xf numFmtId="170" fontId="9" fillId="0" borderId="95" xfId="0" applyNumberFormat="1" applyFont="1" applyFill="1" applyBorder="1" applyAlignment="1" applyProtection="1">
      <alignment horizontal="right"/>
      <protection locked="0"/>
    </xf>
    <xf numFmtId="41" fontId="9" fillId="0" borderId="79" xfId="0" applyNumberFormat="1" applyFont="1" applyFill="1" applyBorder="1" applyAlignment="1" applyProtection="1">
      <alignment horizontal="right"/>
      <protection locked="0"/>
    </xf>
    <xf numFmtId="41" fontId="9" fillId="0" borderId="97" xfId="0" applyNumberFormat="1" applyFont="1" applyFill="1" applyBorder="1" applyAlignment="1"/>
    <xf numFmtId="37" fontId="9" fillId="0" borderId="79" xfId="0" applyNumberFormat="1" applyFont="1" applyFill="1" applyBorder="1" applyAlignment="1"/>
    <xf numFmtId="178" fontId="9" fillId="0" borderId="79" xfId="0" applyFont="1" applyFill="1" applyBorder="1" applyAlignment="1">
      <alignment horizontal="left" vertical="top"/>
    </xf>
    <xf numFmtId="41" fontId="9" fillId="0" borderId="79" xfId="0" applyNumberFormat="1" applyFont="1" applyFill="1" applyBorder="1" applyAlignment="1">
      <alignment wrapText="1"/>
    </xf>
    <xf numFmtId="41" fontId="9" fillId="0" borderId="94" xfId="0" applyNumberFormat="1" applyFont="1" applyBorder="1" applyAlignment="1"/>
    <xf numFmtId="173" fontId="9" fillId="0" borderId="79" xfId="0" applyNumberFormat="1" applyFont="1" applyFill="1" applyBorder="1" applyAlignment="1" applyProtection="1">
      <protection locked="0"/>
    </xf>
    <xf numFmtId="42" fontId="9" fillId="0" borderId="95" xfId="0" applyNumberFormat="1" applyFont="1" applyFill="1" applyBorder="1" applyAlignment="1"/>
    <xf numFmtId="41" fontId="9" fillId="0" borderId="79" xfId="0" applyNumberFormat="1" applyFont="1" applyFill="1" applyBorder="1" applyAlignment="1">
      <alignment horizontal="right"/>
    </xf>
    <xf numFmtId="174" fontId="9" fillId="0" borderId="19" xfId="0" applyNumberFormat="1" applyFont="1" applyBorder="1" applyAlignment="1"/>
    <xf numFmtId="41" fontId="21" fillId="0" borderId="5" xfId="0" applyNumberFormat="1" applyFont="1" applyFill="1" applyBorder="1" applyAlignment="1" applyProtection="1">
      <protection locked="0"/>
    </xf>
    <xf numFmtId="178" fontId="208" fillId="0" borderId="0" xfId="0" applyFont="1" applyFill="1" applyBorder="1" applyAlignment="1"/>
    <xf numFmtId="174" fontId="209" fillId="0" borderId="0" xfId="0" applyNumberFormat="1" applyFont="1" applyFill="1" applyBorder="1" applyAlignment="1"/>
    <xf numFmtId="174" fontId="209" fillId="0" borderId="95" xfId="0" applyNumberFormat="1" applyFont="1" applyFill="1" applyBorder="1" applyAlignment="1">
      <alignment horizontal="right"/>
    </xf>
    <xf numFmtId="184" fontId="209" fillId="0" borderId="0" xfId="0" applyNumberFormat="1" applyFont="1" applyFill="1" applyBorder="1" applyAlignment="1"/>
    <xf numFmtId="174" fontId="209" fillId="0" borderId="0" xfId="0" applyNumberFormat="1" applyFont="1" applyAlignment="1"/>
    <xf numFmtId="173" fontId="209" fillId="0" borderId="0" xfId="0" applyNumberFormat="1" applyFont="1" applyFill="1" applyAlignment="1">
      <alignment horizontal="right"/>
    </xf>
    <xf numFmtId="173" fontId="209" fillId="0" borderId="0" xfId="0" applyNumberFormat="1" applyFont="1" applyAlignment="1"/>
    <xf numFmtId="174" fontId="209" fillId="0" borderId="95" xfId="0" applyNumberFormat="1" applyFont="1" applyFill="1" applyBorder="1" applyAlignment="1"/>
    <xf numFmtId="184" fontId="209" fillId="0" borderId="95" xfId="0" applyNumberFormat="1" applyFont="1" applyBorder="1" applyAlignment="1"/>
    <xf numFmtId="184" fontId="160" fillId="0" borderId="95" xfId="0" applyNumberFormat="1" applyFont="1" applyBorder="1" applyAlignment="1"/>
    <xf numFmtId="184" fontId="209" fillId="0" borderId="0" xfId="0" applyNumberFormat="1" applyFont="1" applyBorder="1" applyAlignment="1"/>
    <xf numFmtId="0" fontId="208" fillId="0" borderId="0" xfId="0" applyNumberFormat="1" applyFont="1" applyFill="1" applyAlignment="1">
      <alignment horizontal="right"/>
    </xf>
    <xf numFmtId="223" fontId="10" fillId="0" borderId="14" xfId="0" applyNumberFormat="1" applyFont="1" applyFill="1" applyBorder="1" applyAlignment="1">
      <alignment horizontal="right"/>
    </xf>
    <xf numFmtId="49" fontId="21" fillId="0" borderId="0" xfId="0" applyNumberFormat="1" applyFont="1" applyFill="1" applyAlignment="1">
      <alignment horizontal="center" vertical="center"/>
    </xf>
    <xf numFmtId="0" fontId="21" fillId="0" borderId="0" xfId="0" applyNumberFormat="1" applyFont="1" applyFill="1" applyAlignment="1">
      <alignment horizontal="center" vertical="center"/>
    </xf>
    <xf numFmtId="0" fontId="21" fillId="0" borderId="0" xfId="0" quotePrefix="1" applyNumberFormat="1" applyFont="1" applyFill="1" applyAlignment="1">
      <alignment horizontal="center" vertical="center"/>
    </xf>
    <xf numFmtId="10" fontId="10" fillId="0" borderId="0" xfId="18252" applyNumberFormat="1" applyFont="1" applyFill="1" applyBorder="1" applyAlignment="1"/>
    <xf numFmtId="173" fontId="9" fillId="0" borderId="0" xfId="1" applyNumberFormat="1" applyFont="1" applyAlignment="1"/>
    <xf numFmtId="42" fontId="10" fillId="0" borderId="15" xfId="0" applyNumberFormat="1" applyFont="1" applyFill="1" applyBorder="1" applyAlignment="1" applyProtection="1">
      <alignment horizontal="center"/>
      <protection locked="0"/>
    </xf>
    <xf numFmtId="173" fontId="0" fillId="0" borderId="0" xfId="1" applyNumberFormat="1" applyFont="1" applyAlignment="1"/>
    <xf numFmtId="42" fontId="10" fillId="0" borderId="0" xfId="0" applyNumberFormat="1" applyFont="1" applyFill="1" applyBorder="1" applyAlignment="1" applyProtection="1">
      <alignment horizontal="center"/>
      <protection locked="0"/>
    </xf>
    <xf numFmtId="0" fontId="0" fillId="0" borderId="0" xfId="0" applyNumberFormat="1" applyFont="1" applyAlignment="1">
      <alignment horizontal="right"/>
    </xf>
    <xf numFmtId="43" fontId="14" fillId="0" borderId="0" xfId="1" applyFont="1" applyFill="1" applyAlignment="1">
      <alignment horizontal="centerContinuous"/>
    </xf>
    <xf numFmtId="0" fontId="10" fillId="0" borderId="0" xfId="0" applyNumberFormat="1" applyFont="1" applyBorder="1" applyAlignment="1">
      <alignment horizontal="right"/>
    </xf>
    <xf numFmtId="223" fontId="10" fillId="0" borderId="0" xfId="0" applyNumberFormat="1" applyFont="1" applyFill="1" applyBorder="1" applyAlignment="1">
      <alignment horizontal="center"/>
    </xf>
    <xf numFmtId="0" fontId="9" fillId="0" borderId="0" xfId="0" applyNumberFormat="1" applyFont="1" applyFill="1" applyBorder="1" applyAlignment="1">
      <alignment horizontal="centerContinuous"/>
    </xf>
    <xf numFmtId="223" fontId="10" fillId="0" borderId="0" xfId="0" applyNumberFormat="1" applyFont="1" applyFill="1" applyBorder="1" applyAlignment="1"/>
    <xf numFmtId="174" fontId="10" fillId="0" borderId="0" xfId="21227" applyNumberFormat="1" applyFont="1" applyFill="1" applyAlignment="1"/>
    <xf numFmtId="42" fontId="10" fillId="0" borderId="0" xfId="0" applyNumberFormat="1" applyFont="1" applyFill="1" applyAlignment="1" applyProtection="1">
      <protection locked="0"/>
    </xf>
    <xf numFmtId="41" fontId="10" fillId="0" borderId="0" xfId="0" applyNumberFormat="1" applyFont="1" applyFill="1" applyAlignment="1" applyProtection="1">
      <protection locked="0"/>
    </xf>
    <xf numFmtId="173" fontId="10" fillId="0" borderId="0" xfId="0" applyNumberFormat="1" applyFont="1" applyFill="1" applyAlignment="1"/>
    <xf numFmtId="42" fontId="10" fillId="0" borderId="0" xfId="0" applyNumberFormat="1" applyFont="1" applyFill="1" applyAlignment="1"/>
    <xf numFmtId="178" fontId="21" fillId="0" borderId="0" xfId="0" applyFont="1" applyFill="1" applyBorder="1" applyAlignment="1"/>
    <xf numFmtId="42" fontId="21" fillId="0" borderId="0" xfId="0" applyNumberFormat="1" applyFont="1" applyFill="1" applyAlignment="1" applyProtection="1">
      <protection locked="0"/>
    </xf>
    <xf numFmtId="41" fontId="21" fillId="0" borderId="0" xfId="0" applyNumberFormat="1" applyFont="1" applyFill="1" applyAlignment="1" applyProtection="1">
      <protection locked="0"/>
    </xf>
    <xf numFmtId="173" fontId="21" fillId="0" borderId="0" xfId="0" applyNumberFormat="1" applyFont="1" applyFill="1" applyAlignment="1"/>
    <xf numFmtId="173" fontId="21" fillId="0" borderId="0" xfId="0" applyNumberFormat="1" applyFont="1" applyFill="1" applyBorder="1" applyAlignment="1"/>
    <xf numFmtId="41" fontId="21" fillId="0" borderId="0" xfId="0" applyNumberFormat="1" applyFont="1" applyFill="1" applyAlignment="1"/>
    <xf numFmtId="176" fontId="9" fillId="0" borderId="0" xfId="0" applyNumberFormat="1" applyFont="1" applyFill="1" applyAlignment="1" applyProtection="1">
      <alignment horizontal="left"/>
    </xf>
    <xf numFmtId="42" fontId="21" fillId="0" borderId="19" xfId="0" applyNumberFormat="1" applyFont="1" applyFill="1" applyBorder="1" applyAlignment="1" applyProtection="1">
      <protection locked="0"/>
    </xf>
    <xf numFmtId="174" fontId="0" fillId="0" borderId="0" xfId="0" applyNumberFormat="1" applyFont="1" applyAlignment="1"/>
    <xf numFmtId="174" fontId="10" fillId="0" borderId="0" xfId="21227" applyNumberFormat="1" applyFont="1" applyAlignment="1"/>
    <xf numFmtId="174" fontId="10" fillId="0" borderId="16" xfId="21227" applyNumberFormat="1" applyFont="1" applyFill="1" applyBorder="1" applyAlignment="1"/>
    <xf numFmtId="37" fontId="10" fillId="0" borderId="0" xfId="0" applyNumberFormat="1" applyFont="1" applyFill="1" applyAlignment="1">
      <alignment horizontal="right"/>
    </xf>
    <xf numFmtId="0" fontId="13" fillId="0" borderId="0" xfId="0" applyNumberFormat="1" applyFont="1" applyFill="1" applyAlignment="1"/>
    <xf numFmtId="0" fontId="13" fillId="0" borderId="0" xfId="0" applyNumberFormat="1" applyFont="1" applyFill="1" applyAlignment="1">
      <alignment horizontal="right"/>
    </xf>
    <xf numFmtId="0" fontId="44" fillId="0" borderId="0" xfId="0" applyNumberFormat="1" applyFont="1" applyFill="1" applyAlignment="1"/>
    <xf numFmtId="178" fontId="13" fillId="0" borderId="0" xfId="0" applyFont="1" applyFill="1" applyAlignment="1">
      <alignment horizontal="right"/>
    </xf>
    <xf numFmtId="0" fontId="13" fillId="0" borderId="0" xfId="0" applyNumberFormat="1" applyFont="1" applyFill="1" applyAlignment="1">
      <alignment horizontal="center"/>
    </xf>
    <xf numFmtId="178" fontId="13" fillId="0" borderId="0" xfId="0" applyFont="1" applyFill="1" applyAlignment="1">
      <alignment horizontal="center" wrapText="1"/>
    </xf>
    <xf numFmtId="178" fontId="13" fillId="0" borderId="0" xfId="0" applyFont="1" applyFill="1" applyBorder="1" applyAlignment="1">
      <alignment horizontal="center"/>
    </xf>
    <xf numFmtId="178" fontId="13" fillId="0" borderId="0" xfId="0" applyFont="1" applyFill="1" applyAlignment="1"/>
    <xf numFmtId="0" fontId="13" fillId="0" borderId="79" xfId="0" applyNumberFormat="1" applyFont="1" applyFill="1" applyBorder="1" applyAlignment="1">
      <alignment horizontal="center"/>
    </xf>
    <xf numFmtId="178" fontId="13" fillId="0" borderId="79" xfId="0" applyFont="1" applyFill="1" applyBorder="1" applyAlignment="1"/>
    <xf numFmtId="178" fontId="13" fillId="0" borderId="79" xfId="0" applyFont="1" applyFill="1" applyBorder="1" applyAlignment="1">
      <alignment horizontal="center"/>
    </xf>
    <xf numFmtId="178" fontId="211" fillId="0" borderId="79" xfId="0" applyFont="1" applyFill="1" applyBorder="1" applyAlignment="1">
      <alignment horizontal="center"/>
    </xf>
    <xf numFmtId="16" fontId="13" fillId="0" borderId="79" xfId="0" applyNumberFormat="1" applyFont="1" applyFill="1" applyBorder="1" applyAlignment="1">
      <alignment horizontal="center"/>
    </xf>
    <xf numFmtId="0" fontId="44" fillId="0" borderId="0" xfId="0" applyNumberFormat="1" applyFont="1" applyFill="1" applyAlignment="1">
      <alignment horizontal="center"/>
    </xf>
    <xf numFmtId="173" fontId="44" fillId="0" borderId="0" xfId="13423" applyNumberFormat="1" applyFont="1" applyFill="1"/>
    <xf numFmtId="173" fontId="44" fillId="0" borderId="0" xfId="13423" applyNumberFormat="1" applyFont="1" applyFill="1" applyBorder="1"/>
    <xf numFmtId="178" fontId="44" fillId="0" borderId="0" xfId="0" applyFont="1" applyFill="1" applyAlignment="1"/>
    <xf numFmtId="173" fontId="44" fillId="0" borderId="0" xfId="13423" quotePrefix="1" applyNumberFormat="1" applyFont="1" applyFill="1" applyBorder="1" applyAlignment="1">
      <alignment horizontal="center"/>
    </xf>
    <xf numFmtId="173" fontId="44" fillId="0" borderId="95" xfId="13423" applyNumberFormat="1" applyFont="1" applyFill="1" applyBorder="1"/>
    <xf numFmtId="178" fontId="44" fillId="0" borderId="0" xfId="0" quotePrefix="1" applyFont="1" applyFill="1" applyAlignment="1">
      <alignment horizontal="center"/>
    </xf>
    <xf numFmtId="178" fontId="44" fillId="0" borderId="0" xfId="0" applyFont="1" applyFill="1" applyBorder="1" applyAlignment="1"/>
    <xf numFmtId="41" fontId="44" fillId="0" borderId="95" xfId="0" applyNumberFormat="1" applyFont="1" applyFill="1" applyBorder="1" applyAlignment="1"/>
    <xf numFmtId="41" fontId="44" fillId="0" borderId="0" xfId="0" applyNumberFormat="1" applyFont="1" applyFill="1" applyBorder="1" applyAlignment="1"/>
    <xf numFmtId="178" fontId="13" fillId="0" borderId="0" xfId="0" applyFont="1" applyFill="1" applyBorder="1" applyAlignment="1"/>
    <xf numFmtId="173" fontId="44" fillId="0" borderId="0" xfId="0" applyNumberFormat="1" applyFont="1" applyFill="1" applyBorder="1" applyAlignment="1"/>
    <xf numFmtId="178" fontId="44" fillId="0" borderId="97" xfId="0" applyFont="1" applyFill="1" applyBorder="1" applyAlignment="1"/>
    <xf numFmtId="174" fontId="44" fillId="0" borderId="114" xfId="890" applyNumberFormat="1" applyFont="1" applyFill="1" applyBorder="1"/>
    <xf numFmtId="42" fontId="44" fillId="0" borderId="0" xfId="0" applyNumberFormat="1" applyFont="1" applyFill="1" applyBorder="1" applyAlignment="1"/>
    <xf numFmtId="10" fontId="44" fillId="0" borderId="0" xfId="21300" applyNumberFormat="1" applyFont="1" applyFill="1" applyBorder="1"/>
    <xf numFmtId="178" fontId="212" fillId="0" borderId="0" xfId="0" applyFont="1" applyFill="1" applyAlignment="1">
      <alignment horizontal="left"/>
    </xf>
    <xf numFmtId="173" fontId="44" fillId="0" borderId="0" xfId="1" applyNumberFormat="1" applyFont="1" applyFill="1"/>
    <xf numFmtId="173" fontId="44" fillId="0" borderId="0" xfId="1" applyNumberFormat="1" applyFont="1" applyFill="1" applyBorder="1" applyAlignment="1"/>
    <xf numFmtId="173" fontId="44" fillId="0" borderId="0" xfId="1" applyNumberFormat="1" applyFont="1" applyFill="1" applyAlignment="1"/>
    <xf numFmtId="173" fontId="13" fillId="0" borderId="0" xfId="1" applyNumberFormat="1" applyFont="1" applyFill="1" applyBorder="1" applyAlignment="1">
      <alignment horizontal="center" wrapText="1"/>
    </xf>
    <xf numFmtId="173" fontId="13" fillId="0" borderId="79" xfId="1" applyNumberFormat="1" applyFont="1" applyFill="1" applyBorder="1" applyAlignment="1">
      <alignment horizontal="center"/>
    </xf>
    <xf numFmtId="173" fontId="44" fillId="0" borderId="95" xfId="1" applyNumberFormat="1" applyFont="1" applyFill="1" applyBorder="1"/>
    <xf numFmtId="173" fontId="44" fillId="0" borderId="0" xfId="1" applyNumberFormat="1" applyFont="1" applyFill="1" applyBorder="1"/>
    <xf numFmtId="173" fontId="44" fillId="0" borderId="97" xfId="1" applyNumberFormat="1" applyFont="1" applyFill="1" applyBorder="1" applyAlignment="1"/>
    <xf numFmtId="0" fontId="10" fillId="0" borderId="0" xfId="0" applyNumberFormat="1" applyFont="1" applyFill="1" applyAlignment="1">
      <alignment horizontal="center"/>
    </xf>
    <xf numFmtId="0" fontId="10" fillId="0" borderId="0" xfId="0" applyNumberFormat="1" applyFont="1" applyAlignment="1">
      <alignment horizontal="center"/>
    </xf>
    <xf numFmtId="0" fontId="10" fillId="0" borderId="0" xfId="0" applyNumberFormat="1" applyFont="1" applyFill="1" applyAlignment="1" applyProtection="1">
      <alignment horizontal="center"/>
      <protection locked="0"/>
    </xf>
    <xf numFmtId="165" fontId="9" fillId="0" borderId="0" xfId="18252" applyNumberFormat="1" applyFont="1" applyFill="1" applyAlignment="1"/>
    <xf numFmtId="178" fontId="21" fillId="0" borderId="0" xfId="0" applyFont="1" applyFill="1" applyBorder="1" applyAlignment="1">
      <alignment horizontal="center"/>
    </xf>
    <xf numFmtId="42" fontId="21" fillId="0" borderId="79" xfId="0" applyNumberFormat="1" applyFont="1" applyFill="1" applyBorder="1" applyAlignment="1"/>
    <xf numFmtId="42" fontId="21" fillId="0" borderId="0" xfId="0" applyNumberFormat="1" applyFont="1" applyFill="1" applyAlignment="1" applyProtection="1">
      <alignment horizontal="right"/>
      <protection locked="0"/>
    </xf>
    <xf numFmtId="41" fontId="21" fillId="0" borderId="95" xfId="0" applyNumberFormat="1" applyFont="1" applyFill="1" applyBorder="1" applyAlignment="1"/>
    <xf numFmtId="41" fontId="21" fillId="0" borderId="0" xfId="0" applyNumberFormat="1" applyFont="1" applyAlignment="1"/>
    <xf numFmtId="42" fontId="21" fillId="0" borderId="94" xfId="0" applyNumberFormat="1" applyFont="1" applyBorder="1" applyAlignment="1"/>
    <xf numFmtId="170" fontId="21" fillId="0" borderId="0" xfId="0" applyNumberFormat="1" applyFont="1" applyFill="1" applyBorder="1" applyAlignment="1" applyProtection="1">
      <protection locked="0"/>
    </xf>
    <xf numFmtId="10" fontId="21" fillId="0" borderId="0" xfId="0" applyNumberFormat="1" applyFont="1" applyFill="1" applyAlignment="1">
      <alignment horizontal="center"/>
    </xf>
    <xf numFmtId="173" fontId="21" fillId="0" borderId="79" xfId="0" applyNumberFormat="1" applyFont="1" applyFill="1" applyBorder="1" applyAlignment="1"/>
    <xf numFmtId="37" fontId="21" fillId="0" borderId="0" xfId="0" applyNumberFormat="1" applyFont="1" applyFill="1" applyBorder="1" applyAlignment="1"/>
    <xf numFmtId="174" fontId="9" fillId="0" borderId="0" xfId="0" applyNumberFormat="1" applyFont="1" applyBorder="1" applyAlignment="1"/>
    <xf numFmtId="41" fontId="21" fillId="0" borderId="79" xfId="0" applyNumberFormat="1" applyFont="1" applyFill="1" applyBorder="1" applyAlignment="1"/>
    <xf numFmtId="170" fontId="21" fillId="0" borderId="79" xfId="0" applyNumberFormat="1" applyFont="1" applyFill="1" applyBorder="1" applyAlignment="1" applyProtection="1">
      <protection locked="0"/>
    </xf>
    <xf numFmtId="41" fontId="21" fillId="0" borderId="95" xfId="0" applyNumberFormat="1" applyFont="1" applyBorder="1" applyAlignment="1"/>
    <xf numFmtId="42" fontId="21" fillId="0" borderId="19" xfId="0" applyNumberFormat="1" applyFont="1" applyBorder="1" applyAlignment="1"/>
    <xf numFmtId="178" fontId="0" fillId="0" borderId="0" xfId="0" applyFont="1" applyFill="1" applyAlignment="1"/>
    <xf numFmtId="178" fontId="0" fillId="0" borderId="95" xfId="0" applyFont="1" applyFill="1" applyBorder="1" applyAlignment="1"/>
    <xf numFmtId="41" fontId="21" fillId="0" borderId="79" xfId="1" applyNumberFormat="1" applyFont="1" applyFill="1" applyBorder="1"/>
    <xf numFmtId="41" fontId="21" fillId="0" borderId="79" xfId="0" applyNumberFormat="1" applyFont="1" applyFill="1" applyBorder="1" applyAlignment="1" applyProtection="1">
      <protection locked="0"/>
    </xf>
    <xf numFmtId="0" fontId="210" fillId="0" borderId="0" xfId="0" applyNumberFormat="1" applyFont="1" applyFill="1" applyAlignment="1"/>
    <xf numFmtId="37" fontId="21" fillId="0" borderId="0" xfId="0" applyNumberFormat="1" applyFont="1" applyFill="1" applyAlignment="1"/>
    <xf numFmtId="178" fontId="0" fillId="0" borderId="0" xfId="0" applyFont="1" applyAlignment="1"/>
    <xf numFmtId="42" fontId="21" fillId="0" borderId="95" xfId="0" applyNumberFormat="1" applyFont="1" applyFill="1" applyBorder="1" applyAlignment="1" applyProtection="1">
      <protection locked="0"/>
    </xf>
    <xf numFmtId="37" fontId="21" fillId="0" borderId="0" xfId="0" applyNumberFormat="1" applyFont="1" applyFill="1" applyBorder="1" applyAlignment="1" applyProtection="1">
      <protection locked="0"/>
    </xf>
    <xf numFmtId="42" fontId="21" fillId="0" borderId="19" xfId="0" applyNumberFormat="1" applyFont="1" applyFill="1" applyBorder="1" applyAlignment="1"/>
    <xf numFmtId="4" fontId="0" fillId="0" borderId="0" xfId="0" applyNumberFormat="1" applyFont="1" applyAlignment="1"/>
    <xf numFmtId="3" fontId="21" fillId="0" borderId="0" xfId="0" applyNumberFormat="1" applyFont="1" applyFill="1" applyAlignment="1"/>
    <xf numFmtId="174" fontId="21" fillId="0" borderId="0" xfId="21227" applyNumberFormat="1" applyFont="1" applyFill="1" applyBorder="1" applyAlignment="1"/>
    <xf numFmtId="174" fontId="9" fillId="0" borderId="0" xfId="21227" applyNumberFormat="1" applyFont="1"/>
    <xf numFmtId="42" fontId="21" fillId="0" borderId="0" xfId="0" applyNumberFormat="1" applyFont="1">
      <alignment horizontal="left" wrapText="1"/>
    </xf>
    <xf numFmtId="173" fontId="9" fillId="0" borderId="0" xfId="1" applyNumberFormat="1" applyFont="1"/>
    <xf numFmtId="42" fontId="21" fillId="0" borderId="95" xfId="0" applyNumberFormat="1" applyFont="1" applyBorder="1" applyAlignment="1" applyProtection="1">
      <protection locked="0"/>
    </xf>
    <xf numFmtId="41" fontId="21" fillId="0" borderId="0" xfId="0" applyNumberFormat="1" applyFont="1">
      <alignment horizontal="left" wrapText="1"/>
    </xf>
    <xf numFmtId="42" fontId="21" fillId="0" borderId="0" xfId="0" applyNumberFormat="1" applyFont="1" applyFill="1" applyAlignment="1"/>
    <xf numFmtId="174" fontId="21" fillId="0" borderId="95" xfId="21227" applyNumberFormat="1" applyFont="1" applyFill="1" applyBorder="1" applyAlignment="1"/>
    <xf numFmtId="41" fontId="21" fillId="0" borderId="42" xfId="0" applyNumberFormat="1" applyFont="1" applyBorder="1">
      <alignment horizontal="left" wrapText="1"/>
    </xf>
    <xf numFmtId="174" fontId="21" fillId="0" borderId="19" xfId="21227" applyNumberFormat="1" applyFont="1" applyFill="1" applyBorder="1" applyAlignment="1"/>
    <xf numFmtId="174" fontId="21" fillId="0" borderId="0" xfId="21227" applyNumberFormat="1" applyFont="1" applyAlignment="1" applyProtection="1">
      <protection locked="0"/>
    </xf>
    <xf numFmtId="173" fontId="21" fillId="0" borderId="18" xfId="0" applyNumberFormat="1" applyFont="1" applyFill="1" applyBorder="1" applyAlignment="1"/>
    <xf numFmtId="3" fontId="21" fillId="0" borderId="95" xfId="0" applyNumberFormat="1" applyFont="1" applyFill="1" applyBorder="1" applyAlignment="1"/>
    <xf numFmtId="174" fontId="21" fillId="0" borderId="0" xfId="21227" applyNumberFormat="1" applyFont="1" applyBorder="1" applyAlignment="1">
      <alignment horizontal="left" wrapText="1"/>
    </xf>
    <xf numFmtId="174" fontId="21" fillId="0" borderId="19" xfId="0" applyNumberFormat="1" applyFont="1" applyFill="1" applyBorder="1" applyAlignment="1"/>
    <xf numFmtId="173" fontId="21" fillId="0" borderId="0" xfId="0" applyNumberFormat="1" applyFont="1" applyAlignment="1"/>
    <xf numFmtId="178" fontId="207" fillId="0" borderId="0" xfId="0" applyFont="1" applyAlignment="1"/>
    <xf numFmtId="42" fontId="21" fillId="0" borderId="96" xfId="0" applyNumberFormat="1" applyFont="1" applyBorder="1">
      <alignment horizontal="left" wrapText="1"/>
    </xf>
    <xf numFmtId="173" fontId="21" fillId="0" borderId="2" xfId="0" applyNumberFormat="1" applyFont="1" applyFill="1" applyBorder="1" applyAlignment="1"/>
    <xf numFmtId="37" fontId="9" fillId="0" borderId="0" xfId="0" applyNumberFormat="1" applyFont="1" applyFill="1" applyBorder="1" applyAlignment="1" applyProtection="1">
      <alignment horizontal="left"/>
    </xf>
    <xf numFmtId="37" fontId="9" fillId="0" borderId="0" xfId="0" applyNumberFormat="1" applyFont="1" applyFill="1" applyBorder="1" applyAlignment="1" applyProtection="1">
      <alignment horizontal="center"/>
    </xf>
    <xf numFmtId="37" fontId="9" fillId="0" borderId="0" xfId="0" applyNumberFormat="1" applyFont="1" applyFill="1" applyAlignment="1" applyProtection="1">
      <alignment horizontal="left"/>
    </xf>
    <xf numFmtId="0" fontId="9" fillId="0" borderId="0" xfId="0" applyNumberFormat="1" applyFont="1" applyFill="1" applyAlignment="1">
      <alignment horizontal="left" indent="5"/>
    </xf>
    <xf numFmtId="10" fontId="9" fillId="0" borderId="0" xfId="0" applyNumberFormat="1" applyFont="1" applyFill="1" applyBorder="1" applyAlignment="1" applyProtection="1">
      <alignment horizontal="right"/>
    </xf>
    <xf numFmtId="37" fontId="9" fillId="0" borderId="0" xfId="0" applyNumberFormat="1" applyFont="1" applyFill="1" applyBorder="1" applyAlignment="1" applyProtection="1">
      <alignment horizontal="right"/>
    </xf>
    <xf numFmtId="173" fontId="9" fillId="0" borderId="0" xfId="0" quotePrefix="1" applyNumberFormat="1" applyFont="1" applyFill="1" applyBorder="1" applyAlignment="1"/>
    <xf numFmtId="178" fontId="15" fillId="0" borderId="0" xfId="0" applyFont="1" applyFill="1" applyAlignment="1">
      <alignment horizontal="right"/>
    </xf>
    <xf numFmtId="175" fontId="9" fillId="0" borderId="0" xfId="0" applyNumberFormat="1" applyFont="1" applyFill="1" applyAlignment="1" applyProtection="1"/>
    <xf numFmtId="174" fontId="21" fillId="0" borderId="12" xfId="0" applyNumberFormat="1" applyFont="1" applyFill="1" applyBorder="1" applyAlignment="1"/>
    <xf numFmtId="178" fontId="21" fillId="0" borderId="0" xfId="0" applyFont="1" applyFill="1" applyBorder="1" applyAlignment="1">
      <alignment horizontal="left" vertical="center"/>
    </xf>
    <xf numFmtId="0" fontId="10" fillId="0" borderId="0" xfId="0" applyNumberFormat="1" applyFont="1" applyFill="1" applyAlignment="1" applyProtection="1">
      <alignment horizontal="center"/>
      <protection locked="0"/>
    </xf>
    <xf numFmtId="178" fontId="213" fillId="0" borderId="79" xfId="0" applyFont="1" applyFill="1" applyBorder="1" applyAlignment="1"/>
    <xf numFmtId="173" fontId="44" fillId="0" borderId="97" xfId="13423" applyNumberFormat="1" applyFont="1" applyFill="1" applyBorder="1"/>
    <xf numFmtId="174" fontId="13" fillId="0" borderId="44" xfId="890" applyNumberFormat="1" applyFont="1" applyFill="1" applyBorder="1"/>
    <xf numFmtId="41" fontId="44" fillId="0" borderId="97" xfId="0" applyNumberFormat="1" applyFont="1" applyFill="1" applyBorder="1" applyAlignment="1"/>
    <xf numFmtId="0" fontId="10" fillId="0" borderId="79" xfId="0" applyNumberFormat="1" applyFont="1" applyFill="1" applyBorder="1" applyAlignment="1">
      <alignment horizontal="left"/>
    </xf>
    <xf numFmtId="174" fontId="18" fillId="0" borderId="0" xfId="890" applyNumberFormat="1" applyFont="1" applyFill="1" applyAlignment="1">
      <alignment horizontal="left" wrapText="1"/>
    </xf>
    <xf numFmtId="0" fontId="14" fillId="61" borderId="0" xfId="14780" applyNumberFormat="1" applyFill="1" applyAlignment="1"/>
    <xf numFmtId="0" fontId="18" fillId="61" borderId="0" xfId="14780" applyNumberFormat="1" applyFont="1" applyFill="1" applyAlignment="1">
      <alignment horizontal="center" wrapText="1"/>
    </xf>
    <xf numFmtId="0" fontId="18" fillId="61" borderId="0" xfId="14780" applyNumberFormat="1" applyFont="1" applyFill="1" applyAlignment="1"/>
    <xf numFmtId="174" fontId="0" fillId="0" borderId="0" xfId="890" applyNumberFormat="1" applyFont="1" applyFill="1" applyAlignment="1">
      <alignment horizontal="left" wrapText="1"/>
    </xf>
    <xf numFmtId="173" fontId="0" fillId="0" borderId="0" xfId="13423" applyNumberFormat="1" applyFont="1" applyFill="1" applyAlignment="1">
      <alignment horizontal="left" wrapText="1"/>
    </xf>
    <xf numFmtId="173" fontId="18" fillId="0" borderId="0" xfId="13423" applyNumberFormat="1" applyFont="1" applyFill="1" applyAlignment="1">
      <alignment horizontal="left" wrapText="1"/>
    </xf>
    <xf numFmtId="174" fontId="0" fillId="61" borderId="0" xfId="890" applyNumberFormat="1" applyFont="1" applyFill="1" applyAlignment="1"/>
    <xf numFmtId="178" fontId="14" fillId="0" borderId="0" xfId="14780" applyFill="1">
      <alignment horizontal="left" wrapText="1"/>
    </xf>
    <xf numFmtId="10" fontId="14" fillId="0" borderId="0" xfId="21301" applyFont="1" applyBorder="1"/>
    <xf numFmtId="183" fontId="0" fillId="0" borderId="0" xfId="13423" applyNumberFormat="1" applyFont="1" applyFill="1" applyAlignment="1">
      <alignment horizontal="left" wrapText="1"/>
    </xf>
    <xf numFmtId="43" fontId="18" fillId="0" borderId="0" xfId="13423" applyFont="1" applyFill="1" applyAlignment="1">
      <alignment horizontal="left" wrapText="1"/>
    </xf>
    <xf numFmtId="178" fontId="18" fillId="0" borderId="0" xfId="14780" applyFont="1" applyFill="1">
      <alignment horizontal="left" wrapText="1"/>
    </xf>
    <xf numFmtId="174" fontId="23" fillId="0" borderId="0" xfId="890" applyNumberFormat="1" applyFont="1" applyFill="1" applyAlignment="1">
      <alignment horizontal="left" wrapText="1"/>
    </xf>
    <xf numFmtId="174" fontId="14" fillId="0" borderId="0" xfId="14780" applyNumberFormat="1" applyFont="1" applyFill="1">
      <alignment horizontal="left" wrapText="1"/>
    </xf>
    <xf numFmtId="0" fontId="18" fillId="61" borderId="0" xfId="14780" applyNumberFormat="1" applyFont="1" applyFill="1" applyAlignment="1">
      <alignment wrapText="1"/>
    </xf>
    <xf numFmtId="0" fontId="14" fillId="0" borderId="0" xfId="14780" applyNumberFormat="1" applyFill="1" applyBorder="1" applyAlignment="1"/>
    <xf numFmtId="183" fontId="18" fillId="0" borderId="0" xfId="13423" applyNumberFormat="1" applyFont="1" applyFill="1" applyAlignment="1">
      <alignment horizontal="left" wrapText="1"/>
    </xf>
    <xf numFmtId="173" fontId="0" fillId="61" borderId="0" xfId="13423" applyNumberFormat="1" applyFont="1" applyFill="1" applyAlignment="1"/>
    <xf numFmtId="173" fontId="18" fillId="61" borderId="0" xfId="13423" applyNumberFormat="1" applyFont="1" applyFill="1" applyAlignment="1"/>
    <xf numFmtId="0" fontId="14" fillId="61" borderId="28" xfId="14780" applyNumberFormat="1" applyFill="1" applyBorder="1" applyAlignment="1"/>
    <xf numFmtId="174" fontId="0" fillId="0" borderId="28" xfId="890" applyNumberFormat="1" applyFont="1" applyFill="1" applyBorder="1" applyAlignment="1">
      <alignment horizontal="left" wrapText="1"/>
    </xf>
    <xf numFmtId="178" fontId="0" fillId="0" borderId="0" xfId="0" applyFill="1">
      <alignment horizontal="left" wrapText="1"/>
    </xf>
    <xf numFmtId="178" fontId="18" fillId="0" borderId="0" xfId="0" applyFont="1" applyFill="1">
      <alignment horizontal="left" wrapText="1"/>
    </xf>
    <xf numFmtId="0" fontId="0" fillId="61" borderId="0" xfId="0" applyNumberFormat="1" applyFill="1" applyAlignment="1"/>
    <xf numFmtId="173" fontId="16" fillId="61" borderId="0" xfId="1" applyNumberFormat="1" applyFont="1" applyFill="1" applyAlignment="1"/>
    <xf numFmtId="173" fontId="16" fillId="61" borderId="0" xfId="1" applyNumberFormat="1" applyFont="1" applyFill="1" applyAlignment="1">
      <alignment horizontal="center" wrapText="1"/>
    </xf>
    <xf numFmtId="173" fontId="16" fillId="61" borderId="0" xfId="1" applyNumberFormat="1" applyFont="1" applyFill="1" applyAlignment="1">
      <alignment wrapText="1"/>
    </xf>
    <xf numFmtId="0" fontId="214" fillId="0" borderId="0" xfId="0" applyNumberFormat="1" applyFont="1" applyAlignment="1"/>
    <xf numFmtId="0" fontId="214" fillId="0" borderId="0" xfId="0" applyNumberFormat="1" applyFont="1" applyAlignment="1">
      <alignment horizontal="center"/>
    </xf>
    <xf numFmtId="0" fontId="215" fillId="0" borderId="0" xfId="0" applyNumberFormat="1" applyFont="1" applyAlignment="1">
      <alignment horizontal="centerContinuous"/>
    </xf>
    <xf numFmtId="0" fontId="214" fillId="0" borderId="0" xfId="0" applyNumberFormat="1" applyFont="1" applyAlignment="1">
      <alignment horizontal="centerContinuous"/>
    </xf>
    <xf numFmtId="0" fontId="216" fillId="0" borderId="0" xfId="0" applyNumberFormat="1" applyFont="1" applyAlignment="1">
      <alignment horizontal="centerContinuous"/>
    </xf>
    <xf numFmtId="0" fontId="215" fillId="0" borderId="0" xfId="0" applyNumberFormat="1" applyFont="1" applyAlignment="1"/>
    <xf numFmtId="0" fontId="214" fillId="0" borderId="8" xfId="0" applyNumberFormat="1" applyFont="1" applyBorder="1" applyAlignment="1">
      <alignment horizontal="center"/>
    </xf>
    <xf numFmtId="167" fontId="214" fillId="0" borderId="13" xfId="0" applyNumberFormat="1" applyFont="1" applyBorder="1" applyAlignment="1">
      <alignment horizontal="center"/>
    </xf>
    <xf numFmtId="0" fontId="217" fillId="0" borderId="0" xfId="0" applyNumberFormat="1" applyFont="1" applyAlignment="1"/>
    <xf numFmtId="0" fontId="214" fillId="0" borderId="0" xfId="0" applyNumberFormat="1" applyFont="1" applyAlignment="1">
      <alignment horizontal="center" vertical="center"/>
    </xf>
    <xf numFmtId="14" fontId="214" fillId="0" borderId="0" xfId="0" applyNumberFormat="1" applyFont="1" applyAlignment="1">
      <alignment horizontal="center"/>
    </xf>
    <xf numFmtId="0" fontId="214" fillId="0" borderId="35" xfId="0" applyNumberFormat="1" applyFont="1" applyBorder="1" applyAlignment="1">
      <alignment horizontal="center"/>
    </xf>
    <xf numFmtId="0" fontId="214" fillId="0" borderId="35" xfId="0" applyNumberFormat="1" applyFont="1" applyBorder="1" applyAlignment="1"/>
    <xf numFmtId="174" fontId="214" fillId="0" borderId="35" xfId="21227" applyNumberFormat="1" applyFont="1" applyBorder="1" applyAlignment="1"/>
    <xf numFmtId="174" fontId="218" fillId="0" borderId="35" xfId="21227" applyNumberFormat="1" applyFont="1" applyBorder="1" applyAlignment="1"/>
    <xf numFmtId="173" fontId="214" fillId="0" borderId="0" xfId="0" applyNumberFormat="1" applyFont="1" applyAlignment="1"/>
    <xf numFmtId="173" fontId="214" fillId="0" borderId="0" xfId="0" applyNumberFormat="1" applyFont="1" applyFill="1" applyAlignment="1"/>
    <xf numFmtId="173" fontId="217" fillId="0" borderId="0" xfId="0" applyNumberFormat="1" applyFont="1" applyFill="1" applyBorder="1" applyAlignment="1"/>
    <xf numFmtId="173" fontId="218" fillId="0" borderId="0" xfId="0" applyNumberFormat="1" applyFont="1" applyAlignment="1"/>
    <xf numFmtId="173" fontId="218" fillId="0" borderId="0" xfId="0" applyNumberFormat="1" applyFont="1" applyFill="1" applyAlignment="1"/>
    <xf numFmtId="0" fontId="214" fillId="0" borderId="0" xfId="0" applyNumberFormat="1" applyFont="1" applyFill="1" applyAlignment="1">
      <alignment horizontal="center"/>
    </xf>
    <xf numFmtId="0" fontId="214" fillId="0" borderId="0" xfId="0" applyNumberFormat="1" applyFont="1" applyFill="1" applyAlignment="1"/>
    <xf numFmtId="173" fontId="217" fillId="0" borderId="0" xfId="0" applyNumberFormat="1" applyFont="1" applyAlignment="1"/>
    <xf numFmtId="0" fontId="214" fillId="0" borderId="0" xfId="0" applyNumberFormat="1" applyFont="1" applyFill="1" applyAlignment="1">
      <alignment horizontal="left"/>
    </xf>
    <xf numFmtId="173" fontId="214" fillId="0" borderId="2" xfId="0" applyNumberFormat="1" applyFont="1" applyFill="1" applyBorder="1" applyAlignment="1"/>
    <xf numFmtId="173" fontId="214" fillId="0" borderId="0" xfId="0" applyNumberFormat="1" applyFont="1" applyFill="1" applyBorder="1" applyAlignment="1"/>
    <xf numFmtId="173" fontId="218" fillId="0" borderId="2" xfId="0" applyNumberFormat="1" applyFont="1" applyFill="1" applyBorder="1" applyAlignment="1"/>
    <xf numFmtId="173" fontId="218" fillId="0" borderId="2" xfId="0" applyNumberFormat="1" applyFont="1" applyBorder="1" applyAlignment="1"/>
    <xf numFmtId="0" fontId="217" fillId="0" borderId="0" xfId="0" applyNumberFormat="1" applyFont="1" applyAlignment="1">
      <alignment horizontal="right"/>
    </xf>
    <xf numFmtId="0" fontId="214" fillId="0" borderId="0" xfId="0" applyNumberFormat="1" applyFont="1" applyAlignment="1">
      <alignment horizontal="right"/>
    </xf>
    <xf numFmtId="0" fontId="214" fillId="0" borderId="0" xfId="0" applyNumberFormat="1" applyFont="1" applyAlignment="1">
      <alignment horizontal="left"/>
    </xf>
    <xf numFmtId="174" fontId="214" fillId="0" borderId="19" xfId="21227" applyNumberFormat="1" applyFont="1" applyBorder="1" applyAlignment="1"/>
    <xf numFmtId="174" fontId="218" fillId="0" borderId="19" xfId="21227" applyNumberFormat="1" applyFont="1" applyBorder="1" applyAlignment="1"/>
    <xf numFmtId="43" fontId="0" fillId="0" borderId="0" xfId="0" applyNumberFormat="1" applyFont="1" applyAlignment="1"/>
    <xf numFmtId="0" fontId="10" fillId="0" borderId="0" xfId="0" applyNumberFormat="1" applyFont="1" applyFill="1" applyAlignment="1" applyProtection="1">
      <alignment horizontal="center"/>
      <protection locked="0"/>
    </xf>
    <xf numFmtId="0" fontId="10" fillId="0" borderId="0" xfId="0" applyNumberFormat="1" applyFont="1" applyFill="1" applyAlignment="1">
      <alignment horizontal="center"/>
    </xf>
    <xf numFmtId="0" fontId="10" fillId="0" borderId="0" xfId="0" applyNumberFormat="1" applyFont="1" applyFill="1" applyAlignment="1" applyProtection="1">
      <alignment horizontal="center"/>
      <protection locked="0"/>
    </xf>
    <xf numFmtId="0" fontId="10" fillId="0" borderId="0" xfId="0" applyNumberFormat="1" applyFont="1" applyFill="1" applyAlignment="1">
      <alignment horizontal="center" vertical="center" wrapText="1"/>
    </xf>
    <xf numFmtId="0" fontId="10" fillId="0" borderId="79" xfId="0" applyNumberFormat="1" applyFont="1" applyFill="1" applyBorder="1" applyAlignment="1">
      <alignment horizontal="center"/>
    </xf>
    <xf numFmtId="0" fontId="10" fillId="0" borderId="79" xfId="0" applyNumberFormat="1" applyFont="1" applyFill="1" applyBorder="1" applyAlignment="1"/>
    <xf numFmtId="0" fontId="10" fillId="0" borderId="79" xfId="0" applyNumberFormat="1" applyFont="1" applyFill="1" applyBorder="1" applyAlignment="1" applyProtection="1">
      <alignment horizontal="center"/>
      <protection locked="0"/>
    </xf>
    <xf numFmtId="173" fontId="9" fillId="0" borderId="0" xfId="1" applyNumberFormat="1" applyFont="1" applyFill="1" applyAlignment="1">
      <alignment horizontal="left"/>
    </xf>
    <xf numFmtId="174" fontId="9" fillId="0" borderId="96" xfId="21297" applyNumberFormat="1" applyFont="1" applyFill="1" applyBorder="1" applyAlignment="1"/>
    <xf numFmtId="174" fontId="9" fillId="0" borderId="0" xfId="21297" applyNumberFormat="1" applyFont="1" applyFill="1" applyBorder="1" applyAlignment="1"/>
    <xf numFmtId="41" fontId="9" fillId="0" borderId="95" xfId="8" applyNumberFormat="1" applyFont="1" applyFill="1" applyBorder="1"/>
    <xf numFmtId="174" fontId="9" fillId="0" borderId="96" xfId="15172" applyNumberFormat="1" applyFont="1" applyFill="1" applyBorder="1" applyAlignment="1"/>
    <xf numFmtId="174" fontId="13" fillId="0" borderId="7" xfId="890" applyNumberFormat="1" applyFont="1" applyFill="1" applyBorder="1"/>
    <xf numFmtId="174" fontId="214" fillId="0" borderId="95" xfId="21227" applyNumberFormat="1" applyFont="1" applyFill="1" applyBorder="1" applyAlignment="1"/>
    <xf numFmtId="42" fontId="10" fillId="0" borderId="19" xfId="0" applyNumberFormat="1" applyFont="1" applyFill="1" applyBorder="1" applyAlignment="1" applyProtection="1">
      <protection locked="0"/>
    </xf>
    <xf numFmtId="49" fontId="21" fillId="0" borderId="0" xfId="0" applyNumberFormat="1" applyFont="1" applyFill="1" applyAlignment="1"/>
    <xf numFmtId="0" fontId="21" fillId="0" borderId="0" xfId="0" applyNumberFormat="1" applyFont="1" applyFill="1" applyAlignment="1">
      <alignment horizontal="fill"/>
    </xf>
    <xf numFmtId="178" fontId="10" fillId="0" borderId="0" xfId="0" applyFont="1" applyFill="1" applyBorder="1" applyAlignment="1"/>
    <xf numFmtId="41" fontId="10" fillId="0" borderId="0" xfId="0" applyNumberFormat="1" applyFont="1" applyFill="1" applyBorder="1" applyAlignment="1" applyProtection="1">
      <protection locked="0"/>
    </xf>
    <xf numFmtId="173" fontId="10" fillId="0" borderId="0" xfId="0" applyNumberFormat="1" applyFont="1" applyFill="1" applyBorder="1" applyAlignment="1"/>
    <xf numFmtId="173" fontId="17" fillId="0" borderId="0" xfId="1" applyNumberFormat="1" applyFont="1" applyAlignment="1"/>
    <xf numFmtId="42" fontId="21" fillId="0" borderId="0" xfId="6" applyNumberFormat="1" applyFont="1" applyFill="1" applyAlignment="1" applyProtection="1">
      <protection locked="0"/>
    </xf>
    <xf numFmtId="173" fontId="21" fillId="0" borderId="0" xfId="6" applyNumberFormat="1" applyFont="1" applyFill="1" applyAlignment="1"/>
    <xf numFmtId="173" fontId="21" fillId="0" borderId="0" xfId="546" applyNumberFormat="1" applyFont="1" applyFill="1" applyAlignment="1" applyProtection="1">
      <protection locked="0"/>
    </xf>
    <xf numFmtId="173" fontId="21" fillId="0" borderId="0" xfId="6" applyNumberFormat="1" applyFont="1" applyFill="1" applyBorder="1" applyAlignment="1"/>
    <xf numFmtId="41" fontId="21" fillId="0" borderId="95" xfId="6" applyNumberFormat="1" applyFont="1" applyFill="1" applyBorder="1" applyAlignment="1" applyProtection="1">
      <protection locked="0"/>
    </xf>
    <xf numFmtId="173" fontId="9" fillId="0" borderId="0" xfId="6" applyNumberFormat="1" applyFont="1" applyFill="1" applyAlignment="1"/>
    <xf numFmtId="173" fontId="9" fillId="0" borderId="79" xfId="6" applyNumberFormat="1" applyFont="1" applyFill="1" applyBorder="1" applyAlignment="1"/>
    <xf numFmtId="41" fontId="21" fillId="0" borderId="0" xfId="6" applyNumberFormat="1" applyFont="1" applyFill="1" applyBorder="1" applyAlignment="1" applyProtection="1">
      <protection locked="0"/>
    </xf>
    <xf numFmtId="173" fontId="21" fillId="0" borderId="0" xfId="6" applyNumberFormat="1" applyFont="1" applyFill="1" applyBorder="1" applyAlignment="1" applyProtection="1">
      <protection locked="0"/>
    </xf>
    <xf numFmtId="173" fontId="9" fillId="0" borderId="0" xfId="6" applyNumberFormat="1" applyFont="1" applyFill="1" applyBorder="1" applyAlignment="1" applyProtection="1">
      <protection locked="0"/>
    </xf>
    <xf numFmtId="41" fontId="9" fillId="0" borderId="0" xfId="6" applyNumberFormat="1" applyFont="1" applyFill="1" applyBorder="1" applyAlignment="1" applyProtection="1">
      <protection locked="0"/>
    </xf>
    <xf numFmtId="41" fontId="9" fillId="0" borderId="79" xfId="6" applyNumberFormat="1" applyFont="1" applyFill="1" applyBorder="1" applyAlignment="1" applyProtection="1">
      <protection locked="0"/>
    </xf>
    <xf numFmtId="42" fontId="9" fillId="0" borderId="0" xfId="6" applyNumberFormat="1" applyFont="1" applyFill="1" applyAlignment="1"/>
    <xf numFmtId="174" fontId="21" fillId="0" borderId="0" xfId="571" applyNumberFormat="1" applyFont="1" applyFill="1" applyAlignment="1"/>
    <xf numFmtId="10" fontId="9" fillId="0" borderId="0" xfId="0" applyNumberFormat="1" applyFont="1" applyFill="1" applyBorder="1" applyAlignment="1" applyProtection="1">
      <protection locked="0"/>
    </xf>
    <xf numFmtId="10" fontId="10" fillId="0" borderId="0" xfId="0" applyNumberFormat="1" applyFont="1" applyFill="1" applyBorder="1" applyAlignment="1" applyProtection="1">
      <protection locked="0"/>
    </xf>
    <xf numFmtId="42" fontId="10" fillId="0" borderId="0" xfId="0" applyNumberFormat="1" applyFont="1" applyFill="1" applyBorder="1" applyAlignment="1" applyProtection="1">
      <protection locked="0"/>
    </xf>
    <xf numFmtId="0" fontId="10" fillId="0" borderId="0" xfId="0" applyNumberFormat="1" applyFont="1" applyBorder="1" applyAlignment="1"/>
    <xf numFmtId="49" fontId="9" fillId="0" borderId="0" xfId="21302" applyNumberFormat="1" applyFont="1" applyFill="1" applyAlignment="1"/>
    <xf numFmtId="0" fontId="9" fillId="0" borderId="0" xfId="21302" applyNumberFormat="1" applyFont="1" applyFill="1" applyAlignment="1"/>
    <xf numFmtId="0" fontId="9" fillId="0" borderId="0" xfId="21302" applyNumberFormat="1" applyFont="1" applyFill="1" applyBorder="1" applyAlignment="1"/>
    <xf numFmtId="0" fontId="15" fillId="0" borderId="0" xfId="21302" applyNumberFormat="1" applyFont="1" applyAlignment="1"/>
    <xf numFmtId="0" fontId="10" fillId="0" borderId="0" xfId="21302" applyNumberFormat="1" applyFont="1" applyAlignment="1">
      <alignment horizontal="right"/>
    </xf>
    <xf numFmtId="0" fontId="9" fillId="0" borderId="0" xfId="21302" applyNumberFormat="1" applyFont="1" applyAlignment="1"/>
    <xf numFmtId="0" fontId="10" fillId="0" borderId="0" xfId="21302" applyNumberFormat="1" applyFont="1" applyFill="1" applyAlignment="1"/>
    <xf numFmtId="0" fontId="10" fillId="0" borderId="0" xfId="21302" applyNumberFormat="1" applyFont="1" applyFill="1" applyAlignment="1">
      <alignment horizontal="right"/>
    </xf>
    <xf numFmtId="0" fontId="10" fillId="0" borderId="0" xfId="21302" quotePrefix="1" applyNumberFormat="1" applyFont="1" applyFill="1" applyAlignment="1">
      <alignment horizontal="left"/>
    </xf>
    <xf numFmtId="0" fontId="15" fillId="0" borderId="0" xfId="21302" applyNumberFormat="1" applyFont="1" applyFill="1" applyAlignment="1"/>
    <xf numFmtId="0" fontId="10" fillId="0" borderId="0" xfId="21302" applyNumberFormat="1" applyFont="1" applyFill="1" applyBorder="1" applyAlignment="1">
      <alignment horizontal="right"/>
    </xf>
    <xf numFmtId="0" fontId="10" fillId="0" borderId="0" xfId="21302" applyNumberFormat="1" applyFont="1" applyFill="1" applyBorder="1" applyAlignment="1">
      <alignment horizontal="center"/>
    </xf>
    <xf numFmtId="0" fontId="10" fillId="0" borderId="0" xfId="21302" applyNumberFormat="1" applyFont="1" applyFill="1" applyAlignment="1">
      <alignment horizontal="centerContinuous"/>
    </xf>
    <xf numFmtId="49" fontId="10" fillId="0" borderId="0" xfId="21302" applyNumberFormat="1" applyFont="1" applyFill="1" applyAlignment="1"/>
    <xf numFmtId="0" fontId="10" fillId="0" borderId="0" xfId="21302" quotePrefix="1" applyNumberFormat="1" applyFont="1" applyFill="1" applyAlignment="1">
      <alignment horizontal="centerContinuous" vertical="center"/>
    </xf>
    <xf numFmtId="0" fontId="10" fillId="0" borderId="0" xfId="21302" applyNumberFormat="1" applyFont="1" applyFill="1" applyAlignment="1">
      <alignment horizontal="fill"/>
    </xf>
    <xf numFmtId="0" fontId="10" fillId="0" borderId="0" xfId="21302" quotePrefix="1" applyNumberFormat="1" applyFont="1" applyFill="1" applyAlignment="1">
      <alignment horizontal="fill"/>
    </xf>
    <xf numFmtId="0" fontId="219" fillId="0" borderId="0" xfId="21302" applyNumberFormat="1" applyFont="1" applyFill="1" applyAlignment="1">
      <alignment horizontal="fill"/>
    </xf>
    <xf numFmtId="0" fontId="208" fillId="0" borderId="0" xfId="21302" applyNumberFormat="1" applyFont="1" applyFill="1" applyAlignment="1">
      <alignment horizontal="center"/>
    </xf>
    <xf numFmtId="0" fontId="220" fillId="0" borderId="0" xfId="21302" applyNumberFormat="1" applyFont="1" applyFill="1" applyAlignment="1">
      <alignment horizontal="center"/>
    </xf>
    <xf numFmtId="0" fontId="219" fillId="0" borderId="0" xfId="21302" applyNumberFormat="1" applyFont="1" applyFill="1" applyAlignment="1">
      <alignment horizontal="center"/>
    </xf>
    <xf numFmtId="0" fontId="21" fillId="0" borderId="0" xfId="21302" applyNumberFormat="1" applyFont="1" applyAlignment="1">
      <alignment horizontal="center"/>
    </xf>
    <xf numFmtId="0" fontId="10" fillId="0" borderId="0" xfId="21302" applyNumberFormat="1" applyFont="1" applyFill="1" applyAlignment="1">
      <alignment horizontal="center" vertical="center" wrapText="1"/>
    </xf>
    <xf numFmtId="49" fontId="10" fillId="0" borderId="0" xfId="21302" applyNumberFormat="1" applyFont="1" applyFill="1" applyAlignment="1">
      <alignment horizontal="center"/>
    </xf>
    <xf numFmtId="0" fontId="10" fillId="0" borderId="0" xfId="21302" applyNumberFormat="1" applyFont="1" applyFill="1" applyAlignment="1">
      <alignment horizontal="center" wrapText="1"/>
    </xf>
    <xf numFmtId="0" fontId="10" fillId="0" borderId="0" xfId="21302" quotePrefix="1" applyNumberFormat="1" applyFont="1" applyFill="1" applyAlignment="1">
      <alignment horizontal="center"/>
    </xf>
    <xf numFmtId="2" fontId="10" fillId="0" borderId="0" xfId="21302" applyNumberFormat="1" applyFont="1" applyFill="1" applyAlignment="1" applyProtection="1">
      <alignment horizontal="center"/>
      <protection locked="0"/>
    </xf>
    <xf numFmtId="49" fontId="9" fillId="0" borderId="0" xfId="21302" applyNumberFormat="1" applyFont="1" applyFill="1" applyAlignment="1">
      <alignment horizontal="fill"/>
    </xf>
    <xf numFmtId="0" fontId="9" fillId="0" borderId="0" xfId="21302" applyNumberFormat="1" applyFont="1" applyFill="1" applyAlignment="1">
      <alignment horizontal="fill"/>
    </xf>
    <xf numFmtId="0" fontId="9" fillId="0" borderId="0" xfId="21302" applyNumberFormat="1" applyFont="1" applyFill="1" applyAlignment="1" applyProtection="1">
      <alignment horizontal="fill"/>
      <protection locked="0"/>
    </xf>
    <xf numFmtId="0" fontId="9" fillId="0" borderId="0" xfId="21302" applyNumberFormat="1" applyFont="1" applyFill="1" applyAlignment="1">
      <alignment horizontal="center"/>
    </xf>
    <xf numFmtId="0" fontId="9" fillId="0" borderId="0" xfId="21302" applyNumberFormat="1" applyFont="1" applyFill="1" applyAlignment="1">
      <alignment horizontal="left"/>
    </xf>
    <xf numFmtId="170" fontId="9" fillId="0" borderId="0" xfId="21302" applyNumberFormat="1" applyFont="1" applyFill="1" applyAlignment="1" applyProtection="1">
      <protection locked="0"/>
    </xf>
    <xf numFmtId="170" fontId="9" fillId="0" borderId="0" xfId="21302" applyNumberFormat="1" applyFont="1" applyFill="1" applyAlignment="1"/>
    <xf numFmtId="0" fontId="9" fillId="0" borderId="0" xfId="21302" applyNumberFormat="1" applyFont="1" applyFill="1" applyAlignment="1" applyProtection="1">
      <protection locked="0"/>
    </xf>
    <xf numFmtId="42" fontId="9" fillId="0" borderId="0" xfId="21302" applyNumberFormat="1" applyFont="1" applyFill="1" applyAlignment="1" applyProtection="1">
      <protection locked="0"/>
    </xf>
    <xf numFmtId="42" fontId="208" fillId="0" borderId="0" xfId="21302" applyNumberFormat="1" applyFont="1" applyFill="1" applyAlignment="1" applyProtection="1">
      <protection locked="0"/>
    </xf>
    <xf numFmtId="42" fontId="21" fillId="0" borderId="0" xfId="21302" applyNumberFormat="1" applyFont="1" applyFill="1" applyAlignment="1" applyProtection="1">
      <protection locked="0"/>
    </xf>
    <xf numFmtId="41" fontId="9" fillId="0" borderId="0" xfId="21302" applyNumberFormat="1" applyFont="1" applyFill="1" applyAlignment="1" applyProtection="1">
      <protection locked="0"/>
    </xf>
    <xf numFmtId="173" fontId="9" fillId="0" borderId="0" xfId="21302" applyNumberFormat="1" applyFont="1" applyFill="1" applyAlignment="1"/>
    <xf numFmtId="41" fontId="208" fillId="0" borderId="0" xfId="21302" applyNumberFormat="1" applyFont="1" applyFill="1" applyAlignment="1" applyProtection="1">
      <protection locked="0"/>
    </xf>
    <xf numFmtId="173" fontId="21" fillId="0" borderId="0" xfId="21302" applyNumberFormat="1" applyFont="1" applyFill="1" applyAlignment="1"/>
    <xf numFmtId="173" fontId="21" fillId="0" borderId="0" xfId="21303" applyNumberFormat="1" applyFont="1" applyFill="1" applyAlignment="1" applyProtection="1">
      <protection locked="0"/>
    </xf>
    <xf numFmtId="173" fontId="208" fillId="0" borderId="0" xfId="21302" applyNumberFormat="1" applyFont="1" applyFill="1" applyAlignment="1"/>
    <xf numFmtId="41" fontId="9" fillId="0" borderId="0" xfId="21302" applyNumberFormat="1" applyFont="1" applyFill="1" applyBorder="1" applyAlignment="1" applyProtection="1">
      <protection locked="0"/>
    </xf>
    <xf numFmtId="41" fontId="208" fillId="0" borderId="0" xfId="21302" applyNumberFormat="1" applyFont="1" applyFill="1" applyBorder="1" applyAlignment="1" applyProtection="1">
      <protection locked="0"/>
    </xf>
    <xf numFmtId="173" fontId="9" fillId="0" borderId="0" xfId="21302" applyNumberFormat="1" applyFont="1" applyFill="1" applyBorder="1" applyAlignment="1"/>
    <xf numFmtId="173" fontId="208" fillId="0" borderId="0" xfId="21302" applyNumberFormat="1" applyFont="1" applyFill="1" applyBorder="1" applyAlignment="1"/>
    <xf numFmtId="173" fontId="21" fillId="0" borderId="0" xfId="21302" applyNumberFormat="1" applyFont="1" applyFill="1" applyBorder="1" applyAlignment="1"/>
    <xf numFmtId="41" fontId="9" fillId="0" borderId="95" xfId="21302" applyNumberFormat="1" applyFont="1" applyFill="1" applyBorder="1" applyAlignment="1" applyProtection="1">
      <protection locked="0"/>
    </xf>
    <xf numFmtId="41" fontId="208" fillId="0" borderId="95" xfId="21302" applyNumberFormat="1" applyFont="1" applyFill="1" applyBorder="1" applyAlignment="1" applyProtection="1">
      <protection locked="0"/>
    </xf>
    <xf numFmtId="173" fontId="9" fillId="0" borderId="95" xfId="21302" applyNumberFormat="1" applyFont="1" applyFill="1" applyBorder="1" applyAlignment="1"/>
    <xf numFmtId="173" fontId="208" fillId="0" borderId="14" xfId="21302" applyNumberFormat="1" applyFont="1" applyFill="1" applyBorder="1" applyAlignment="1"/>
    <xf numFmtId="41" fontId="21" fillId="0" borderId="95" xfId="21302" applyNumberFormat="1" applyFont="1" applyFill="1" applyBorder="1" applyAlignment="1" applyProtection="1">
      <protection locked="0"/>
    </xf>
    <xf numFmtId="41" fontId="9" fillId="0" borderId="0" xfId="21302" applyNumberFormat="1" applyFont="1" applyFill="1" applyAlignment="1"/>
    <xf numFmtId="41" fontId="9" fillId="0" borderId="79" xfId="21302" applyNumberFormat="1" applyFont="1" applyFill="1" applyBorder="1" applyAlignment="1" applyProtection="1">
      <protection locked="0"/>
    </xf>
    <xf numFmtId="41" fontId="21" fillId="0" borderId="79" xfId="21302" applyNumberFormat="1" applyFont="1" applyFill="1" applyBorder="1" applyAlignment="1" applyProtection="1">
      <protection locked="0"/>
    </xf>
    <xf numFmtId="173" fontId="9" fillId="0" borderId="79" xfId="21302" applyNumberFormat="1" applyFont="1" applyFill="1" applyBorder="1" applyAlignment="1"/>
    <xf numFmtId="0" fontId="9" fillId="0" borderId="0" xfId="21302" quotePrefix="1" applyNumberFormat="1" applyFont="1" applyFill="1" applyAlignment="1">
      <alignment horizontal="left"/>
    </xf>
    <xf numFmtId="37" fontId="9" fillId="0" borderId="0" xfId="21302" applyNumberFormat="1" applyFont="1" applyFill="1" applyAlignment="1"/>
    <xf numFmtId="41" fontId="21" fillId="0" borderId="0" xfId="21302" applyNumberFormat="1" applyFont="1" applyFill="1" applyBorder="1" applyAlignment="1" applyProtection="1">
      <protection locked="0"/>
    </xf>
    <xf numFmtId="173" fontId="21" fillId="0" borderId="0" xfId="21302" applyNumberFormat="1" applyFont="1" applyFill="1" applyBorder="1" applyAlignment="1" applyProtection="1">
      <protection locked="0"/>
    </xf>
    <xf numFmtId="37" fontId="9" fillId="0" borderId="0" xfId="21302" applyNumberFormat="1" applyFont="1" applyFill="1" applyAlignment="1" applyProtection="1">
      <protection locked="0"/>
    </xf>
    <xf numFmtId="173" fontId="9" fillId="0" borderId="0" xfId="21302" applyNumberFormat="1" applyFont="1" applyFill="1" applyBorder="1" applyAlignment="1" applyProtection="1">
      <protection locked="0"/>
    </xf>
    <xf numFmtId="41" fontId="208" fillId="0" borderId="0" xfId="21302" applyNumberFormat="1" applyFont="1" applyFill="1" applyAlignment="1"/>
    <xf numFmtId="42" fontId="9" fillId="0" borderId="0" xfId="21302" applyNumberFormat="1" applyFont="1" applyFill="1" applyAlignment="1"/>
    <xf numFmtId="41" fontId="221" fillId="0" borderId="0" xfId="21302" applyNumberFormat="1" applyFont="1" applyFill="1" applyAlignment="1" applyProtection="1">
      <protection locked="0"/>
    </xf>
    <xf numFmtId="173" fontId="208" fillId="0" borderId="95" xfId="21302" applyNumberFormat="1" applyFont="1" applyFill="1" applyBorder="1" applyAlignment="1"/>
    <xf numFmtId="42" fontId="9" fillId="0" borderId="0" xfId="21302" applyNumberFormat="1" applyFont="1" applyFill="1" applyBorder="1" applyAlignment="1"/>
    <xf numFmtId="41" fontId="15" fillId="0" borderId="0" xfId="21302" applyNumberFormat="1" applyFont="1" applyAlignment="1"/>
    <xf numFmtId="174" fontId="9" fillId="0" borderId="0" xfId="21305" applyNumberFormat="1" applyFont="1" applyFill="1" applyAlignment="1"/>
    <xf numFmtId="174" fontId="208" fillId="0" borderId="0" xfId="21305" applyNumberFormat="1" applyFont="1" applyFill="1" applyAlignment="1"/>
    <xf numFmtId="174" fontId="21" fillId="0" borderId="0" xfId="21305" applyNumberFormat="1" applyFont="1" applyFill="1" applyAlignment="1"/>
    <xf numFmtId="42" fontId="15" fillId="0" borderId="0" xfId="21302" applyNumberFormat="1" applyFont="1" applyAlignment="1"/>
    <xf numFmtId="173" fontId="9" fillId="0" borderId="0" xfId="21303" applyNumberFormat="1" applyFont="1" applyAlignment="1"/>
    <xf numFmtId="42" fontId="9" fillId="0" borderId="0" xfId="21302" applyNumberFormat="1" applyFont="1" applyFill="1" applyAlignment="1">
      <alignment horizontal="left"/>
    </xf>
    <xf numFmtId="9" fontId="15" fillId="0" borderId="0" xfId="21304" applyFont="1" applyAlignment="1"/>
    <xf numFmtId="42" fontId="221" fillId="0" borderId="0" xfId="21302" applyNumberFormat="1" applyFont="1" applyFill="1" applyAlignment="1" applyProtection="1">
      <protection locked="0"/>
    </xf>
    <xf numFmtId="10" fontId="9" fillId="0" borderId="0" xfId="21302" applyNumberFormat="1" applyFont="1" applyFill="1" applyAlignment="1" applyProtection="1">
      <protection locked="0"/>
    </xf>
    <xf numFmtId="10" fontId="208" fillId="0" borderId="0" xfId="21302" applyNumberFormat="1" applyFont="1" applyFill="1" applyAlignment="1" applyProtection="1">
      <protection locked="0"/>
    </xf>
    <xf numFmtId="10" fontId="9" fillId="0" borderId="0" xfId="21302" applyNumberFormat="1" applyFont="1" applyFill="1" applyAlignment="1"/>
    <xf numFmtId="10" fontId="21" fillId="0" borderId="0" xfId="21302" applyNumberFormat="1" applyFont="1" applyFill="1" applyAlignment="1" applyProtection="1">
      <protection locked="0"/>
    </xf>
    <xf numFmtId="176" fontId="222" fillId="0" borderId="0" xfId="21302" applyNumberFormat="1" applyFont="1" applyFill="1" applyAlignment="1" applyProtection="1">
      <alignment horizontal="left"/>
    </xf>
    <xf numFmtId="41" fontId="21" fillId="0" borderId="0" xfId="21302" applyNumberFormat="1" applyFont="1" applyFill="1" applyAlignment="1" applyProtection="1">
      <protection locked="0"/>
    </xf>
    <xf numFmtId="42" fontId="9" fillId="0" borderId="96" xfId="21302" applyNumberFormat="1" applyFont="1" applyFill="1" applyBorder="1" applyAlignment="1" applyProtection="1">
      <protection locked="0"/>
    </xf>
    <xf numFmtId="42" fontId="208" fillId="0" borderId="96" xfId="21302" applyNumberFormat="1" applyFont="1" applyFill="1" applyBorder="1" applyAlignment="1" applyProtection="1">
      <protection locked="0"/>
    </xf>
    <xf numFmtId="42" fontId="9" fillId="0" borderId="0" xfId="21302" applyNumberFormat="1" applyFont="1" applyFill="1" applyBorder="1" applyAlignment="1" applyProtection="1">
      <protection locked="0"/>
    </xf>
    <xf numFmtId="42" fontId="21" fillId="0" borderId="0" xfId="21302" applyNumberFormat="1" applyFont="1" applyFill="1" applyBorder="1" applyAlignment="1" applyProtection="1">
      <protection locked="0"/>
    </xf>
    <xf numFmtId="178" fontId="9" fillId="0" borderId="0" xfId="21302" applyFont="1" applyFill="1" applyAlignment="1">
      <alignment horizontal="left"/>
    </xf>
    <xf numFmtId="178" fontId="208" fillId="0" borderId="0" xfId="21302" applyFont="1" applyFill="1" applyBorder="1" applyAlignment="1"/>
    <xf numFmtId="37" fontId="9" fillId="0" borderId="0" xfId="21302" applyNumberFormat="1" applyFont="1" applyFill="1" applyAlignment="1">
      <alignment horizontal="right"/>
    </xf>
    <xf numFmtId="174" fontId="10" fillId="0" borderId="0" xfId="21305" applyNumberFormat="1" applyFont="1" applyAlignment="1"/>
    <xf numFmtId="6" fontId="9" fillId="0" borderId="0" xfId="21302" applyNumberFormat="1" applyFont="1" applyFill="1" applyBorder="1" applyAlignment="1"/>
    <xf numFmtId="174" fontId="210" fillId="0" borderId="14" xfId="890" applyNumberFormat="1" applyFont="1" applyFill="1" applyBorder="1" applyAlignment="1">
      <alignment horizontal="left" wrapText="1"/>
    </xf>
    <xf numFmtId="173" fontId="44" fillId="0" borderId="79" xfId="1" applyNumberFormat="1" applyFont="1" applyFill="1" applyBorder="1"/>
    <xf numFmtId="10" fontId="44" fillId="0" borderId="0" xfId="18252" applyNumberFormat="1" applyFont="1" applyFill="1" applyAlignment="1"/>
    <xf numFmtId="41" fontId="10" fillId="0" borderId="0" xfId="0" applyNumberFormat="1" applyFont="1" applyFill="1" applyAlignment="1" applyProtection="1">
      <alignment horizontal="right"/>
      <protection locked="0"/>
    </xf>
    <xf numFmtId="173" fontId="9" fillId="0" borderId="0" xfId="1" applyNumberFormat="1" applyFont="1" applyFill="1" applyBorder="1" applyAlignment="1" applyProtection="1">
      <alignment horizontal="right"/>
    </xf>
    <xf numFmtId="173" fontId="9" fillId="0" borderId="0" xfId="1" applyNumberFormat="1" applyFont="1" applyFill="1" applyBorder="1" applyAlignment="1" applyProtection="1">
      <alignment horizontal="left"/>
      <protection locked="0"/>
    </xf>
    <xf numFmtId="41" fontId="9" fillId="0" borderId="35" xfId="0" applyNumberFormat="1" applyFont="1" applyFill="1" applyBorder="1" applyAlignment="1" applyProtection="1">
      <alignment horizontal="right"/>
      <protection locked="0"/>
    </xf>
    <xf numFmtId="0" fontId="10" fillId="0" borderId="97" xfId="0" applyNumberFormat="1" applyFont="1" applyFill="1" applyBorder="1" applyAlignment="1">
      <alignment horizontal="centerContinuous" vertical="center" wrapText="1"/>
    </xf>
    <xf numFmtId="174" fontId="9" fillId="0" borderId="79" xfId="0" applyNumberFormat="1" applyFont="1" applyFill="1" applyBorder="1" applyAlignment="1" applyProtection="1">
      <alignment horizontal="left"/>
      <protection locked="0"/>
    </xf>
    <xf numFmtId="41" fontId="9" fillId="0" borderId="33" xfId="0" applyNumberFormat="1" applyFont="1" applyFill="1" applyBorder="1" applyAlignment="1"/>
    <xf numFmtId="42" fontId="9" fillId="0" borderId="12" xfId="0" applyNumberFormat="1" applyFont="1" applyFill="1" applyBorder="1" applyAlignment="1"/>
    <xf numFmtId="0" fontId="13" fillId="0" borderId="0" xfId="0" applyNumberFormat="1" applyFont="1" applyFill="1" applyAlignment="1" applyProtection="1">
      <protection locked="0"/>
    </xf>
    <xf numFmtId="178" fontId="13" fillId="0" borderId="14" xfId="0" applyFont="1" applyFill="1" applyBorder="1" applyAlignment="1">
      <alignment horizontal="center" wrapText="1"/>
    </xf>
    <xf numFmtId="173" fontId="9" fillId="0" borderId="0" xfId="1" applyNumberFormat="1" applyFont="1" applyFill="1" applyAlignment="1"/>
    <xf numFmtId="0" fontId="32" fillId="0" borderId="0" xfId="15986" applyNumberFormat="1" applyFont="1" applyFill="1" applyAlignment="1">
      <alignment horizontal="center"/>
    </xf>
    <xf numFmtId="0" fontId="9" fillId="0" borderId="0" xfId="15986" applyFont="1" applyFill="1" applyBorder="1" applyAlignment="1" applyProtection="1">
      <alignment horizontal="left"/>
      <protection locked="0"/>
    </xf>
    <xf numFmtId="0" fontId="9" fillId="0" borderId="0" xfId="15986" applyFont="1" applyFill="1" applyAlignment="1"/>
    <xf numFmtId="0" fontId="9" fillId="0" borderId="0" xfId="15986" applyFont="1" applyFill="1" applyAlignment="1">
      <alignment horizontal="left" wrapText="1"/>
    </xf>
    <xf numFmtId="9" fontId="0" fillId="0" borderId="0" xfId="18252" applyFont="1" applyAlignment="1"/>
    <xf numFmtId="0" fontId="10" fillId="0" borderId="0" xfId="0" applyNumberFormat="1" applyFont="1" applyFill="1" applyAlignment="1">
      <alignment horizontal="center"/>
    </xf>
    <xf numFmtId="0" fontId="10" fillId="0" borderId="0" xfId="21302" applyNumberFormat="1" applyFont="1" applyFill="1" applyAlignment="1">
      <alignment horizontal="center"/>
    </xf>
    <xf numFmtId="10" fontId="9" fillId="0" borderId="10" xfId="0" applyNumberFormat="1" applyFont="1" applyFill="1" applyBorder="1" applyAlignment="1"/>
    <xf numFmtId="10" fontId="9" fillId="0" borderId="110" xfId="0" applyNumberFormat="1" applyFont="1" applyFill="1" applyBorder="1" applyAlignment="1"/>
    <xf numFmtId="223" fontId="10" fillId="0" borderId="0" xfId="21302" applyNumberFormat="1" applyFont="1" applyFill="1" applyBorder="1" applyAlignment="1">
      <alignment horizontal="center"/>
    </xf>
    <xf numFmtId="0" fontId="13" fillId="0" borderId="24" xfId="0" applyNumberFormat="1" applyFont="1" applyBorder="1" applyAlignment="1"/>
    <xf numFmtId="0" fontId="13" fillId="0" borderId="0" xfId="0" applyNumberFormat="1" applyFont="1" applyBorder="1" applyAlignment="1"/>
    <xf numFmtId="0" fontId="13" fillId="0" borderId="25" xfId="0" applyNumberFormat="1" applyFont="1" applyBorder="1" applyAlignment="1"/>
    <xf numFmtId="0" fontId="13" fillId="96" borderId="24" xfId="0" applyNumberFormat="1" applyFont="1" applyFill="1" applyBorder="1" applyAlignment="1"/>
    <xf numFmtId="0" fontId="13" fillId="96" borderId="0" xfId="0" applyNumberFormat="1" applyFont="1" applyFill="1" applyBorder="1" applyAlignment="1"/>
    <xf numFmtId="0" fontId="13" fillId="96" borderId="25" xfId="0" applyNumberFormat="1" applyFont="1" applyFill="1" applyBorder="1" applyAlignment="1"/>
    <xf numFmtId="0" fontId="13" fillId="0" borderId="26" xfId="0" applyNumberFormat="1" applyFont="1" applyBorder="1" applyAlignment="1"/>
    <xf numFmtId="0" fontId="13" fillId="0" borderId="3" xfId="0" applyNumberFormat="1" applyFont="1" applyBorder="1" applyAlignment="1"/>
    <xf numFmtId="0" fontId="13" fillId="0" borderId="27" xfId="0" applyNumberFormat="1" applyFont="1" applyBorder="1" applyAlignment="1"/>
    <xf numFmtId="0" fontId="15" fillId="0" borderId="0" xfId="0" applyNumberFormat="1" applyFont="1" applyFill="1" applyBorder="1" applyAlignment="1"/>
    <xf numFmtId="0" fontId="183" fillId="0" borderId="0" xfId="0" applyNumberFormat="1" applyFont="1" applyFill="1" applyAlignment="1"/>
    <xf numFmtId="42" fontId="15" fillId="0" borderId="0" xfId="0" applyNumberFormat="1" applyFont="1" applyAlignment="1"/>
    <xf numFmtId="10" fontId="15" fillId="0" borderId="0" xfId="0" applyNumberFormat="1" applyFont="1" applyAlignment="1"/>
    <xf numFmtId="41" fontId="15" fillId="0" borderId="0" xfId="0" applyNumberFormat="1" applyFont="1" applyAlignment="1"/>
    <xf numFmtId="0" fontId="15" fillId="0" borderId="0" xfId="0" applyNumberFormat="1" applyFont="1" applyAlignment="1">
      <alignment wrapText="1"/>
    </xf>
    <xf numFmtId="170" fontId="15" fillId="0" borderId="0" xfId="0" applyNumberFormat="1" applyFont="1" applyAlignment="1"/>
    <xf numFmtId="173" fontId="15" fillId="0" borderId="0" xfId="0" applyNumberFormat="1" applyFont="1" applyAlignment="1"/>
    <xf numFmtId="0" fontId="15" fillId="0" borderId="79" xfId="0" applyNumberFormat="1" applyFont="1" applyBorder="1" applyAlignment="1"/>
    <xf numFmtId="0" fontId="15" fillId="0" borderId="79" xfId="0" applyNumberFormat="1" applyFont="1" applyBorder="1" applyAlignment="1">
      <alignment horizontal="center"/>
    </xf>
    <xf numFmtId="169" fontId="15" fillId="0" borderId="0" xfId="0" applyNumberFormat="1" applyFont="1" applyAlignment="1"/>
    <xf numFmtId="224" fontId="15" fillId="0" borderId="0" xfId="0" applyNumberFormat="1" applyFont="1" applyAlignment="1"/>
    <xf numFmtId="0" fontId="183" fillId="0" borderId="79" xfId="0" applyNumberFormat="1" applyFont="1" applyBorder="1" applyAlignment="1"/>
    <xf numFmtId="173" fontId="15" fillId="0" borderId="0" xfId="1" applyNumberFormat="1" applyFont="1" applyAlignment="1"/>
    <xf numFmtId="0" fontId="223" fillId="0" borderId="0" xfId="0" applyNumberFormat="1" applyFont="1" applyAlignment="1"/>
    <xf numFmtId="0" fontId="211" fillId="0" borderId="0" xfId="0" applyNumberFormat="1" applyFont="1" applyAlignment="1"/>
    <xf numFmtId="0" fontId="13" fillId="0" borderId="0" xfId="0" applyNumberFormat="1" applyFont="1" applyAlignment="1">
      <alignment horizontal="right"/>
    </xf>
    <xf numFmtId="0" fontId="15" fillId="0" borderId="0" xfId="0" applyNumberFormat="1" applyFont="1" applyAlignment="1">
      <alignment horizontal="right"/>
    </xf>
    <xf numFmtId="0" fontId="223" fillId="0" borderId="0" xfId="0" applyNumberFormat="1" applyFont="1" applyAlignment="1">
      <alignment horizontal="right"/>
    </xf>
    <xf numFmtId="2" fontId="224" fillId="0" borderId="0" xfId="0" applyNumberFormat="1" applyFont="1" applyAlignment="1">
      <alignment horizontal="center"/>
    </xf>
    <xf numFmtId="173" fontId="223" fillId="0" borderId="0" xfId="1" applyNumberFormat="1" applyFont="1" applyAlignment="1"/>
    <xf numFmtId="173" fontId="223" fillId="0" borderId="0" xfId="0" applyNumberFormat="1" applyFont="1" applyAlignment="1"/>
    <xf numFmtId="3" fontId="223" fillId="0" borderId="0" xfId="13491" applyNumberFormat="1" applyFont="1" applyAlignment="1"/>
    <xf numFmtId="0" fontId="223" fillId="0" borderId="30" xfId="0" applyNumberFormat="1" applyFont="1" applyBorder="1" applyAlignment="1">
      <alignment horizontal="center"/>
    </xf>
    <xf numFmtId="0" fontId="223" fillId="0" borderId="45" xfId="0" applyNumberFormat="1" applyFont="1" applyBorder="1" applyAlignment="1">
      <alignment horizontal="center"/>
    </xf>
    <xf numFmtId="0" fontId="211" fillId="0" borderId="98" xfId="0" applyNumberFormat="1" applyFont="1" applyBorder="1" applyAlignment="1">
      <alignment horizontal="center"/>
    </xf>
    <xf numFmtId="0" fontId="211" fillId="0" borderId="99" xfId="0" applyNumberFormat="1" applyFont="1" applyBorder="1" applyAlignment="1">
      <alignment horizontal="center"/>
    </xf>
    <xf numFmtId="0" fontId="223" fillId="0" borderId="101" xfId="0" applyNumberFormat="1" applyFont="1" applyBorder="1" applyAlignment="1">
      <alignment horizontal="center"/>
    </xf>
    <xf numFmtId="0" fontId="223" fillId="0" borderId="99" xfId="0" applyNumberFormat="1" applyFont="1" applyBorder="1" applyAlignment="1">
      <alignment horizontal="center"/>
    </xf>
    <xf numFmtId="0" fontId="223" fillId="0" borderId="102" xfId="0" applyNumberFormat="1" applyFont="1" applyBorder="1" applyAlignment="1">
      <alignment horizontal="center"/>
    </xf>
    <xf numFmtId="0" fontId="44" fillId="0" borderId="0" xfId="0" applyNumberFormat="1" applyFont="1" applyAlignment="1">
      <alignment horizontal="center"/>
    </xf>
    <xf numFmtId="0" fontId="44" fillId="0" borderId="15" xfId="0" quotePrefix="1" applyNumberFormat="1" applyFont="1" applyBorder="1" applyAlignment="1">
      <alignment horizontal="center"/>
    </xf>
    <xf numFmtId="0" fontId="183" fillId="0" borderId="14" xfId="0" applyNumberFormat="1" applyFont="1" applyBorder="1" applyAlignment="1"/>
    <xf numFmtId="0" fontId="15" fillId="0" borderId="92" xfId="0" applyNumberFormat="1" applyFont="1" applyBorder="1" applyAlignment="1"/>
    <xf numFmtId="0" fontId="15" fillId="0" borderId="36" xfId="0" applyNumberFormat="1" applyFont="1" applyBorder="1" applyAlignment="1"/>
    <xf numFmtId="0" fontId="223" fillId="0" borderId="103" xfId="0" applyNumberFormat="1" applyFont="1" applyBorder="1" applyAlignment="1">
      <alignment horizontal="center"/>
    </xf>
    <xf numFmtId="0" fontId="223" fillId="0" borderId="104" xfId="0" applyNumberFormat="1" applyFont="1" applyBorder="1" applyAlignment="1">
      <alignment horizontal="center"/>
    </xf>
    <xf numFmtId="2" fontId="224" fillId="0" borderId="10" xfId="0" applyNumberFormat="1" applyFont="1" applyBorder="1" applyAlignment="1">
      <alignment horizontal="center"/>
    </xf>
    <xf numFmtId="0" fontId="223" fillId="0" borderId="9" xfId="0" applyNumberFormat="1" applyFont="1" applyBorder="1" applyAlignment="1">
      <alignment horizontal="center"/>
    </xf>
    <xf numFmtId="0" fontId="223" fillId="0" borderId="15" xfId="0" applyNumberFormat="1" applyFont="1" applyBorder="1" applyAlignment="1">
      <alignment horizontal="center"/>
    </xf>
    <xf numFmtId="0" fontId="223" fillId="0" borderId="9" xfId="0" quotePrefix="1" applyNumberFormat="1" applyFont="1" applyBorder="1" applyAlignment="1">
      <alignment horizontal="center"/>
    </xf>
    <xf numFmtId="173" fontId="223" fillId="0" borderId="0" xfId="1" applyNumberFormat="1" applyFont="1" applyBorder="1" applyAlignment="1">
      <alignment horizontal="center"/>
    </xf>
    <xf numFmtId="0" fontId="223" fillId="0" borderId="15" xfId="0" quotePrefix="1" applyNumberFormat="1" applyFont="1" applyFill="1" applyBorder="1" applyAlignment="1">
      <alignment horizontal="center"/>
    </xf>
    <xf numFmtId="0" fontId="223" fillId="0" borderId="10" xfId="0" applyNumberFormat="1" applyFont="1" applyBorder="1" applyAlignment="1">
      <alignment horizontal="center"/>
    </xf>
    <xf numFmtId="0" fontId="183" fillId="0" borderId="24" xfId="0" applyNumberFormat="1" applyFont="1" applyBorder="1" applyAlignment="1"/>
    <xf numFmtId="0" fontId="15" fillId="0" borderId="0" xfId="0" applyNumberFormat="1" applyFont="1" applyBorder="1" applyAlignment="1"/>
    <xf numFmtId="0" fontId="15" fillId="0" borderId="25" xfId="0" applyNumberFormat="1" applyFont="1" applyBorder="1" applyAlignment="1">
      <alignment horizontal="center" wrapText="1" shrinkToFit="1"/>
    </xf>
    <xf numFmtId="0" fontId="225" fillId="0" borderId="105" xfId="0" applyNumberFormat="1" applyFont="1" applyBorder="1" applyAlignment="1">
      <alignment horizontal="center"/>
    </xf>
    <xf numFmtId="0" fontId="225" fillId="0" borderId="106" xfId="0" applyNumberFormat="1" applyFont="1" applyBorder="1" applyAlignment="1">
      <alignment horizontal="center"/>
    </xf>
    <xf numFmtId="2" fontId="226" fillId="0" borderId="11" xfId="0" applyNumberFormat="1" applyFont="1" applyBorder="1" applyAlignment="1">
      <alignment horizontal="center"/>
    </xf>
    <xf numFmtId="0" fontId="225" fillId="0" borderId="107" xfId="0" applyNumberFormat="1" applyFont="1" applyBorder="1" applyAlignment="1">
      <alignment horizontal="center"/>
    </xf>
    <xf numFmtId="0" fontId="225" fillId="0" borderId="16" xfId="0" applyNumberFormat="1" applyFont="1" applyBorder="1" applyAlignment="1">
      <alignment horizontal="center"/>
    </xf>
    <xf numFmtId="0" fontId="225" fillId="0" borderId="107" xfId="0" applyNumberFormat="1" applyFont="1" applyFill="1" applyBorder="1" applyAlignment="1">
      <alignment horizontal="center"/>
    </xf>
    <xf numFmtId="0" fontId="225" fillId="0" borderId="106" xfId="0" applyNumberFormat="1" applyFont="1" applyFill="1" applyBorder="1" applyAlignment="1">
      <alignment horizontal="center"/>
    </xf>
    <xf numFmtId="0" fontId="225" fillId="0" borderId="105" xfId="0" applyNumberFormat="1" applyFont="1" applyFill="1" applyBorder="1" applyAlignment="1">
      <alignment horizontal="center"/>
    </xf>
    <xf numFmtId="0" fontId="225" fillId="0" borderId="16" xfId="0" applyNumberFormat="1" applyFont="1" applyFill="1" applyBorder="1" applyAlignment="1">
      <alignment horizontal="center"/>
    </xf>
    <xf numFmtId="0" fontId="225" fillId="0" borderId="79" xfId="0" applyNumberFormat="1" applyFont="1" applyFill="1" applyBorder="1" applyAlignment="1">
      <alignment horizontal="center"/>
    </xf>
    <xf numFmtId="0" fontId="15" fillId="0" borderId="24" xfId="0" applyNumberFormat="1" applyFont="1" applyBorder="1" applyAlignment="1"/>
    <xf numFmtId="0" fontId="223" fillId="0" borderId="24" xfId="0" applyNumberFormat="1" applyFont="1" applyBorder="1" applyAlignment="1"/>
    <xf numFmtId="0" fontId="223" fillId="0" borderId="25" xfId="0" applyNumberFormat="1" applyFont="1" applyBorder="1" applyAlignment="1"/>
    <xf numFmtId="0" fontId="223" fillId="0" borderId="0" xfId="0" applyNumberFormat="1" applyFont="1" applyBorder="1" applyAlignment="1"/>
    <xf numFmtId="173" fontId="223" fillId="0" borderId="0" xfId="1" applyNumberFormat="1" applyFont="1" applyBorder="1" applyAlignment="1"/>
    <xf numFmtId="10" fontId="15" fillId="0" borderId="0" xfId="0" applyNumberFormat="1" applyFont="1" applyBorder="1" applyAlignment="1"/>
    <xf numFmtId="10" fontId="15" fillId="0" borderId="25" xfId="0" applyNumberFormat="1" applyFont="1" applyBorder="1" applyAlignment="1"/>
    <xf numFmtId="0" fontId="223" fillId="0" borderId="108" xfId="0" applyNumberFormat="1" applyFont="1" applyBorder="1" applyAlignment="1"/>
    <xf numFmtId="0" fontId="223" fillId="0" borderId="109" xfId="0" applyNumberFormat="1" applyFont="1" applyBorder="1" applyAlignment="1"/>
    <xf numFmtId="2" fontId="224" fillId="0" borderId="110" xfId="13423" applyNumberFormat="1" applyFont="1" applyBorder="1" applyAlignment="1">
      <alignment horizontal="center"/>
    </xf>
    <xf numFmtId="173" fontId="223" fillId="0" borderId="7" xfId="13423" applyNumberFormat="1" applyFont="1" applyBorder="1"/>
    <xf numFmtId="173" fontId="223" fillId="0" borderId="108" xfId="13423" applyNumberFormat="1" applyFont="1" applyBorder="1"/>
    <xf numFmtId="173" fontId="223" fillId="0" borderId="44" xfId="13423" applyNumberFormat="1" applyFont="1" applyBorder="1"/>
    <xf numFmtId="173" fontId="44" fillId="0" borderId="44" xfId="13423" applyNumberFormat="1" applyFont="1" applyFill="1" applyBorder="1" applyAlignment="1"/>
    <xf numFmtId="10" fontId="223" fillId="0" borderId="109" xfId="859" applyNumberFormat="1" applyFont="1" applyBorder="1"/>
    <xf numFmtId="173" fontId="223" fillId="0" borderId="97" xfId="1" applyNumberFormat="1" applyFont="1" applyBorder="1"/>
    <xf numFmtId="173" fontId="223" fillId="0" borderId="97" xfId="859" applyNumberFormat="1" applyFont="1" applyBorder="1"/>
    <xf numFmtId="173" fontId="223" fillId="0" borderId="110" xfId="0" applyNumberFormat="1" applyFont="1" applyBorder="1" applyAlignment="1"/>
    <xf numFmtId="0" fontId="227" fillId="0" borderId="109" xfId="0" applyNumberFormat="1" applyFont="1" applyBorder="1" applyAlignment="1">
      <alignment horizontal="center"/>
    </xf>
    <xf numFmtId="43" fontId="223" fillId="0" borderId="108" xfId="13423" applyFont="1" applyBorder="1"/>
    <xf numFmtId="10" fontId="15" fillId="0" borderId="28" xfId="0" applyNumberFormat="1" applyFont="1" applyBorder="1" applyAlignment="1"/>
    <xf numFmtId="0" fontId="15" fillId="0" borderId="3" xfId="0" applyNumberFormat="1" applyFont="1" applyBorder="1" applyAlignment="1"/>
    <xf numFmtId="10" fontId="183" fillId="0" borderId="111" xfId="0" applyNumberFormat="1" applyFont="1" applyBorder="1" applyAlignment="1"/>
    <xf numFmtId="0" fontId="15" fillId="0" borderId="25" xfId="0" applyNumberFormat="1" applyFont="1" applyBorder="1" applyAlignment="1"/>
    <xf numFmtId="0" fontId="228" fillId="0" borderId="25" xfId="0" applyNumberFormat="1" applyFont="1" applyBorder="1" applyAlignment="1">
      <alignment horizontal="center" vertical="center" wrapText="1"/>
    </xf>
    <xf numFmtId="0" fontId="15" fillId="0" borderId="25" xfId="0" applyNumberFormat="1" applyFont="1" applyBorder="1" applyAlignment="1">
      <alignment horizontal="center" wrapText="1"/>
    </xf>
    <xf numFmtId="0" fontId="15" fillId="0" borderId="26" xfId="0" applyNumberFormat="1" applyFont="1" applyBorder="1" applyAlignment="1"/>
    <xf numFmtId="173" fontId="44" fillId="0" borderId="108" xfId="13423" applyNumberFormat="1" applyFont="1" applyBorder="1"/>
    <xf numFmtId="10" fontId="15" fillId="0" borderId="96" xfId="0" applyNumberFormat="1" applyFont="1" applyBorder="1" applyAlignment="1"/>
    <xf numFmtId="10" fontId="183" fillId="0" borderId="112" xfId="0" applyNumberFormat="1" applyFont="1" applyBorder="1" applyAlignment="1"/>
    <xf numFmtId="0" fontId="223" fillId="0" borderId="110" xfId="0" applyNumberFormat="1" applyFont="1" applyBorder="1" applyAlignment="1"/>
    <xf numFmtId="43" fontId="223" fillId="0" borderId="108" xfId="13423" applyFont="1" applyBorder="1" applyAlignment="1">
      <alignment horizontal="right"/>
    </xf>
    <xf numFmtId="43" fontId="211" fillId="0" borderId="108" xfId="13423" applyFont="1" applyBorder="1"/>
    <xf numFmtId="0" fontId="211" fillId="0" borderId="109" xfId="0" applyNumberFormat="1" applyFont="1" applyBorder="1" applyAlignment="1"/>
    <xf numFmtId="10" fontId="223" fillId="0" borderId="97" xfId="859" applyNumberFormat="1" applyFont="1" applyBorder="1"/>
    <xf numFmtId="10" fontId="223" fillId="0" borderId="109" xfId="0" applyNumberFormat="1" applyFont="1" applyBorder="1" applyAlignment="1"/>
    <xf numFmtId="173" fontId="223" fillId="0" borderId="110" xfId="13423" applyNumberFormat="1" applyFont="1" applyBorder="1"/>
    <xf numFmtId="0" fontId="183" fillId="0" borderId="113" xfId="0" applyNumberFormat="1" applyFont="1" applyBorder="1" applyAlignment="1"/>
    <xf numFmtId="0" fontId="183" fillId="0" borderId="111" xfId="0" applyNumberFormat="1" applyFont="1" applyBorder="1" applyAlignment="1"/>
    <xf numFmtId="2" fontId="230" fillId="0" borderId="97" xfId="0" applyNumberFormat="1" applyFont="1" applyBorder="1" applyAlignment="1">
      <alignment horizontal="center"/>
    </xf>
    <xf numFmtId="0" fontId="15" fillId="0" borderId="110" xfId="0" applyNumberFormat="1" applyFont="1" applyBorder="1" applyAlignment="1"/>
    <xf numFmtId="173" fontId="183" fillId="0" borderId="3" xfId="0" applyNumberFormat="1" applyFont="1" applyBorder="1" applyAlignment="1"/>
    <xf numFmtId="10" fontId="183" fillId="0" borderId="3" xfId="16483" applyNumberFormat="1" applyFont="1" applyBorder="1" applyAlignment="1"/>
    <xf numFmtId="0" fontId="15" fillId="0" borderId="27" xfId="0" applyNumberFormat="1" applyFont="1" applyBorder="1" applyAlignment="1"/>
    <xf numFmtId="2" fontId="230" fillId="0" borderId="0" xfId="0" applyNumberFormat="1" applyFont="1" applyAlignment="1">
      <alignment horizontal="center"/>
    </xf>
    <xf numFmtId="0" fontId="183" fillId="0" borderId="0" xfId="0" applyNumberFormat="1" applyFont="1" applyBorder="1" applyAlignment="1"/>
    <xf numFmtId="173" fontId="15" fillId="0" borderId="0" xfId="0" applyNumberFormat="1" applyFont="1" applyBorder="1" applyAlignment="1"/>
    <xf numFmtId="0" fontId="183" fillId="0" borderId="9" xfId="0" applyNumberFormat="1" applyFont="1" applyBorder="1" applyAlignment="1"/>
    <xf numFmtId="0" fontId="15" fillId="0" borderId="107" xfId="0" applyNumberFormat="1" applyFont="1" applyBorder="1" applyAlignment="1"/>
    <xf numFmtId="0" fontId="231" fillId="0" borderId="30" xfId="0" applyNumberFormat="1" applyFont="1" applyBorder="1" applyAlignment="1"/>
    <xf numFmtId="0" fontId="15" fillId="0" borderId="95" xfId="0" applyNumberFormat="1" applyFont="1" applyBorder="1" applyAlignment="1"/>
    <xf numFmtId="0" fontId="15" fillId="0" borderId="46" xfId="0" applyNumberFormat="1" applyFont="1" applyBorder="1" applyAlignment="1"/>
    <xf numFmtId="10" fontId="15" fillId="0" borderId="9" xfId="0" applyNumberFormat="1" applyFont="1" applyBorder="1" applyAlignment="1"/>
    <xf numFmtId="10" fontId="15" fillId="0" borderId="0" xfId="18252" applyNumberFormat="1" applyFont="1" applyBorder="1" applyAlignment="1"/>
    <xf numFmtId="10" fontId="15" fillId="0" borderId="107" xfId="0" applyNumberFormat="1" applyFont="1" applyBorder="1" applyAlignment="1"/>
    <xf numFmtId="10" fontId="15" fillId="0" borderId="97" xfId="0" applyNumberFormat="1" applyFont="1" applyBorder="1" applyAlignment="1"/>
    <xf numFmtId="174" fontId="15" fillId="0" borderId="0" xfId="0" applyNumberFormat="1" applyFont="1" applyAlignment="1"/>
    <xf numFmtId="173" fontId="15" fillId="0" borderId="0" xfId="0" applyNumberFormat="1" applyFont="1" applyFill="1" applyAlignment="1"/>
    <xf numFmtId="0" fontId="21" fillId="0" borderId="0" xfId="21302" applyNumberFormat="1" applyFont="1" applyAlignment="1">
      <alignment horizontal="center" vertical="center"/>
    </xf>
    <xf numFmtId="174" fontId="15" fillId="0" borderId="0" xfId="21302" applyNumberFormat="1" applyFont="1" applyAlignment="1"/>
    <xf numFmtId="173" fontId="15" fillId="0" borderId="0" xfId="21303" applyNumberFormat="1" applyFont="1" applyAlignment="1"/>
    <xf numFmtId="173" fontId="15" fillId="0" borderId="0" xfId="21302" applyNumberFormat="1" applyFont="1" applyAlignment="1"/>
    <xf numFmtId="0" fontId="232" fillId="0" borderId="0" xfId="0" applyNumberFormat="1" applyFont="1" applyAlignment="1">
      <alignment horizontal="center" vertical="center"/>
    </xf>
    <xf numFmtId="0" fontId="21" fillId="0" borderId="0" xfId="0" applyNumberFormat="1" applyFont="1" applyAlignment="1">
      <alignment horizontal="center" vertical="center"/>
    </xf>
    <xf numFmtId="0" fontId="12" fillId="0" borderId="0" xfId="0" applyNumberFormat="1" applyFont="1" applyAlignment="1"/>
    <xf numFmtId="42" fontId="183" fillId="0" borderId="0" xfId="0" applyNumberFormat="1" applyFont="1" applyAlignment="1"/>
    <xf numFmtId="9" fontId="15" fillId="0" borderId="0" xfId="18252" applyFont="1" applyAlignment="1"/>
    <xf numFmtId="0" fontId="183" fillId="0" borderId="0" xfId="0" applyNumberFormat="1" applyFont="1" applyAlignment="1"/>
    <xf numFmtId="43" fontId="15" fillId="0" borderId="0" xfId="1" applyFont="1" applyAlignment="1"/>
    <xf numFmtId="43" fontId="211" fillId="0" borderId="40" xfId="13423" applyFont="1" applyBorder="1"/>
    <xf numFmtId="0" fontId="211" fillId="0" borderId="41" xfId="0" applyNumberFormat="1" applyFont="1" applyBorder="1" applyAlignment="1"/>
    <xf numFmtId="2" fontId="224" fillId="0" borderId="97" xfId="13423" applyNumberFormat="1" applyFont="1" applyBorder="1" applyAlignment="1">
      <alignment horizontal="center"/>
    </xf>
    <xf numFmtId="173" fontId="223" fillId="0" borderId="97" xfId="13423" applyNumberFormat="1" applyFont="1" applyBorder="1"/>
    <xf numFmtId="173" fontId="223" fillId="0" borderId="0" xfId="13423" applyNumberFormat="1" applyFont="1" applyBorder="1"/>
    <xf numFmtId="173" fontId="223" fillId="0" borderId="0" xfId="859" applyNumberFormat="1" applyFont="1" applyBorder="1"/>
    <xf numFmtId="173" fontId="223" fillId="0" borderId="110" xfId="1" applyNumberFormat="1" applyFont="1" applyBorder="1" applyAlignment="1"/>
    <xf numFmtId="10" fontId="15" fillId="0" borderId="3" xfId="18252" applyNumberFormat="1" applyFont="1" applyBorder="1" applyAlignment="1"/>
    <xf numFmtId="0" fontId="13" fillId="97" borderId="24" xfId="0" applyNumberFormat="1" applyFont="1" applyFill="1" applyBorder="1" applyAlignment="1"/>
    <xf numFmtId="0" fontId="13" fillId="97" borderId="0" xfId="0" applyNumberFormat="1" applyFont="1" applyFill="1" applyBorder="1" applyAlignment="1"/>
    <xf numFmtId="0" fontId="13" fillId="97" borderId="25" xfId="0" applyNumberFormat="1" applyFont="1" applyFill="1" applyBorder="1" applyAlignment="1"/>
    <xf numFmtId="0" fontId="233" fillId="0" borderId="0" xfId="21296" applyFont="1" applyFill="1" applyBorder="1"/>
    <xf numFmtId="0" fontId="233" fillId="0" borderId="0" xfId="21296" applyFont="1" applyFill="1" applyBorder="1" applyAlignment="1">
      <alignment horizontal="left"/>
    </xf>
    <xf numFmtId="0" fontId="234" fillId="0" borderId="0" xfId="21296" applyFont="1" applyFill="1" applyBorder="1"/>
    <xf numFmtId="0" fontId="235" fillId="0" borderId="0" xfId="21296" applyFont="1" applyFill="1" applyBorder="1"/>
    <xf numFmtId="184" fontId="235" fillId="0" borderId="0" xfId="21297" applyNumberFormat="1" applyFont="1" applyFill="1" applyBorder="1"/>
    <xf numFmtId="17" fontId="9" fillId="0" borderId="24" xfId="15001" quotePrefix="1" applyNumberFormat="1" applyFont="1" applyFill="1" applyBorder="1" applyAlignment="1">
      <alignment horizontal="center" vertical="center" wrapText="1"/>
    </xf>
    <xf numFmtId="17" fontId="9" fillId="0" borderId="0" xfId="15001" quotePrefix="1" applyNumberFormat="1" applyFont="1" applyFill="1" applyBorder="1" applyAlignment="1">
      <alignment horizontal="center" vertical="center" wrapText="1"/>
    </xf>
    <xf numFmtId="0" fontId="233" fillId="0" borderId="45" xfId="21296" applyFont="1" applyFill="1" applyBorder="1" applyAlignment="1">
      <alignment horizontal="center" vertical="center" wrapText="1"/>
    </xf>
    <xf numFmtId="0" fontId="234" fillId="0" borderId="25" xfId="21296" applyFont="1" applyFill="1" applyBorder="1" applyAlignment="1">
      <alignment horizontal="center"/>
    </xf>
    <xf numFmtId="0" fontId="234" fillId="0" borderId="0" xfId="21296" applyFont="1" applyFill="1" applyBorder="1" applyAlignment="1">
      <alignment horizontal="center"/>
    </xf>
    <xf numFmtId="0" fontId="9" fillId="0" borderId="0" xfId="15001" applyFont="1" applyFill="1" applyBorder="1" applyAlignment="1">
      <alignment horizontal="center"/>
    </xf>
    <xf numFmtId="17" fontId="9" fillId="0" borderId="0" xfId="15001" quotePrefix="1" applyNumberFormat="1" applyFont="1" applyFill="1" applyBorder="1" applyAlignment="1">
      <alignment horizontal="left"/>
    </xf>
    <xf numFmtId="174" fontId="15" fillId="0" borderId="24" xfId="21297" applyNumberFormat="1" applyFont="1" applyFill="1" applyBorder="1"/>
    <xf numFmtId="174" fontId="15" fillId="0" borderId="0" xfId="21297" applyNumberFormat="1" applyFont="1" applyFill="1" applyBorder="1"/>
    <xf numFmtId="174" fontId="233" fillId="0" borderId="15" xfId="21297" applyNumberFormat="1" applyFont="1" applyFill="1" applyBorder="1"/>
    <xf numFmtId="174" fontId="234" fillId="0" borderId="25" xfId="21297" applyNumberFormat="1" applyFont="1" applyFill="1" applyBorder="1" applyAlignment="1">
      <alignment horizontal="center" vertical="center" wrapText="1"/>
    </xf>
    <xf numFmtId="174" fontId="234" fillId="0" borderId="0" xfId="21297" applyNumberFormat="1" applyFont="1" applyFill="1" applyBorder="1" applyAlignment="1">
      <alignment horizontal="center" vertical="center" wrapText="1"/>
    </xf>
    <xf numFmtId="225" fontId="15" fillId="0" borderId="0" xfId="21297" applyNumberFormat="1" applyFont="1" applyFill="1" applyBorder="1"/>
    <xf numFmtId="17" fontId="9" fillId="0" borderId="95" xfId="15001" quotePrefix="1" applyNumberFormat="1" applyFont="1" applyFill="1" applyBorder="1" applyAlignment="1">
      <alignment horizontal="left"/>
    </xf>
    <xf numFmtId="174" fontId="15" fillId="0" borderId="40" xfId="21297" applyNumberFormat="1" applyFont="1" applyFill="1" applyBorder="1"/>
    <xf numFmtId="174" fontId="15" fillId="0" borderId="95" xfId="21297" applyNumberFormat="1" applyFont="1" applyFill="1" applyBorder="1"/>
    <xf numFmtId="174" fontId="233" fillId="0" borderId="45" xfId="21297" applyNumberFormat="1" applyFont="1" applyFill="1" applyBorder="1"/>
    <xf numFmtId="174" fontId="234" fillId="0" borderId="25" xfId="21297" applyNumberFormat="1" applyFont="1" applyFill="1" applyBorder="1" applyAlignment="1">
      <alignment horizontal="center" vertical="center"/>
    </xf>
    <xf numFmtId="174" fontId="234" fillId="0" borderId="0" xfId="21297" applyNumberFormat="1" applyFont="1" applyFill="1" applyBorder="1" applyAlignment="1">
      <alignment horizontal="center" vertical="center"/>
    </xf>
    <xf numFmtId="17" fontId="9" fillId="0" borderId="79" xfId="15001" quotePrefix="1" applyNumberFormat="1" applyFont="1" applyFill="1" applyBorder="1" applyAlignment="1">
      <alignment horizontal="left"/>
    </xf>
    <xf numFmtId="174" fontId="15" fillId="0" borderId="115" xfId="21297" applyNumberFormat="1" applyFont="1" applyFill="1" applyBorder="1"/>
    <xf numFmtId="174" fontId="15" fillId="0" borderId="79" xfId="21297" applyNumberFormat="1" applyFont="1" applyFill="1" applyBorder="1"/>
    <xf numFmtId="174" fontId="233" fillId="0" borderId="16" xfId="21297" applyNumberFormat="1" applyFont="1" applyFill="1" applyBorder="1"/>
    <xf numFmtId="0" fontId="9" fillId="0" borderId="0" xfId="15001" applyFont="1" applyFill="1" applyBorder="1" applyAlignment="1">
      <alignment vertical="center" textRotation="90"/>
    </xf>
    <xf numFmtId="17" fontId="9" fillId="0" borderId="0" xfId="15001" quotePrefix="1" applyNumberFormat="1" applyFont="1" applyFill="1" applyBorder="1" applyAlignment="1">
      <alignment horizontal="right"/>
    </xf>
    <xf numFmtId="174" fontId="15" fillId="0" borderId="116" xfId="21297" applyNumberFormat="1" applyFont="1" applyFill="1" applyBorder="1"/>
    <xf numFmtId="174" fontId="15" fillId="0" borderId="97" xfId="21297" applyNumberFormat="1" applyFont="1" applyFill="1" applyBorder="1"/>
    <xf numFmtId="174" fontId="233" fillId="0" borderId="44" xfId="21297" applyNumberFormat="1" applyFont="1" applyFill="1" applyBorder="1"/>
    <xf numFmtId="14" fontId="9" fillId="0" borderId="0" xfId="15001" applyNumberFormat="1" applyFont="1" applyFill="1" applyBorder="1"/>
    <xf numFmtId="174" fontId="15" fillId="0" borderId="117" xfId="21297" applyNumberFormat="1" applyFont="1" applyFill="1" applyBorder="1"/>
    <xf numFmtId="174" fontId="15" fillId="0" borderId="96" xfId="21297" applyNumberFormat="1" applyFont="1" applyFill="1" applyBorder="1"/>
    <xf numFmtId="174" fontId="233" fillId="0" borderId="114" xfId="21297" applyNumberFormat="1" applyFont="1" applyFill="1" applyBorder="1"/>
    <xf numFmtId="17" fontId="9" fillId="0" borderId="0" xfId="15001" quotePrefix="1" applyNumberFormat="1" applyFont="1" applyFill="1" applyBorder="1" applyAlignment="1">
      <alignment horizontal="left" vertical="center"/>
    </xf>
    <xf numFmtId="174" fontId="15" fillId="0" borderId="24" xfId="21297" applyNumberFormat="1" applyFont="1" applyFill="1" applyBorder="1" applyAlignment="1">
      <alignment horizontal="center" vertical="center"/>
    </xf>
    <xf numFmtId="174" fontId="15" fillId="0" borderId="0" xfId="21297" applyNumberFormat="1" applyFont="1" applyFill="1" applyBorder="1" applyAlignment="1">
      <alignment vertical="center"/>
    </xf>
    <xf numFmtId="174" fontId="233" fillId="0" borderId="15" xfId="21297" applyNumberFormat="1" applyFont="1" applyFill="1" applyBorder="1" applyAlignment="1">
      <alignment horizontal="center" vertical="center"/>
    </xf>
    <xf numFmtId="0" fontId="9" fillId="0" borderId="0" xfId="15001" applyFont="1" applyFill="1" applyBorder="1"/>
    <xf numFmtId="174" fontId="234" fillId="0" borderId="25" xfId="21297" applyNumberFormat="1" applyFont="1" applyFill="1" applyBorder="1"/>
    <xf numFmtId="174" fontId="234" fillId="0" borderId="0" xfId="21297" applyNumberFormat="1" applyFont="1" applyFill="1" applyBorder="1"/>
    <xf numFmtId="17" fontId="9" fillId="0" borderId="23" xfId="15001" quotePrefix="1" applyNumberFormat="1" applyFont="1" applyFill="1" applyBorder="1" applyAlignment="1">
      <alignment horizontal="left"/>
    </xf>
    <xf numFmtId="174" fontId="15" fillId="0" borderId="23" xfId="21297" applyNumberFormat="1" applyFont="1" applyFill="1" applyBorder="1"/>
    <xf numFmtId="174" fontId="15" fillId="0" borderId="37" xfId="21297" applyNumberFormat="1" applyFont="1" applyFill="1" applyBorder="1"/>
    <xf numFmtId="174" fontId="233" fillId="0" borderId="102" xfId="21297" applyNumberFormat="1" applyFont="1" applyFill="1" applyBorder="1"/>
    <xf numFmtId="166" fontId="15" fillId="0" borderId="36" xfId="21298" applyNumberFormat="1" applyFont="1" applyFill="1" applyBorder="1" applyAlignment="1">
      <alignment horizontal="left"/>
    </xf>
    <xf numFmtId="166" fontId="15" fillId="0" borderId="0" xfId="21298" applyNumberFormat="1" applyFont="1" applyFill="1" applyBorder="1" applyAlignment="1">
      <alignment horizontal="left"/>
    </xf>
    <xf numFmtId="17" fontId="9" fillId="0" borderId="24" xfId="15001" quotePrefix="1" applyNumberFormat="1" applyFont="1" applyFill="1" applyBorder="1" applyAlignment="1">
      <alignment horizontal="left"/>
    </xf>
    <xf numFmtId="166" fontId="15" fillId="0" borderId="25" xfId="21298" applyNumberFormat="1" applyFont="1" applyFill="1" applyBorder="1" applyAlignment="1">
      <alignment horizontal="left"/>
    </xf>
    <xf numFmtId="17" fontId="9" fillId="0" borderId="26" xfId="15001" applyNumberFormat="1" applyFont="1" applyFill="1" applyBorder="1" applyAlignment="1">
      <alignment horizontal="left"/>
    </xf>
    <xf numFmtId="174" fontId="233" fillId="0" borderId="26" xfId="21296" applyNumberFormat="1" applyFont="1" applyFill="1" applyBorder="1"/>
    <xf numFmtId="174" fontId="233" fillId="0" borderId="3" xfId="21296" applyNumberFormat="1" applyFont="1" applyFill="1" applyBorder="1"/>
    <xf numFmtId="174" fontId="233" fillId="0" borderId="118" xfId="21296" applyNumberFormat="1" applyFont="1" applyFill="1" applyBorder="1"/>
    <xf numFmtId="0" fontId="234" fillId="0" borderId="27" xfId="21296" applyFont="1" applyFill="1" applyBorder="1"/>
    <xf numFmtId="0" fontId="223" fillId="0" borderId="0" xfId="21296" applyFont="1" applyFill="1" applyBorder="1" applyAlignment="1"/>
    <xf numFmtId="0" fontId="223" fillId="0" borderId="0" xfId="21296" applyFont="1" applyFill="1" applyBorder="1" applyAlignment="1">
      <alignment horizontal="center"/>
    </xf>
    <xf numFmtId="0" fontId="15" fillId="0" borderId="0" xfId="0" applyNumberFormat="1" applyFont="1" applyBorder="1" applyAlignment="1">
      <alignment horizontal="center"/>
    </xf>
    <xf numFmtId="173" fontId="9" fillId="0" borderId="0" xfId="1" applyNumberFormat="1" applyFont="1" applyFill="1" applyAlignment="1">
      <alignment horizontal="right"/>
    </xf>
    <xf numFmtId="0" fontId="10" fillId="0" borderId="79" xfId="0" quotePrefix="1" applyNumberFormat="1" applyFont="1" applyFill="1" applyBorder="1" applyAlignment="1">
      <alignment horizontal="center"/>
    </xf>
    <xf numFmtId="173" fontId="9" fillId="0" borderId="79" xfId="1" applyNumberFormat="1" applyFont="1" applyFill="1" applyBorder="1" applyAlignment="1">
      <alignment horizontal="right"/>
    </xf>
    <xf numFmtId="10" fontId="223" fillId="0" borderId="119" xfId="859" applyNumberFormat="1" applyFont="1" applyBorder="1"/>
    <xf numFmtId="173" fontId="223" fillId="0" borderId="120" xfId="13423" applyNumberFormat="1" applyFont="1" applyBorder="1"/>
    <xf numFmtId="173" fontId="229" fillId="0" borderId="14" xfId="13423" applyNumberFormat="1" applyFont="1" applyBorder="1"/>
    <xf numFmtId="173" fontId="15" fillId="0" borderId="0" xfId="1" applyNumberFormat="1" applyFont="1" applyBorder="1" applyAlignment="1">
      <alignment wrapText="1"/>
    </xf>
    <xf numFmtId="41" fontId="21" fillId="0" borderId="20" xfId="21302" applyNumberFormat="1" applyFont="1" applyFill="1" applyBorder="1" applyAlignment="1" applyProtection="1">
      <protection locked="0"/>
    </xf>
    <xf numFmtId="10" fontId="183" fillId="0" borderId="14" xfId="21304" applyNumberFormat="1" applyFont="1" applyBorder="1" applyAlignment="1"/>
    <xf numFmtId="10" fontId="10" fillId="0" borderId="14" xfId="21304" applyNumberFormat="1" applyFont="1" applyBorder="1" applyAlignment="1"/>
    <xf numFmtId="0" fontId="9" fillId="0" borderId="79" xfId="0" applyNumberFormat="1" applyFont="1" applyFill="1" applyBorder="1" applyAlignment="1">
      <alignment horizontal="center"/>
    </xf>
    <xf numFmtId="10" fontId="208" fillId="0" borderId="0" xfId="21302" applyNumberFormat="1" applyFont="1" applyFill="1" applyBorder="1" applyAlignment="1" applyProtection="1">
      <alignment horizontal="center"/>
      <protection locked="0"/>
    </xf>
    <xf numFmtId="10" fontId="21" fillId="0" borderId="0" xfId="21302" applyNumberFormat="1" applyFont="1" applyFill="1" applyBorder="1" applyAlignment="1" applyProtection="1">
      <alignment horizontal="center"/>
      <protection locked="0"/>
    </xf>
    <xf numFmtId="0" fontId="9" fillId="0" borderId="79" xfId="21302" applyNumberFormat="1" applyFont="1" applyFill="1" applyBorder="1" applyAlignment="1">
      <alignment horizontal="center"/>
    </xf>
    <xf numFmtId="49" fontId="9" fillId="0" borderId="0" xfId="21302" applyNumberFormat="1" applyFont="1" applyFill="1" applyBorder="1" applyAlignment="1">
      <alignment vertical="center" wrapText="1"/>
    </xf>
    <xf numFmtId="0" fontId="9" fillId="0" borderId="0" xfId="21302" applyNumberFormat="1" applyFont="1" applyFill="1" applyBorder="1" applyAlignment="1">
      <alignment vertical="center" wrapText="1"/>
    </xf>
    <xf numFmtId="42" fontId="9" fillId="98" borderId="0" xfId="0" applyNumberFormat="1" applyFont="1" applyFill="1" applyAlignment="1" applyProtection="1">
      <alignment horizontal="right"/>
      <protection locked="0"/>
    </xf>
    <xf numFmtId="41" fontId="9" fillId="98" borderId="95" xfId="0" applyNumberFormat="1" applyFont="1" applyFill="1" applyBorder="1" applyAlignment="1" applyProtection="1">
      <alignment horizontal="right"/>
      <protection locked="0"/>
    </xf>
    <xf numFmtId="41" fontId="9" fillId="98" borderId="0" xfId="0" applyNumberFormat="1" applyFont="1" applyFill="1" applyAlignment="1" applyProtection="1">
      <alignment horizontal="right"/>
      <protection locked="0"/>
    </xf>
    <xf numFmtId="41" fontId="9" fillId="98" borderId="0" xfId="0" applyNumberFormat="1" applyFont="1" applyFill="1" applyBorder="1" applyAlignment="1"/>
    <xf numFmtId="41" fontId="9" fillId="98" borderId="0" xfId="0" applyNumberFormat="1" applyFont="1" applyFill="1" applyAlignment="1"/>
    <xf numFmtId="174" fontId="9" fillId="98" borderId="19" xfId="21227" applyNumberFormat="1" applyFont="1" applyFill="1" applyBorder="1" applyAlignment="1"/>
    <xf numFmtId="174" fontId="9" fillId="98" borderId="0" xfId="21227" applyNumberFormat="1" applyFont="1" applyFill="1" applyBorder="1" applyAlignment="1"/>
    <xf numFmtId="41" fontId="9" fillId="98" borderId="0" xfId="12" applyNumberFormat="1" applyFont="1" applyFill="1" applyBorder="1" applyAlignment="1"/>
    <xf numFmtId="42" fontId="9" fillId="98" borderId="19" xfId="0" applyNumberFormat="1" applyFont="1" applyFill="1" applyBorder="1" applyAlignment="1"/>
    <xf numFmtId="41" fontId="9" fillId="98" borderId="0" xfId="0" applyNumberFormat="1" applyFont="1" applyFill="1" applyAlignment="1" applyProtection="1">
      <protection locked="0"/>
    </xf>
    <xf numFmtId="41" fontId="9" fillId="98" borderId="95" xfId="0" applyNumberFormat="1" applyFont="1" applyFill="1" applyBorder="1" applyAlignment="1" applyProtection="1">
      <protection locked="0"/>
    </xf>
    <xf numFmtId="174" fontId="10" fillId="98" borderId="0" xfId="21227" applyNumberFormat="1" applyFont="1" applyFill="1" applyAlignment="1"/>
    <xf numFmtId="42" fontId="9" fillId="98" borderId="19" xfId="0" applyNumberFormat="1" applyFont="1" applyFill="1" applyBorder="1" applyAlignment="1" applyProtection="1">
      <protection locked="0"/>
    </xf>
    <xf numFmtId="42" fontId="9" fillId="98" borderId="0" xfId="0" applyNumberFormat="1" applyFont="1" applyFill="1" applyAlignment="1">
      <alignment horizontal="right"/>
    </xf>
    <xf numFmtId="173" fontId="9" fillId="98" borderId="0" xfId="1" applyNumberFormat="1" applyFont="1" applyFill="1" applyAlignment="1">
      <alignment horizontal="right"/>
    </xf>
    <xf numFmtId="41" fontId="9" fillId="98" borderId="91" xfId="0" applyNumberFormat="1" applyFont="1" applyFill="1" applyBorder="1" applyAlignment="1"/>
    <xf numFmtId="42" fontId="10" fillId="98" borderId="94" xfId="0" applyNumberFormat="1" applyFont="1" applyFill="1" applyBorder="1" applyAlignment="1"/>
    <xf numFmtId="173" fontId="223" fillId="98" borderId="108" xfId="13423" applyNumberFormat="1" applyFont="1" applyFill="1" applyBorder="1"/>
    <xf numFmtId="173" fontId="223" fillId="98" borderId="44" xfId="13423" applyNumberFormat="1" applyFont="1" applyFill="1" applyBorder="1"/>
    <xf numFmtId="173" fontId="223" fillId="98" borderId="97" xfId="1" applyNumberFormat="1" applyFont="1" applyFill="1" applyBorder="1"/>
    <xf numFmtId="173" fontId="44" fillId="98" borderId="44" xfId="13423" applyNumberFormat="1" applyFont="1" applyFill="1" applyBorder="1" applyAlignment="1"/>
    <xf numFmtId="10" fontId="223" fillId="98" borderId="109" xfId="859" applyNumberFormat="1" applyFont="1" applyFill="1" applyBorder="1"/>
    <xf numFmtId="173" fontId="223" fillId="98" borderId="97" xfId="859" applyNumberFormat="1" applyFont="1" applyFill="1" applyBorder="1"/>
    <xf numFmtId="173" fontId="223" fillId="98" borderId="110" xfId="0" applyNumberFormat="1" applyFont="1" applyFill="1" applyBorder="1" applyAlignment="1"/>
    <xf numFmtId="173" fontId="223" fillId="98" borderId="97" xfId="1" applyNumberFormat="1" applyFont="1" applyFill="1" applyBorder="1" applyAlignment="1"/>
    <xf numFmtId="173" fontId="223" fillId="98" borderId="120" xfId="13423" applyNumberFormat="1" applyFont="1" applyFill="1" applyBorder="1"/>
    <xf numFmtId="173" fontId="229" fillId="98" borderId="14" xfId="13423" applyNumberFormat="1" applyFont="1" applyFill="1" applyBorder="1"/>
    <xf numFmtId="173" fontId="223" fillId="98" borderId="7" xfId="13423" applyNumberFormat="1" applyFont="1" applyFill="1" applyBorder="1"/>
    <xf numFmtId="173" fontId="183" fillId="98" borderId="3" xfId="0" applyNumberFormat="1" applyFont="1" applyFill="1" applyBorder="1" applyAlignment="1"/>
    <xf numFmtId="43" fontId="183" fillId="98" borderId="3" xfId="0" applyNumberFormat="1" applyFont="1" applyFill="1" applyBorder="1" applyAlignment="1"/>
    <xf numFmtId="173" fontId="183" fillId="98" borderId="26" xfId="0" applyNumberFormat="1" applyFont="1" applyFill="1" applyBorder="1" applyAlignment="1"/>
    <xf numFmtId="173" fontId="15" fillId="98" borderId="3" xfId="1" applyNumberFormat="1" applyFont="1" applyFill="1" applyBorder="1" applyAlignment="1"/>
    <xf numFmtId="173" fontId="15" fillId="98" borderId="0" xfId="0" applyNumberFormat="1" applyFont="1" applyFill="1" applyAlignment="1"/>
    <xf numFmtId="173" fontId="15" fillId="98" borderId="96" xfId="0" applyNumberFormat="1" applyFont="1" applyFill="1" applyBorder="1" applyAlignment="1"/>
    <xf numFmtId="173" fontId="44" fillId="98" borderId="0" xfId="1" applyNumberFormat="1" applyFont="1" applyFill="1"/>
    <xf numFmtId="173" fontId="44" fillId="98" borderId="0" xfId="13423" applyNumberFormat="1" applyFont="1" applyFill="1"/>
    <xf numFmtId="173" fontId="44" fillId="98" borderId="0" xfId="13423" applyNumberFormat="1" applyFont="1" applyFill="1" applyBorder="1"/>
    <xf numFmtId="173" fontId="44" fillId="98" borderId="97" xfId="1" applyNumberFormat="1" applyFont="1" applyFill="1" applyBorder="1" applyAlignment="1"/>
    <xf numFmtId="41" fontId="44" fillId="98" borderId="97" xfId="0" applyNumberFormat="1" applyFont="1" applyFill="1" applyBorder="1" applyAlignment="1"/>
    <xf numFmtId="173" fontId="44" fillId="98" borderId="95" xfId="13423" applyNumberFormat="1" applyFont="1" applyFill="1" applyBorder="1"/>
    <xf numFmtId="173" fontId="44" fillId="98" borderId="79" xfId="1" applyNumberFormat="1" applyFont="1" applyFill="1" applyBorder="1"/>
    <xf numFmtId="174" fontId="44" fillId="98" borderId="114" xfId="890" applyNumberFormat="1" applyFont="1" applyFill="1" applyBorder="1"/>
    <xf numFmtId="174" fontId="13" fillId="98" borderId="7" xfId="890" applyNumberFormat="1" applyFont="1" applyFill="1" applyBorder="1"/>
    <xf numFmtId="174" fontId="13" fillId="98" borderId="44" xfId="890" applyNumberFormat="1" applyFont="1" applyFill="1" applyBorder="1"/>
    <xf numFmtId="10" fontId="44" fillId="98" borderId="0" xfId="21300" applyNumberFormat="1" applyFont="1" applyFill="1" applyBorder="1"/>
    <xf numFmtId="174" fontId="9" fillId="98" borderId="0" xfId="21227" applyNumberFormat="1" applyFont="1" applyFill="1" applyAlignment="1"/>
    <xf numFmtId="42" fontId="10" fillId="98" borderId="19" xfId="0" applyNumberFormat="1" applyFont="1" applyFill="1" applyBorder="1" applyAlignment="1" applyProtection="1">
      <protection locked="0"/>
    </xf>
    <xf numFmtId="42" fontId="21" fillId="98" borderId="0" xfId="0" applyNumberFormat="1" applyFont="1" applyFill="1" applyBorder="1" applyAlignment="1" applyProtection="1">
      <alignment horizontal="right"/>
      <protection locked="0"/>
    </xf>
    <xf numFmtId="41" fontId="21" fillId="98" borderId="95" xfId="0" applyNumberFormat="1" applyFont="1" applyFill="1" applyBorder="1" applyAlignment="1"/>
    <xf numFmtId="41" fontId="21" fillId="98" borderId="0" xfId="0" applyNumberFormat="1" applyFont="1" applyFill="1" applyAlignment="1"/>
    <xf numFmtId="42" fontId="21" fillId="98" borderId="19" xfId="0" applyNumberFormat="1" applyFont="1" applyFill="1" applyBorder="1" applyAlignment="1"/>
    <xf numFmtId="42" fontId="9" fillId="98" borderId="0" xfId="0" applyNumberFormat="1" applyFont="1" applyFill="1" applyAlignment="1" applyProtection="1">
      <protection locked="0"/>
    </xf>
    <xf numFmtId="173" fontId="9" fillId="98" borderId="14" xfId="0" applyNumberFormat="1" applyFont="1" applyFill="1" applyBorder="1" applyAlignment="1"/>
    <xf numFmtId="42" fontId="21" fillId="98" borderId="0" xfId="6" applyNumberFormat="1" applyFont="1" applyFill="1" applyAlignment="1" applyProtection="1">
      <protection locked="0"/>
    </xf>
    <xf numFmtId="166" fontId="10" fillId="98" borderId="14" xfId="18252" applyNumberFormat="1" applyFont="1" applyFill="1" applyBorder="1" applyAlignment="1">
      <alignment horizontal="center"/>
    </xf>
    <xf numFmtId="10" fontId="10" fillId="98" borderId="0" xfId="0" applyNumberFormat="1" applyFont="1" applyFill="1" applyBorder="1" applyAlignment="1" applyProtection="1">
      <alignment horizontal="center"/>
      <protection locked="0"/>
    </xf>
    <xf numFmtId="10" fontId="9" fillId="98" borderId="0" xfId="0" applyNumberFormat="1" applyFont="1" applyFill="1" applyBorder="1" applyAlignment="1" applyProtection="1">
      <alignment horizontal="center"/>
      <protection locked="0"/>
    </xf>
    <xf numFmtId="166" fontId="10" fillId="98" borderId="14" xfId="18252" applyNumberFormat="1" applyFont="1" applyFill="1" applyBorder="1" applyAlignment="1"/>
    <xf numFmtId="41" fontId="21" fillId="98" borderId="20" xfId="6" applyNumberFormat="1" applyFont="1" applyFill="1" applyBorder="1" applyAlignment="1" applyProtection="1">
      <protection locked="0"/>
    </xf>
    <xf numFmtId="41" fontId="9" fillId="98" borderId="0" xfId="0" applyNumberFormat="1" applyFont="1" applyFill="1" applyBorder="1" applyAlignment="1" applyProtection="1">
      <protection locked="0"/>
    </xf>
    <xf numFmtId="42" fontId="9" fillId="98" borderId="0" xfId="0" applyNumberFormat="1" applyFont="1" applyFill="1" applyAlignment="1"/>
    <xf numFmtId="173" fontId="21" fillId="98" borderId="0" xfId="546" applyNumberFormat="1" applyFont="1" applyFill="1" applyAlignment="1" applyProtection="1">
      <protection locked="0"/>
    </xf>
    <xf numFmtId="41" fontId="21" fillId="98" borderId="95" xfId="6" applyNumberFormat="1" applyFont="1" applyFill="1" applyBorder="1" applyAlignment="1" applyProtection="1">
      <protection locked="0"/>
    </xf>
    <xf numFmtId="174" fontId="21" fillId="98" borderId="0" xfId="571" applyNumberFormat="1" applyFont="1" applyFill="1" applyAlignment="1"/>
    <xf numFmtId="173" fontId="9" fillId="98" borderId="0" xfId="0" applyNumberFormat="1" applyFont="1" applyFill="1" applyAlignment="1"/>
    <xf numFmtId="173" fontId="9" fillId="98" borderId="95" xfId="0" applyNumberFormat="1" applyFont="1" applyFill="1" applyBorder="1" applyAlignment="1"/>
    <xf numFmtId="41" fontId="10" fillId="98" borderId="0" xfId="0" applyNumberFormat="1" applyFont="1" applyFill="1" applyAlignment="1" applyProtection="1">
      <protection locked="0"/>
    </xf>
    <xf numFmtId="173" fontId="10" fillId="98" borderId="0" xfId="0" applyNumberFormat="1" applyFont="1" applyFill="1" applyAlignment="1"/>
    <xf numFmtId="10" fontId="9" fillId="98" borderId="0" xfId="0" applyNumberFormat="1" applyFont="1" applyFill="1" applyAlignment="1" applyProtection="1">
      <protection locked="0"/>
    </xf>
    <xf numFmtId="173" fontId="9" fillId="98" borderId="0" xfId="1" applyNumberFormat="1" applyFont="1" applyFill="1" applyAlignment="1"/>
    <xf numFmtId="174" fontId="10" fillId="98" borderId="16" xfId="21227" applyNumberFormat="1" applyFont="1" applyFill="1" applyBorder="1" applyAlignment="1"/>
    <xf numFmtId="0" fontId="13" fillId="98" borderId="0" xfId="0" applyNumberFormat="1" applyFont="1" applyFill="1" applyAlignment="1"/>
    <xf numFmtId="0" fontId="21" fillId="98" borderId="0" xfId="0" applyNumberFormat="1" applyFont="1" applyFill="1" applyAlignment="1">
      <alignment horizontal="center"/>
    </xf>
    <xf numFmtId="0" fontId="10" fillId="98" borderId="0" xfId="0" applyNumberFormat="1" applyFont="1" applyFill="1" applyAlignment="1">
      <alignment horizontal="center"/>
    </xf>
    <xf numFmtId="0" fontId="13" fillId="0" borderId="0" xfId="0" applyNumberFormat="1" applyFont="1" applyAlignment="1">
      <alignment horizontal="center"/>
    </xf>
    <xf numFmtId="0" fontId="13" fillId="95" borderId="24" xfId="0" applyNumberFormat="1" applyFont="1" applyFill="1" applyBorder="1" applyAlignment="1">
      <alignment wrapText="1"/>
    </xf>
    <xf numFmtId="0" fontId="44" fillId="95" borderId="0" xfId="0" applyNumberFormat="1" applyFont="1" applyFill="1" applyAlignment="1">
      <alignment wrapText="1"/>
    </xf>
    <xf numFmtId="0" fontId="44" fillId="95" borderId="25" xfId="0" applyNumberFormat="1" applyFont="1" applyFill="1" applyBorder="1" applyAlignment="1">
      <alignment wrapText="1"/>
    </xf>
    <xf numFmtId="0" fontId="13" fillId="0" borderId="20" xfId="0" applyNumberFormat="1" applyFont="1" applyBorder="1" applyAlignment="1">
      <alignment horizontal="center" wrapText="1"/>
    </xf>
    <xf numFmtId="0" fontId="44" fillId="0" borderId="1" xfId="0" applyNumberFormat="1" applyFont="1" applyBorder="1" applyAlignment="1">
      <alignment horizontal="center" wrapText="1"/>
    </xf>
    <xf numFmtId="0" fontId="44" fillId="0" borderId="21" xfId="0" applyNumberFormat="1" applyFont="1" applyBorder="1" applyAlignment="1">
      <alignment horizontal="center" wrapText="1"/>
    </xf>
    <xf numFmtId="0" fontId="13" fillId="91" borderId="24" xfId="0" applyNumberFormat="1" applyFont="1" applyFill="1" applyBorder="1" applyAlignment="1">
      <alignment wrapText="1"/>
    </xf>
    <xf numFmtId="0" fontId="44" fillId="91" borderId="0" xfId="0" applyNumberFormat="1" applyFont="1" applyFill="1" applyAlignment="1">
      <alignment wrapText="1"/>
    </xf>
    <xf numFmtId="0" fontId="44" fillId="91" borderId="25" xfId="0" applyNumberFormat="1" applyFont="1" applyFill="1" applyBorder="1" applyAlignment="1">
      <alignment wrapText="1"/>
    </xf>
    <xf numFmtId="0" fontId="13" fillId="92" borderId="24" xfId="0" applyNumberFormat="1" applyFont="1" applyFill="1" applyBorder="1" applyAlignment="1">
      <alignment wrapText="1"/>
    </xf>
    <xf numFmtId="0" fontId="44" fillId="92" borderId="0" xfId="0" applyNumberFormat="1" applyFont="1" applyFill="1" applyAlignment="1">
      <alignment wrapText="1"/>
    </xf>
    <xf numFmtId="0" fontId="44" fillId="92" borderId="25" xfId="0" applyNumberFormat="1" applyFont="1" applyFill="1" applyBorder="1" applyAlignment="1">
      <alignment wrapText="1"/>
    </xf>
    <xf numFmtId="0" fontId="13" fillId="93" borderId="24" xfId="0" applyNumberFormat="1" applyFont="1" applyFill="1" applyBorder="1" applyAlignment="1">
      <alignment wrapText="1"/>
    </xf>
    <xf numFmtId="0" fontId="44" fillId="93" borderId="0" xfId="0" applyNumberFormat="1" applyFont="1" applyFill="1" applyAlignment="1">
      <alignment wrapText="1"/>
    </xf>
    <xf numFmtId="0" fontId="44" fillId="93" borderId="25" xfId="0" applyNumberFormat="1" applyFont="1" applyFill="1" applyBorder="1" applyAlignment="1">
      <alignment wrapText="1"/>
    </xf>
    <xf numFmtId="0" fontId="13" fillId="94" borderId="24" xfId="0" applyNumberFormat="1" applyFont="1" applyFill="1" applyBorder="1" applyAlignment="1">
      <alignment wrapText="1"/>
    </xf>
    <xf numFmtId="0" fontId="44" fillId="94" borderId="0" xfId="0" applyNumberFormat="1" applyFont="1" applyFill="1" applyAlignment="1">
      <alignment wrapText="1"/>
    </xf>
    <xf numFmtId="0" fontId="44" fillId="94" borderId="25" xfId="0" applyNumberFormat="1" applyFont="1" applyFill="1" applyBorder="1" applyAlignment="1">
      <alignment wrapText="1"/>
    </xf>
    <xf numFmtId="0" fontId="10" fillId="0" borderId="0" xfId="0" applyNumberFormat="1" applyFont="1" applyFill="1" applyAlignment="1">
      <alignment horizontal="center"/>
    </xf>
    <xf numFmtId="0" fontId="10" fillId="0" borderId="20" xfId="6" applyNumberFormat="1" applyFont="1" applyBorder="1" applyAlignment="1">
      <alignment horizontal="center"/>
    </xf>
    <xf numFmtId="0" fontId="10" fillId="0" borderId="1" xfId="6" applyNumberFormat="1" applyFont="1" applyBorder="1" applyAlignment="1">
      <alignment horizontal="center"/>
    </xf>
    <xf numFmtId="0" fontId="10" fillId="0" borderId="21" xfId="6" applyNumberFormat="1" applyFont="1" applyBorder="1" applyAlignment="1">
      <alignment horizontal="center"/>
    </xf>
    <xf numFmtId="0" fontId="13" fillId="98" borderId="0" xfId="0" applyNumberFormat="1" applyFont="1" applyFill="1" applyAlignment="1">
      <alignment horizontal="center"/>
    </xf>
    <xf numFmtId="0" fontId="44" fillId="98" borderId="0" xfId="0" applyNumberFormat="1" applyFont="1" applyFill="1" applyAlignment="1">
      <alignment horizontal="center"/>
    </xf>
    <xf numFmtId="0" fontId="10" fillId="0" borderId="0" xfId="0" applyNumberFormat="1" applyFont="1" applyAlignment="1">
      <alignment horizontal="center"/>
    </xf>
    <xf numFmtId="0" fontId="10" fillId="0" borderId="0" xfId="0" applyNumberFormat="1" applyFont="1" applyFill="1" applyAlignment="1" applyProtection="1">
      <alignment horizontal="center"/>
      <protection locked="0"/>
    </xf>
    <xf numFmtId="0" fontId="15" fillId="0" borderId="0" xfId="0" applyNumberFormat="1" applyFont="1" applyAlignment="1">
      <alignment horizontal="left" wrapText="1"/>
    </xf>
    <xf numFmtId="0" fontId="15" fillId="0" borderId="95" xfId="0" applyNumberFormat="1" applyFont="1" applyBorder="1" applyAlignment="1">
      <alignment horizontal="left" vertical="center" wrapText="1"/>
    </xf>
    <xf numFmtId="0" fontId="15" fillId="0" borderId="46" xfId="0" applyNumberFormat="1" applyFont="1" applyBorder="1" applyAlignment="1">
      <alignment horizontal="left" vertical="center" wrapText="1"/>
    </xf>
    <xf numFmtId="0" fontId="15" fillId="0" borderId="0" xfId="0" applyNumberFormat="1" applyFont="1" applyBorder="1" applyAlignment="1">
      <alignment horizontal="left" vertical="center" wrapText="1"/>
    </xf>
    <xf numFmtId="0" fontId="15" fillId="0" borderId="10" xfId="0" applyNumberFormat="1" applyFont="1" applyBorder="1" applyAlignment="1">
      <alignment horizontal="left" vertical="center" wrapText="1"/>
    </xf>
    <xf numFmtId="0" fontId="15" fillId="0" borderId="79" xfId="0" applyNumberFormat="1" applyFont="1" applyBorder="1" applyAlignment="1">
      <alignment horizontal="left" vertical="center" wrapText="1"/>
    </xf>
    <xf numFmtId="0" fontId="15" fillId="0" borderId="11" xfId="0" applyNumberFormat="1" applyFont="1" applyBorder="1" applyAlignment="1">
      <alignment horizontal="left" vertical="center" wrapText="1"/>
    </xf>
    <xf numFmtId="0" fontId="223" fillId="0" borderId="0" xfId="0" applyNumberFormat="1" applyFont="1" applyAlignment="1">
      <alignment horizontal="center" wrapText="1"/>
    </xf>
    <xf numFmtId="0" fontId="223" fillId="0" borderId="97" xfId="0" applyNumberFormat="1" applyFont="1" applyBorder="1" applyAlignment="1">
      <alignment horizontal="center"/>
    </xf>
    <xf numFmtId="0" fontId="211" fillId="0" borderId="23" xfId="0" applyNumberFormat="1" applyFont="1" applyBorder="1" applyAlignment="1">
      <alignment horizontal="center"/>
    </xf>
    <xf numFmtId="0" fontId="211" fillId="0" borderId="100" xfId="0" applyNumberFormat="1" applyFont="1" applyBorder="1" applyAlignment="1">
      <alignment horizontal="center"/>
    </xf>
    <xf numFmtId="0" fontId="13" fillId="0" borderId="0" xfId="0" applyNumberFormat="1" applyFont="1" applyFill="1" applyAlignment="1" applyProtection="1">
      <alignment horizontal="center"/>
      <protection locked="0"/>
    </xf>
    <xf numFmtId="173" fontId="44" fillId="0" borderId="20" xfId="1" applyNumberFormat="1" applyFont="1" applyFill="1" applyBorder="1" applyAlignment="1">
      <alignment horizontal="center" vertical="center" wrapText="1"/>
    </xf>
    <xf numFmtId="173" fontId="44" fillId="0" borderId="1" xfId="1" applyNumberFormat="1" applyFont="1" applyFill="1" applyBorder="1" applyAlignment="1">
      <alignment horizontal="center" vertical="center" wrapText="1"/>
    </xf>
    <xf numFmtId="173" fontId="44" fillId="0" borderId="21" xfId="1" applyNumberFormat="1" applyFont="1" applyFill="1" applyBorder="1" applyAlignment="1">
      <alignment horizontal="center" vertical="center" wrapText="1"/>
    </xf>
    <xf numFmtId="49" fontId="9" fillId="0" borderId="44" xfId="21302" applyNumberFormat="1" applyFont="1" applyFill="1" applyBorder="1" applyAlignment="1">
      <alignment horizontal="left" vertical="center" wrapText="1"/>
    </xf>
    <xf numFmtId="0" fontId="9" fillId="0" borderId="44" xfId="21302" applyNumberFormat="1" applyFont="1" applyFill="1" applyBorder="1" applyAlignment="1">
      <alignment horizontal="left" vertical="center" wrapText="1"/>
    </xf>
    <xf numFmtId="0" fontId="10" fillId="0" borderId="0" xfId="21302" applyNumberFormat="1" applyFont="1" applyFill="1" applyAlignment="1">
      <alignment horizontal="center"/>
    </xf>
    <xf numFmtId="0" fontId="10" fillId="0" borderId="20" xfId="21302" applyNumberFormat="1" applyFont="1" applyBorder="1" applyAlignment="1">
      <alignment horizontal="center"/>
    </xf>
    <xf numFmtId="0" fontId="10" fillId="0" borderId="1" xfId="21302" applyNumberFormat="1" applyFont="1" applyBorder="1" applyAlignment="1">
      <alignment horizontal="center"/>
    </xf>
    <xf numFmtId="0" fontId="10" fillId="0" borderId="21" xfId="21302" applyNumberFormat="1" applyFont="1" applyBorder="1" applyAlignment="1">
      <alignment horizontal="center"/>
    </xf>
    <xf numFmtId="0" fontId="9" fillId="0" borderId="30" xfId="15001" applyFont="1" applyFill="1" applyBorder="1" applyAlignment="1">
      <alignment horizontal="center" vertical="center" textRotation="90" wrapText="1"/>
    </xf>
    <xf numFmtId="0" fontId="9" fillId="0" borderId="9" xfId="15001" applyFont="1" applyFill="1" applyBorder="1" applyAlignment="1">
      <alignment horizontal="center" vertical="center" textRotation="90" wrapText="1"/>
    </xf>
    <xf numFmtId="0" fontId="9" fillId="0" borderId="107" xfId="15001" applyFont="1" applyFill="1" applyBorder="1" applyAlignment="1">
      <alignment horizontal="center" vertical="center" textRotation="90" wrapText="1"/>
    </xf>
    <xf numFmtId="0" fontId="223" fillId="0" borderId="0" xfId="21296" applyFont="1" applyFill="1" applyBorder="1" applyAlignment="1">
      <alignment horizontal="center"/>
    </xf>
    <xf numFmtId="0" fontId="227" fillId="0" borderId="23" xfId="21296" applyFont="1" applyFill="1" applyBorder="1" applyAlignment="1">
      <alignment horizontal="center"/>
    </xf>
    <xf numFmtId="0" fontId="227" fillId="0" borderId="37" xfId="21296" applyFont="1" applyFill="1" applyBorder="1" applyAlignment="1">
      <alignment horizontal="center"/>
    </xf>
    <xf numFmtId="0" fontId="227" fillId="0" borderId="36" xfId="21296" applyFont="1" applyFill="1" applyBorder="1" applyAlignment="1">
      <alignment horizontal="center"/>
    </xf>
    <xf numFmtId="0" fontId="18" fillId="61" borderId="0" xfId="14780" applyNumberFormat="1" applyFont="1" applyFill="1" applyAlignment="1">
      <alignment horizontal="center"/>
    </xf>
    <xf numFmtId="0" fontId="14" fillId="61" borderId="0" xfId="14780" applyNumberFormat="1" applyFill="1" applyAlignment="1">
      <alignment horizontal="center"/>
    </xf>
    <xf numFmtId="0" fontId="187" fillId="0" borderId="1" xfId="13423" applyNumberFormat="1" applyFont="1" applyFill="1" applyBorder="1" applyAlignment="1">
      <alignment horizontal="center"/>
    </xf>
    <xf numFmtId="0" fontId="187" fillId="0" borderId="21" xfId="13423" applyNumberFormat="1" applyFont="1" applyFill="1" applyBorder="1" applyAlignment="1">
      <alignment horizontal="center"/>
    </xf>
    <xf numFmtId="0" fontId="187" fillId="0" borderId="20" xfId="13423" applyNumberFormat="1" applyFont="1" applyFill="1" applyBorder="1" applyAlignment="1">
      <alignment horizontal="center"/>
    </xf>
    <xf numFmtId="174" fontId="15" fillId="98" borderId="24" xfId="21297" applyNumberFormat="1" applyFont="1" applyFill="1" applyBorder="1" applyAlignment="1">
      <alignment horizontal="center" vertical="center"/>
    </xf>
    <xf numFmtId="174" fontId="197" fillId="98" borderId="15" xfId="21297" applyNumberFormat="1" applyFont="1" applyFill="1" applyBorder="1" applyAlignment="1">
      <alignment horizontal="center" vertical="center"/>
    </xf>
    <xf numFmtId="174" fontId="15" fillId="98" borderId="117" xfId="21297" applyNumberFormat="1" applyFont="1" applyFill="1" applyBorder="1"/>
    <xf numFmtId="174" fontId="233" fillId="98" borderId="114" xfId="21297" applyNumberFormat="1" applyFont="1" applyFill="1" applyBorder="1"/>
    <xf numFmtId="174" fontId="15" fillId="98" borderId="23" xfId="21297" applyNumberFormat="1" applyFont="1" applyFill="1" applyBorder="1"/>
    <xf numFmtId="174" fontId="15" fillId="98" borderId="24" xfId="21297" applyNumberFormat="1" applyFont="1" applyFill="1" applyBorder="1"/>
    <xf numFmtId="174" fontId="233" fillId="98" borderId="102" xfId="21297" applyNumberFormat="1" applyFont="1" applyFill="1" applyBorder="1"/>
    <xf numFmtId="174" fontId="233" fillId="98" borderId="15" xfId="21297" applyNumberFormat="1" applyFont="1" applyFill="1" applyBorder="1"/>
  </cellXfs>
  <cellStyles count="21306">
    <cellStyle name="_x0013_" xfId="892"/>
    <cellStyle name=" 1" xfId="893"/>
    <cellStyle name=" 1 2" xfId="894"/>
    <cellStyle name=" 1 2 2" xfId="895"/>
    <cellStyle name=" 1 2 3" xfId="896"/>
    <cellStyle name=" 1 3" xfId="897"/>
    <cellStyle name=" 1 3 2" xfId="898"/>
    <cellStyle name=" 1 4" xfId="899"/>
    <cellStyle name=" 1 4 2" xfId="900"/>
    <cellStyle name=" 1 5" xfId="901"/>
    <cellStyle name=" 1 6" xfId="902"/>
    <cellStyle name=" 1 6 2" xfId="903"/>
    <cellStyle name=" 1 7" xfId="904"/>
    <cellStyle name=" 1 7 2" xfId="905"/>
    <cellStyle name="_x0013_ 10" xfId="906"/>
    <cellStyle name="_x0013_ 10 2" xfId="907"/>
    <cellStyle name="_x0013_ 11" xfId="908"/>
    <cellStyle name="_x0013_ 11 2" xfId="909"/>
    <cellStyle name="_x0013_ 12" xfId="910"/>
    <cellStyle name="_x0013_ 12 2" xfId="911"/>
    <cellStyle name="_x0013_ 13" xfId="912"/>
    <cellStyle name="_x0013_ 13 2" xfId="913"/>
    <cellStyle name="_x0013_ 14" xfId="914"/>
    <cellStyle name="_x0013_ 14 2" xfId="915"/>
    <cellStyle name="_x0013_ 15" xfId="916"/>
    <cellStyle name="_x0013_ 15 2" xfId="917"/>
    <cellStyle name="_x0013_ 16" xfId="918"/>
    <cellStyle name="_x0013_ 17" xfId="919"/>
    <cellStyle name="_x0013_ 18" xfId="920"/>
    <cellStyle name="_x0013_ 19" xfId="921"/>
    <cellStyle name="_x0013_ 2" xfId="922"/>
    <cellStyle name="_x0013_ 2 2" xfId="923"/>
    <cellStyle name="_x0013_ 2 3" xfId="924"/>
    <cellStyle name="_x0013_ 20" xfId="925"/>
    <cellStyle name="_x0013_ 21" xfId="926"/>
    <cellStyle name="_x0013_ 22" xfId="927"/>
    <cellStyle name="_x0013_ 23" xfId="928"/>
    <cellStyle name="_x0013_ 24" xfId="929"/>
    <cellStyle name="_x0013_ 25" xfId="930"/>
    <cellStyle name="_x0013_ 26" xfId="931"/>
    <cellStyle name="_x0013_ 27" xfId="932"/>
    <cellStyle name="_x0013_ 28" xfId="933"/>
    <cellStyle name="_x0013_ 29" xfId="934"/>
    <cellStyle name="_x0013_ 3" xfId="935"/>
    <cellStyle name="_x0013_ 3 2" xfId="936"/>
    <cellStyle name="_x0013_ 30" xfId="937"/>
    <cellStyle name="_x0013_ 31" xfId="938"/>
    <cellStyle name="_x0013_ 32" xfId="939"/>
    <cellStyle name="_x0013_ 33" xfId="940"/>
    <cellStyle name="_x0013_ 34" xfId="941"/>
    <cellStyle name="_x0013_ 35" xfId="942"/>
    <cellStyle name="_x0013_ 36" xfId="943"/>
    <cellStyle name="_x0013_ 37" xfId="944"/>
    <cellStyle name="_x0013_ 38" xfId="945"/>
    <cellStyle name="_x0013_ 39" xfId="946"/>
    <cellStyle name="_x0013_ 4" xfId="947"/>
    <cellStyle name="_x0013_ 4 2" xfId="948"/>
    <cellStyle name="_x0013_ 40" xfId="949"/>
    <cellStyle name="_x0013_ 41" xfId="950"/>
    <cellStyle name="_x0013_ 42" xfId="951"/>
    <cellStyle name="_x0013_ 43" xfId="952"/>
    <cellStyle name="_x0013_ 44" xfId="953"/>
    <cellStyle name="_x0013_ 45" xfId="954"/>
    <cellStyle name="_x0013_ 46" xfId="955"/>
    <cellStyle name="_x0013_ 47" xfId="956"/>
    <cellStyle name="_x0013_ 48" xfId="957"/>
    <cellStyle name="_x0013_ 49" xfId="958"/>
    <cellStyle name="_x0013_ 5" xfId="959"/>
    <cellStyle name="_x0013_ 5 2" xfId="960"/>
    <cellStyle name="_x0013_ 50" xfId="961"/>
    <cellStyle name="_x0013_ 51" xfId="962"/>
    <cellStyle name="_x0013_ 6" xfId="963"/>
    <cellStyle name="_x0013_ 6 2" xfId="964"/>
    <cellStyle name="_x0013_ 7" xfId="965"/>
    <cellStyle name="_x0013_ 7 2" xfId="966"/>
    <cellStyle name="_x0013_ 8" xfId="967"/>
    <cellStyle name="_x0013_ 8 2" xfId="968"/>
    <cellStyle name="_x0013_ 9" xfId="969"/>
    <cellStyle name="_x0013_ 9 2" xfId="970"/>
    <cellStyle name="_09GRC Gas Transport For Review" xfId="971"/>
    <cellStyle name="_09GRC Gas Transport For Review 2" xfId="972"/>
    <cellStyle name="_09GRC Gas Transport For Review 2 2" xfId="973"/>
    <cellStyle name="_09GRC Gas Transport For Review 3" xfId="974"/>
    <cellStyle name="_09GRC Gas Transport For Review_Book4" xfId="975"/>
    <cellStyle name="_09GRC Gas Transport For Review_Book4 2" xfId="976"/>
    <cellStyle name="_09GRC Gas Transport For Review_Book4 2 2" xfId="977"/>
    <cellStyle name="_09GRC Gas Transport For Review_Book4 3" xfId="978"/>
    <cellStyle name="_09GRC Gas Transport For Review_Book4_DEM-WP(C) ENERG10C--ctn Mid-C_042010 2010GRC" xfId="979"/>
    <cellStyle name="_09GRC Gas Transport For Review_DEM-WP(C) ENERG10C--ctn Mid-C_042010 2010GRC" xfId="980"/>
    <cellStyle name="_x0013__16.07E Wild Horse Wind Expansionwrkingfile" xfId="981"/>
    <cellStyle name="_x0013__16.07E Wild Horse Wind Expansionwrkingfile 2" xfId="982"/>
    <cellStyle name="_x0013__16.07E Wild Horse Wind Expansionwrkingfile 2 2" xfId="983"/>
    <cellStyle name="_x0013__16.07E Wild Horse Wind Expansionwrkingfile 3" xfId="984"/>
    <cellStyle name="_x0013__16.07E Wild Horse Wind Expansionwrkingfile SF" xfId="985"/>
    <cellStyle name="_x0013__16.07E Wild Horse Wind Expansionwrkingfile SF 2" xfId="986"/>
    <cellStyle name="_x0013__16.07E Wild Horse Wind Expansionwrkingfile SF 2 2" xfId="987"/>
    <cellStyle name="_x0013__16.07E Wild Horse Wind Expansionwrkingfile SF 3" xfId="988"/>
    <cellStyle name="_x0013__16.07E Wild Horse Wind Expansionwrkingfile SF_DEM-WP(C) ENERG10C--ctn Mid-C_042010 2010GRC" xfId="989"/>
    <cellStyle name="_x0013__16.07E Wild Horse Wind Expansionwrkingfile_DEM-WP(C) ENERG10C--ctn Mid-C_042010 2010GRC" xfId="990"/>
    <cellStyle name="_x0013__16.37E Wild Horse Expansion DeferralRevwrkingfile SF" xfId="991"/>
    <cellStyle name="_x0013__16.37E Wild Horse Expansion DeferralRevwrkingfile SF 2" xfId="992"/>
    <cellStyle name="_x0013__16.37E Wild Horse Expansion DeferralRevwrkingfile SF 2 2" xfId="993"/>
    <cellStyle name="_x0013__16.37E Wild Horse Expansion DeferralRevwrkingfile SF 3" xfId="994"/>
    <cellStyle name="_x0013__16.37E Wild Horse Expansion DeferralRevwrkingfile SF_DEM-WP(C) ENERG10C--ctn Mid-C_042010 2010GRC" xfId="995"/>
    <cellStyle name="_2008 Strat Plan Power Costs Forecast V2 (2009 Update)" xfId="996"/>
    <cellStyle name="_2008 Strat Plan Power Costs Forecast V2 (2009 Update) 2" xfId="997"/>
    <cellStyle name="_2008 Strat Plan Power Costs Forecast V2 (2009 Update) 2 2" xfId="998"/>
    <cellStyle name="_2008 Strat Plan Power Costs Forecast V2 (2009 Update) 3" xfId="999"/>
    <cellStyle name="_2008 Strat Plan Power Costs Forecast V2 (2009 Update)_DEM-WP(C) ENERG10C--ctn Mid-C_042010 2010GRC" xfId="1000"/>
    <cellStyle name="_2008 Strat Plan Power Costs Forecast V2 (2009 Update)_NIM Summary" xfId="1001"/>
    <cellStyle name="_2008 Strat Plan Power Costs Forecast V2 (2009 Update)_NIM Summary 2" xfId="1002"/>
    <cellStyle name="_2008 Strat Plan Power Costs Forecast V2 (2009 Update)_NIM Summary 2 2" xfId="1003"/>
    <cellStyle name="_2008 Strat Plan Power Costs Forecast V2 (2009 Update)_NIM Summary 3" xfId="1004"/>
    <cellStyle name="_2008 Strat Plan Power Costs Forecast V2 (2009 Update)_NIM Summary_DEM-WP(C) ENERG10C--ctn Mid-C_042010 2010GRC" xfId="1005"/>
    <cellStyle name="_4.06E Pass Throughs" xfId="1006"/>
    <cellStyle name="_4.06E Pass Throughs 2" xfId="1007"/>
    <cellStyle name="_4.06E Pass Throughs 2 2" xfId="1008"/>
    <cellStyle name="_4.06E Pass Throughs 2 2 2" xfId="1009"/>
    <cellStyle name="_4.06E Pass Throughs 2 3" xfId="1010"/>
    <cellStyle name="_4.06E Pass Throughs 3" xfId="1011"/>
    <cellStyle name="_4.06E Pass Throughs 3 2" xfId="1012"/>
    <cellStyle name="_4.06E Pass Throughs 4" xfId="1013"/>
    <cellStyle name="_4.06E Pass Throughs 4 2" xfId="1014"/>
    <cellStyle name="_4.06E Pass Throughs 4 3" xfId="1015"/>
    <cellStyle name="_4.06E Pass Throughs 5" xfId="1016"/>
    <cellStyle name="_4.06E Pass Throughs 5 2" xfId="1017"/>
    <cellStyle name="_4.06E Pass Throughs 5 3" xfId="1018"/>
    <cellStyle name="_4.06E Pass Throughs 6" xfId="1019"/>
    <cellStyle name="_4.06E Pass Throughs 6 2" xfId="1020"/>
    <cellStyle name="_4.06E Pass Throughs 7" xfId="1021"/>
    <cellStyle name="_4.06E Pass Throughs 7 2" xfId="1022"/>
    <cellStyle name="_4.06E Pass Throughs 8" xfId="1023"/>
    <cellStyle name="_4.06E Pass Throughs 8 2" xfId="1024"/>
    <cellStyle name="_4.06E Pass Throughs_04 07E Wild Horse Wind Expansion (C) (2)" xfId="1025"/>
    <cellStyle name="_4.06E Pass Throughs_04 07E Wild Horse Wind Expansion (C) (2) 2" xfId="1026"/>
    <cellStyle name="_4.06E Pass Throughs_04 07E Wild Horse Wind Expansion (C) (2) 2 2" xfId="1027"/>
    <cellStyle name="_4.06E Pass Throughs_04 07E Wild Horse Wind Expansion (C) (2) 3" xfId="1028"/>
    <cellStyle name="_4.06E Pass Throughs_04 07E Wild Horse Wind Expansion (C) (2)_Adj Bench DR 3 for Initial Briefs (Electric)" xfId="1029"/>
    <cellStyle name="_4.06E Pass Throughs_04 07E Wild Horse Wind Expansion (C) (2)_Adj Bench DR 3 for Initial Briefs (Electric) 2" xfId="1030"/>
    <cellStyle name="_4.06E Pass Throughs_04 07E Wild Horse Wind Expansion (C) (2)_Adj Bench DR 3 for Initial Briefs (Electric) 2 2" xfId="1031"/>
    <cellStyle name="_4.06E Pass Throughs_04 07E Wild Horse Wind Expansion (C) (2)_Adj Bench DR 3 for Initial Briefs (Electric) 3" xfId="1032"/>
    <cellStyle name="_4.06E Pass Throughs_04 07E Wild Horse Wind Expansion (C) (2)_Adj Bench DR 3 for Initial Briefs (Electric)_DEM-WP(C) ENERG10C--ctn Mid-C_042010 2010GRC" xfId="1033"/>
    <cellStyle name="_4.06E Pass Throughs_04 07E Wild Horse Wind Expansion (C) (2)_Book1" xfId="1034"/>
    <cellStyle name="_4.06E Pass Throughs_04 07E Wild Horse Wind Expansion (C) (2)_DEM-WP(C) ENERG10C--ctn Mid-C_042010 2010GRC" xfId="1035"/>
    <cellStyle name="_4.06E Pass Throughs_04 07E Wild Horse Wind Expansion (C) (2)_Electric Rev Req Model (2009 GRC) " xfId="1036"/>
    <cellStyle name="_4.06E Pass Throughs_04 07E Wild Horse Wind Expansion (C) (2)_Electric Rev Req Model (2009 GRC)  2" xfId="1037"/>
    <cellStyle name="_4.06E Pass Throughs_04 07E Wild Horse Wind Expansion (C) (2)_Electric Rev Req Model (2009 GRC)  2 2" xfId="1038"/>
    <cellStyle name="_4.06E Pass Throughs_04 07E Wild Horse Wind Expansion (C) (2)_Electric Rev Req Model (2009 GRC)  3" xfId="1039"/>
    <cellStyle name="_4.06E Pass Throughs_04 07E Wild Horse Wind Expansion (C) (2)_Electric Rev Req Model (2009 GRC) _DEM-WP(C) ENERG10C--ctn Mid-C_042010 2010GRC" xfId="1040"/>
    <cellStyle name="_4.06E Pass Throughs_04 07E Wild Horse Wind Expansion (C) (2)_Electric Rev Req Model (2009 GRC) Rebuttal" xfId="1041"/>
    <cellStyle name="_4.06E Pass Throughs_04 07E Wild Horse Wind Expansion (C) (2)_Electric Rev Req Model (2009 GRC) Rebuttal 2" xfId="1042"/>
    <cellStyle name="_4.06E Pass Throughs_04 07E Wild Horse Wind Expansion (C) (2)_Electric Rev Req Model (2009 GRC) Rebuttal REmoval of New  WH Solar AdjustMI" xfId="1043"/>
    <cellStyle name="_4.06E Pass Throughs_04 07E Wild Horse Wind Expansion (C) (2)_Electric Rev Req Model (2009 GRC) Rebuttal REmoval of New  WH Solar AdjustMI 2" xfId="1044"/>
    <cellStyle name="_4.06E Pass Throughs_04 07E Wild Horse Wind Expansion (C) (2)_Electric Rev Req Model (2009 GRC) Rebuttal REmoval of New  WH Solar AdjustMI 2 2" xfId="1045"/>
    <cellStyle name="_4.06E Pass Throughs_04 07E Wild Horse Wind Expansion (C) (2)_Electric Rev Req Model (2009 GRC) Rebuttal REmoval of New  WH Solar AdjustMI 3" xfId="1046"/>
    <cellStyle name="_4.06E Pass Throughs_04 07E Wild Horse Wind Expansion (C) (2)_Electric Rev Req Model (2009 GRC) Rebuttal REmoval of New  WH Solar AdjustMI_DEM-WP(C) ENERG10C--ctn Mid-C_042010 2010GRC" xfId="1047"/>
    <cellStyle name="_4.06E Pass Throughs_04 07E Wild Horse Wind Expansion (C) (2)_Electric Rev Req Model (2009 GRC) Revised 01-18-2010" xfId="1048"/>
    <cellStyle name="_4.06E Pass Throughs_04 07E Wild Horse Wind Expansion (C) (2)_Electric Rev Req Model (2009 GRC) Revised 01-18-2010 2" xfId="1049"/>
    <cellStyle name="_4.06E Pass Throughs_04 07E Wild Horse Wind Expansion (C) (2)_Electric Rev Req Model (2009 GRC) Revised 01-18-2010 2 2" xfId="1050"/>
    <cellStyle name="_4.06E Pass Throughs_04 07E Wild Horse Wind Expansion (C) (2)_Electric Rev Req Model (2009 GRC) Revised 01-18-2010 3" xfId="1051"/>
    <cellStyle name="_4.06E Pass Throughs_04 07E Wild Horse Wind Expansion (C) (2)_Electric Rev Req Model (2009 GRC) Revised 01-18-2010_DEM-WP(C) ENERG10C--ctn Mid-C_042010 2010GRC" xfId="1052"/>
    <cellStyle name="_4.06E Pass Throughs_04 07E Wild Horse Wind Expansion (C) (2)_Electric Rev Req Model (2010 GRC)" xfId="1053"/>
    <cellStyle name="_4.06E Pass Throughs_04 07E Wild Horse Wind Expansion (C) (2)_Electric Rev Req Model (2010 GRC) SF" xfId="1054"/>
    <cellStyle name="_4.06E Pass Throughs_04 07E Wild Horse Wind Expansion (C) (2)_Final Order Electric EXHIBIT A-1" xfId="1055"/>
    <cellStyle name="_4.06E Pass Throughs_04 07E Wild Horse Wind Expansion (C) (2)_Final Order Electric EXHIBIT A-1 2" xfId="1056"/>
    <cellStyle name="_4.06E Pass Throughs_04 07E Wild Horse Wind Expansion (C) (2)_TENASKA REGULATORY ASSET" xfId="1057"/>
    <cellStyle name="_4.06E Pass Throughs_04 07E Wild Horse Wind Expansion (C) (2)_TENASKA REGULATORY ASSET 2" xfId="1058"/>
    <cellStyle name="_4.06E Pass Throughs_16.37E Wild Horse Expansion DeferralRevwrkingfile SF" xfId="1059"/>
    <cellStyle name="_4.06E Pass Throughs_16.37E Wild Horse Expansion DeferralRevwrkingfile SF 2" xfId="1060"/>
    <cellStyle name="_4.06E Pass Throughs_16.37E Wild Horse Expansion DeferralRevwrkingfile SF 2 2" xfId="1061"/>
    <cellStyle name="_4.06E Pass Throughs_16.37E Wild Horse Expansion DeferralRevwrkingfile SF 3" xfId="1062"/>
    <cellStyle name="_4.06E Pass Throughs_16.37E Wild Horse Expansion DeferralRevwrkingfile SF_DEM-WP(C) ENERG10C--ctn Mid-C_042010 2010GRC" xfId="1063"/>
    <cellStyle name="_4.06E Pass Throughs_2009 Compliance Filing PCA Exhibits for GRC" xfId="1064"/>
    <cellStyle name="_4.06E Pass Throughs_2009 Compliance Filing PCA Exhibits for GRC 2" xfId="1065"/>
    <cellStyle name="_4.06E Pass Throughs_2009 GRC Compl Filing - Exhibit D" xfId="1066"/>
    <cellStyle name="_4.06E Pass Throughs_2009 GRC Compl Filing - Exhibit D 2" xfId="1067"/>
    <cellStyle name="_4.06E Pass Throughs_2009 GRC Compl Filing - Exhibit D 2 2" xfId="1068"/>
    <cellStyle name="_4.06E Pass Throughs_2009 GRC Compl Filing - Exhibit D 3" xfId="1069"/>
    <cellStyle name="_4.06E Pass Throughs_2009 GRC Compl Filing - Exhibit D_DEM-WP(C) ENERG10C--ctn Mid-C_042010 2010GRC" xfId="1070"/>
    <cellStyle name="_4.06E Pass Throughs_3.01 Income Statement" xfId="1071"/>
    <cellStyle name="_4.06E Pass Throughs_4 31 Regulatory Assets and Liabilities  7 06- Exhibit D" xfId="1072"/>
    <cellStyle name="_4.06E Pass Throughs_4 31 Regulatory Assets and Liabilities  7 06- Exhibit D 2" xfId="1073"/>
    <cellStyle name="_4.06E Pass Throughs_4 31 Regulatory Assets and Liabilities  7 06- Exhibit D 2 2" xfId="1074"/>
    <cellStyle name="_4.06E Pass Throughs_4 31 Regulatory Assets and Liabilities  7 06- Exhibit D 2 2 2" xfId="1075"/>
    <cellStyle name="_4.06E Pass Throughs_4 31 Regulatory Assets and Liabilities  7 06- Exhibit D 3" xfId="1076"/>
    <cellStyle name="_4.06E Pass Throughs_4 31 Regulatory Assets and Liabilities  7 06- Exhibit D_DEM-WP(C) ENERG10C--ctn Mid-C_042010 2010GRC" xfId="1077"/>
    <cellStyle name="_4.06E Pass Throughs_4 31 Regulatory Assets and Liabilities  7 06- Exhibit D_NIM Summary" xfId="1078"/>
    <cellStyle name="_4.06E Pass Throughs_4 31 Regulatory Assets and Liabilities  7 06- Exhibit D_NIM Summary 2" xfId="1079"/>
    <cellStyle name="_4.06E Pass Throughs_4 31 Regulatory Assets and Liabilities  7 06- Exhibit D_NIM Summary 2 2" xfId="1080"/>
    <cellStyle name="_4.06E Pass Throughs_4 31 Regulatory Assets and Liabilities  7 06- Exhibit D_NIM Summary 3" xfId="1081"/>
    <cellStyle name="_4.06E Pass Throughs_4 31 Regulatory Assets and Liabilities  7 06- Exhibit D_NIM Summary_DEM-WP(C) ENERG10C--ctn Mid-C_042010 2010GRC" xfId="1082"/>
    <cellStyle name="_4.06E Pass Throughs_4 31 Regulatory Assets and Liabilities  7 06- Exhibit D_NIM+O&amp;M" xfId="1083"/>
    <cellStyle name="_4.06E Pass Throughs_4 31 Regulatory Assets and Liabilities  7 06- Exhibit D_NIM+O&amp;M Monthly" xfId="1084"/>
    <cellStyle name="_4.06E Pass Throughs_4 31E Reg Asset  Liab and EXH D" xfId="1085"/>
    <cellStyle name="_4.06E Pass Throughs_4 31E Reg Asset  Liab and EXH D _ Aug 10 Filing (2)" xfId="1086"/>
    <cellStyle name="_4.06E Pass Throughs_4 31E Reg Asset  Liab and EXH D _ Aug 10 Filing (2) 2" xfId="1087"/>
    <cellStyle name="_4.06E Pass Throughs_4 31E Reg Asset  Liab and EXH D 2" xfId="1088"/>
    <cellStyle name="_4.06E Pass Throughs_4 31E Reg Asset  Liab and EXH D 3" xfId="1089"/>
    <cellStyle name="_4.06E Pass Throughs_4 32 Regulatory Assets and Liabilities  7 06- Exhibit D" xfId="1090"/>
    <cellStyle name="_4.06E Pass Throughs_4 32 Regulatory Assets and Liabilities  7 06- Exhibit D 2" xfId="1091"/>
    <cellStyle name="_4.06E Pass Throughs_4 32 Regulatory Assets and Liabilities  7 06- Exhibit D 2 2" xfId="1092"/>
    <cellStyle name="_4.06E Pass Throughs_4 32 Regulatory Assets and Liabilities  7 06- Exhibit D 2 2 2" xfId="1093"/>
    <cellStyle name="_4.06E Pass Throughs_4 32 Regulatory Assets and Liabilities  7 06- Exhibit D 3" xfId="1094"/>
    <cellStyle name="_4.06E Pass Throughs_4 32 Regulatory Assets and Liabilities  7 06- Exhibit D_DEM-WP(C) ENERG10C--ctn Mid-C_042010 2010GRC" xfId="1095"/>
    <cellStyle name="_4.06E Pass Throughs_4 32 Regulatory Assets and Liabilities  7 06- Exhibit D_NIM Summary" xfId="1096"/>
    <cellStyle name="_4.06E Pass Throughs_4 32 Regulatory Assets and Liabilities  7 06- Exhibit D_NIM Summary 2" xfId="1097"/>
    <cellStyle name="_4.06E Pass Throughs_4 32 Regulatory Assets and Liabilities  7 06- Exhibit D_NIM Summary 2 2" xfId="1098"/>
    <cellStyle name="_4.06E Pass Throughs_4 32 Regulatory Assets and Liabilities  7 06- Exhibit D_NIM Summary 3" xfId="1099"/>
    <cellStyle name="_4.06E Pass Throughs_4 32 Regulatory Assets and Liabilities  7 06- Exhibit D_NIM Summary_DEM-WP(C) ENERG10C--ctn Mid-C_042010 2010GRC" xfId="1100"/>
    <cellStyle name="_4.06E Pass Throughs_4 32 Regulatory Assets and Liabilities  7 06- Exhibit D_NIM+O&amp;M" xfId="1101"/>
    <cellStyle name="_4.06E Pass Throughs_4 32 Regulatory Assets and Liabilities  7 06- Exhibit D_NIM+O&amp;M Monthly" xfId="1102"/>
    <cellStyle name="_4.06E Pass Throughs_AURORA Total New" xfId="1103"/>
    <cellStyle name="_4.06E Pass Throughs_AURORA Total New 2" xfId="1104"/>
    <cellStyle name="_4.06E Pass Throughs_AURORA Total New 2 2" xfId="1105"/>
    <cellStyle name="_4.06E Pass Throughs_AURORA Total New 3" xfId="1106"/>
    <cellStyle name="_4.06E Pass Throughs_Book2" xfId="1107"/>
    <cellStyle name="_4.06E Pass Throughs_Book2 2" xfId="1108"/>
    <cellStyle name="_4.06E Pass Throughs_Book2 2 2" xfId="1109"/>
    <cellStyle name="_4.06E Pass Throughs_Book2 3" xfId="1110"/>
    <cellStyle name="_4.06E Pass Throughs_Book2_Adj Bench DR 3 for Initial Briefs (Electric)" xfId="1111"/>
    <cellStyle name="_4.06E Pass Throughs_Book2_Adj Bench DR 3 for Initial Briefs (Electric) 2" xfId="1112"/>
    <cellStyle name="_4.06E Pass Throughs_Book2_Adj Bench DR 3 for Initial Briefs (Electric) 2 2" xfId="1113"/>
    <cellStyle name="_4.06E Pass Throughs_Book2_Adj Bench DR 3 for Initial Briefs (Electric) 3" xfId="1114"/>
    <cellStyle name="_4.06E Pass Throughs_Book2_Adj Bench DR 3 for Initial Briefs (Electric)_DEM-WP(C) ENERG10C--ctn Mid-C_042010 2010GRC" xfId="1115"/>
    <cellStyle name="_4.06E Pass Throughs_Book2_DEM-WP(C) ENERG10C--ctn Mid-C_042010 2010GRC" xfId="1116"/>
    <cellStyle name="_4.06E Pass Throughs_Book2_Electric Rev Req Model (2009 GRC) Rebuttal" xfId="1117"/>
    <cellStyle name="_4.06E Pass Throughs_Book2_Electric Rev Req Model (2009 GRC) Rebuttal 2" xfId="1118"/>
    <cellStyle name="_4.06E Pass Throughs_Book2_Electric Rev Req Model (2009 GRC) Rebuttal REmoval of New  WH Solar AdjustMI" xfId="1119"/>
    <cellStyle name="_4.06E Pass Throughs_Book2_Electric Rev Req Model (2009 GRC) Rebuttal REmoval of New  WH Solar AdjustMI 2" xfId="1120"/>
    <cellStyle name="_4.06E Pass Throughs_Book2_Electric Rev Req Model (2009 GRC) Rebuttal REmoval of New  WH Solar AdjustMI 2 2" xfId="1121"/>
    <cellStyle name="_4.06E Pass Throughs_Book2_Electric Rev Req Model (2009 GRC) Rebuttal REmoval of New  WH Solar AdjustMI 3" xfId="1122"/>
    <cellStyle name="_4.06E Pass Throughs_Book2_Electric Rev Req Model (2009 GRC) Rebuttal REmoval of New  WH Solar AdjustMI_DEM-WP(C) ENERG10C--ctn Mid-C_042010 2010GRC" xfId="1123"/>
    <cellStyle name="_4.06E Pass Throughs_Book2_Electric Rev Req Model (2009 GRC) Revised 01-18-2010" xfId="1124"/>
    <cellStyle name="_4.06E Pass Throughs_Book2_Electric Rev Req Model (2009 GRC) Revised 01-18-2010 2" xfId="1125"/>
    <cellStyle name="_4.06E Pass Throughs_Book2_Electric Rev Req Model (2009 GRC) Revised 01-18-2010 2 2" xfId="1126"/>
    <cellStyle name="_4.06E Pass Throughs_Book2_Electric Rev Req Model (2009 GRC) Revised 01-18-2010 3" xfId="1127"/>
    <cellStyle name="_4.06E Pass Throughs_Book2_Electric Rev Req Model (2009 GRC) Revised 01-18-2010_DEM-WP(C) ENERG10C--ctn Mid-C_042010 2010GRC" xfId="1128"/>
    <cellStyle name="_4.06E Pass Throughs_Book2_Final Order Electric EXHIBIT A-1" xfId="1129"/>
    <cellStyle name="_4.06E Pass Throughs_Book2_Final Order Electric EXHIBIT A-1 2" xfId="1130"/>
    <cellStyle name="_4.06E Pass Throughs_Book4" xfId="1131"/>
    <cellStyle name="_4.06E Pass Throughs_Book4 2" xfId="1132"/>
    <cellStyle name="_4.06E Pass Throughs_Book4 2 2" xfId="1133"/>
    <cellStyle name="_4.06E Pass Throughs_Book4 3" xfId="1134"/>
    <cellStyle name="_4.06E Pass Throughs_Book4_DEM-WP(C) ENERG10C--ctn Mid-C_042010 2010GRC" xfId="1135"/>
    <cellStyle name="_4.06E Pass Throughs_Book9" xfId="1136"/>
    <cellStyle name="_4.06E Pass Throughs_Book9 2" xfId="1137"/>
    <cellStyle name="_4.06E Pass Throughs_Book9 2 2" xfId="1138"/>
    <cellStyle name="_4.06E Pass Throughs_Book9 3" xfId="1139"/>
    <cellStyle name="_4.06E Pass Throughs_Book9_DEM-WP(C) ENERG10C--ctn Mid-C_042010 2010GRC" xfId="1140"/>
    <cellStyle name="_4.06E Pass Throughs_Chelan PUD Power Costs (8-10)" xfId="1141"/>
    <cellStyle name="_4.06E Pass Throughs_Chelan PUD Power Costs (8-10) 2" xfId="1142"/>
    <cellStyle name="_4.06E Pass Throughs_DEM-WP(C) Chelan Power Costs" xfId="1143"/>
    <cellStyle name="_4.06E Pass Throughs_DEM-WP(C) Chelan Power Costs 2" xfId="1144"/>
    <cellStyle name="_4.06E Pass Throughs_DEM-WP(C) ENERG10C--ctn Mid-C_042010 2010GRC" xfId="1145"/>
    <cellStyle name="_4.06E Pass Throughs_DEM-WP(C) Gas Transport 2010GRC" xfId="1146"/>
    <cellStyle name="_4.06E Pass Throughs_DEM-WP(C) Gas Transport 2010GRC 2" xfId="1147"/>
    <cellStyle name="_4.06E Pass Throughs_Exh A-1 resulting from UE-112050 effective Jan 1 2012" xfId="1148"/>
    <cellStyle name="_4.06E Pass Throughs_Exh G - Klamath Peaker PPA fr C Locke 2-12" xfId="1149"/>
    <cellStyle name="_4.06E Pass Throughs_Exhibit A-1 effective 4-1-11 fr S Free 12-11" xfId="1150"/>
    <cellStyle name="_4.06E Pass Throughs_Mint Farm Generation BPA" xfId="1151"/>
    <cellStyle name="_4.06E Pass Throughs_NIM Summary" xfId="1152"/>
    <cellStyle name="_4.06E Pass Throughs_NIM Summary 09GRC" xfId="1153"/>
    <cellStyle name="_4.06E Pass Throughs_NIM Summary 09GRC 2" xfId="1154"/>
    <cellStyle name="_4.06E Pass Throughs_NIM Summary 09GRC 2 2" xfId="1155"/>
    <cellStyle name="_4.06E Pass Throughs_NIM Summary 09GRC 3" xfId="1156"/>
    <cellStyle name="_4.06E Pass Throughs_NIM Summary 09GRC_DEM-WP(C) ENERG10C--ctn Mid-C_042010 2010GRC" xfId="1157"/>
    <cellStyle name="_4.06E Pass Throughs_NIM Summary 10" xfId="1158"/>
    <cellStyle name="_4.06E Pass Throughs_NIM Summary 11" xfId="1159"/>
    <cellStyle name="_4.06E Pass Throughs_NIM Summary 12" xfId="1160"/>
    <cellStyle name="_4.06E Pass Throughs_NIM Summary 13" xfId="1161"/>
    <cellStyle name="_4.06E Pass Throughs_NIM Summary 14" xfId="1162"/>
    <cellStyle name="_4.06E Pass Throughs_NIM Summary 15" xfId="1163"/>
    <cellStyle name="_4.06E Pass Throughs_NIM Summary 16" xfId="1164"/>
    <cellStyle name="_4.06E Pass Throughs_NIM Summary 17" xfId="1165"/>
    <cellStyle name="_4.06E Pass Throughs_NIM Summary 18" xfId="1166"/>
    <cellStyle name="_4.06E Pass Throughs_NIM Summary 19" xfId="1167"/>
    <cellStyle name="_4.06E Pass Throughs_NIM Summary 2" xfId="1168"/>
    <cellStyle name="_4.06E Pass Throughs_NIM Summary 2 2" xfId="1169"/>
    <cellStyle name="_4.06E Pass Throughs_NIM Summary 20" xfId="1170"/>
    <cellStyle name="_4.06E Pass Throughs_NIM Summary 21" xfId="1171"/>
    <cellStyle name="_4.06E Pass Throughs_NIM Summary 22" xfId="1172"/>
    <cellStyle name="_4.06E Pass Throughs_NIM Summary 23" xfId="1173"/>
    <cellStyle name="_4.06E Pass Throughs_NIM Summary 24" xfId="1174"/>
    <cellStyle name="_4.06E Pass Throughs_NIM Summary 25" xfId="1175"/>
    <cellStyle name="_4.06E Pass Throughs_NIM Summary 26" xfId="1176"/>
    <cellStyle name="_4.06E Pass Throughs_NIM Summary 27" xfId="1177"/>
    <cellStyle name="_4.06E Pass Throughs_NIM Summary 28" xfId="1178"/>
    <cellStyle name="_4.06E Pass Throughs_NIM Summary 29" xfId="1179"/>
    <cellStyle name="_4.06E Pass Throughs_NIM Summary 3" xfId="1180"/>
    <cellStyle name="_4.06E Pass Throughs_NIM Summary 30" xfId="1181"/>
    <cellStyle name="_4.06E Pass Throughs_NIM Summary 31" xfId="1182"/>
    <cellStyle name="_4.06E Pass Throughs_NIM Summary 32" xfId="1183"/>
    <cellStyle name="_4.06E Pass Throughs_NIM Summary 33" xfId="1184"/>
    <cellStyle name="_4.06E Pass Throughs_NIM Summary 34" xfId="1185"/>
    <cellStyle name="_4.06E Pass Throughs_NIM Summary 35" xfId="1186"/>
    <cellStyle name="_4.06E Pass Throughs_NIM Summary 36" xfId="1187"/>
    <cellStyle name="_4.06E Pass Throughs_NIM Summary 37" xfId="1188"/>
    <cellStyle name="_4.06E Pass Throughs_NIM Summary 38" xfId="1189"/>
    <cellStyle name="_4.06E Pass Throughs_NIM Summary 39" xfId="1190"/>
    <cellStyle name="_4.06E Pass Throughs_NIM Summary 4" xfId="1191"/>
    <cellStyle name="_4.06E Pass Throughs_NIM Summary 40" xfId="1192"/>
    <cellStyle name="_4.06E Pass Throughs_NIM Summary 41" xfId="1193"/>
    <cellStyle name="_4.06E Pass Throughs_NIM Summary 42" xfId="1194"/>
    <cellStyle name="_4.06E Pass Throughs_NIM Summary 43" xfId="1195"/>
    <cellStyle name="_4.06E Pass Throughs_NIM Summary 44" xfId="1196"/>
    <cellStyle name="_4.06E Pass Throughs_NIM Summary 45" xfId="1197"/>
    <cellStyle name="_4.06E Pass Throughs_NIM Summary 46" xfId="1198"/>
    <cellStyle name="_4.06E Pass Throughs_NIM Summary 47" xfId="1199"/>
    <cellStyle name="_4.06E Pass Throughs_NIM Summary 48" xfId="1200"/>
    <cellStyle name="_4.06E Pass Throughs_NIM Summary 49" xfId="1201"/>
    <cellStyle name="_4.06E Pass Throughs_NIM Summary 5" xfId="1202"/>
    <cellStyle name="_4.06E Pass Throughs_NIM Summary 50" xfId="1203"/>
    <cellStyle name="_4.06E Pass Throughs_NIM Summary 51" xfId="1204"/>
    <cellStyle name="_4.06E Pass Throughs_NIM Summary 52" xfId="1205"/>
    <cellStyle name="_4.06E Pass Throughs_NIM Summary 6" xfId="1206"/>
    <cellStyle name="_4.06E Pass Throughs_NIM Summary 7" xfId="1207"/>
    <cellStyle name="_4.06E Pass Throughs_NIM Summary 8" xfId="1208"/>
    <cellStyle name="_4.06E Pass Throughs_NIM Summary 9" xfId="1209"/>
    <cellStyle name="_4.06E Pass Throughs_NIM Summary_DEM-WP(C) ENERG10C--ctn Mid-C_042010 2010GRC" xfId="1210"/>
    <cellStyle name="_4.06E Pass Throughs_NIM+O&amp;M" xfId="1211"/>
    <cellStyle name="_4.06E Pass Throughs_NIM+O&amp;M 2" xfId="1212"/>
    <cellStyle name="_4.06E Pass Throughs_NIM+O&amp;M Monthly" xfId="1213"/>
    <cellStyle name="_4.06E Pass Throughs_NIM+O&amp;M Monthly 2" xfId="1214"/>
    <cellStyle name="_4.06E Pass Throughs_PCA 10 -  Exhibit D Dec 2011" xfId="1215"/>
    <cellStyle name="_4.06E Pass Throughs_PCA 10 -  Exhibit D from A Kellogg Jan 2011" xfId="1216"/>
    <cellStyle name="_4.06E Pass Throughs_PCA 10 -  Exhibit D from A Kellogg July 2011" xfId="1217"/>
    <cellStyle name="_4.06E Pass Throughs_PCA 10 -  Exhibit D from S Free Rcv'd 12-11" xfId="1218"/>
    <cellStyle name="_4.06E Pass Throughs_PCA 11 -  Exhibit D Jan 2012 fr A Kellogg" xfId="1219"/>
    <cellStyle name="_4.06E Pass Throughs_PCA 11 -  Exhibit D Jan 2012 WF" xfId="1220"/>
    <cellStyle name="_4.06E Pass Throughs_PCA 9 -  Exhibit D April 2010" xfId="1221"/>
    <cellStyle name="_4.06E Pass Throughs_PCA 9 -  Exhibit D April 2010 (3)" xfId="1222"/>
    <cellStyle name="_4.06E Pass Throughs_PCA 9 -  Exhibit D April 2010 (3) 2" xfId="1223"/>
    <cellStyle name="_4.06E Pass Throughs_PCA 9 -  Exhibit D April 2010 (3) 2 2" xfId="1224"/>
    <cellStyle name="_4.06E Pass Throughs_PCA 9 -  Exhibit D April 2010 (3) 3" xfId="1225"/>
    <cellStyle name="_4.06E Pass Throughs_PCA 9 -  Exhibit D April 2010 (3)_DEM-WP(C) ENERG10C--ctn Mid-C_042010 2010GRC" xfId="1226"/>
    <cellStyle name="_4.06E Pass Throughs_PCA 9 -  Exhibit D April 2010 2" xfId="1227"/>
    <cellStyle name="_4.06E Pass Throughs_PCA 9 -  Exhibit D April 2010 3" xfId="1228"/>
    <cellStyle name="_4.06E Pass Throughs_PCA 9 -  Exhibit D April 2010 4" xfId="1229"/>
    <cellStyle name="_4.06E Pass Throughs_PCA 9 -  Exhibit D April 2010 5" xfId="1230"/>
    <cellStyle name="_4.06E Pass Throughs_PCA 9 -  Exhibit D April 2010 6" xfId="1231"/>
    <cellStyle name="_4.06E Pass Throughs_PCA 9 -  Exhibit D Nov 2010" xfId="1232"/>
    <cellStyle name="_4.06E Pass Throughs_PCA 9 -  Exhibit D Nov 2010 2" xfId="1233"/>
    <cellStyle name="_4.06E Pass Throughs_PCA 9 - Exhibit D at August 2010" xfId="1234"/>
    <cellStyle name="_4.06E Pass Throughs_PCA 9 - Exhibit D at August 2010 2" xfId="1235"/>
    <cellStyle name="_4.06E Pass Throughs_PCA 9 - Exhibit D June 2010 GRC" xfId="1236"/>
    <cellStyle name="_4.06E Pass Throughs_PCA 9 - Exhibit D June 2010 GRC 2" xfId="1237"/>
    <cellStyle name="_4.06E Pass Throughs_Power Costs - Comparison bx Rbtl-Staff-Jt-PC" xfId="1238"/>
    <cellStyle name="_4.06E Pass Throughs_Power Costs - Comparison bx Rbtl-Staff-Jt-PC 2" xfId="1239"/>
    <cellStyle name="_4.06E Pass Throughs_Power Costs - Comparison bx Rbtl-Staff-Jt-PC 2 2" xfId="1240"/>
    <cellStyle name="_4.06E Pass Throughs_Power Costs - Comparison bx Rbtl-Staff-Jt-PC 3" xfId="1241"/>
    <cellStyle name="_4.06E Pass Throughs_Power Costs - Comparison bx Rbtl-Staff-Jt-PC_Adj Bench DR 3 for Initial Briefs (Electric)" xfId="1242"/>
    <cellStyle name="_4.06E Pass Throughs_Power Costs - Comparison bx Rbtl-Staff-Jt-PC_Adj Bench DR 3 for Initial Briefs (Electric) 2" xfId="1243"/>
    <cellStyle name="_4.06E Pass Throughs_Power Costs - Comparison bx Rbtl-Staff-Jt-PC_Adj Bench DR 3 for Initial Briefs (Electric) 2 2" xfId="1244"/>
    <cellStyle name="_4.06E Pass Throughs_Power Costs - Comparison bx Rbtl-Staff-Jt-PC_Adj Bench DR 3 for Initial Briefs (Electric) 3" xfId="1245"/>
    <cellStyle name="_4.06E Pass Throughs_Power Costs - Comparison bx Rbtl-Staff-Jt-PC_Adj Bench DR 3 for Initial Briefs (Electric)_DEM-WP(C) ENERG10C--ctn Mid-C_042010 2010GRC" xfId="1246"/>
    <cellStyle name="_4.06E Pass Throughs_Power Costs - Comparison bx Rbtl-Staff-Jt-PC_DEM-WP(C) ENERG10C--ctn Mid-C_042010 2010GRC" xfId="1247"/>
    <cellStyle name="_4.06E Pass Throughs_Power Costs - Comparison bx Rbtl-Staff-Jt-PC_Electric Rev Req Model (2009 GRC) Rebuttal" xfId="1248"/>
    <cellStyle name="_4.06E Pass Throughs_Power Costs - Comparison bx Rbtl-Staff-Jt-PC_Electric Rev Req Model (2009 GRC) Rebuttal 2" xfId="1249"/>
    <cellStyle name="_4.06E Pass Throughs_Power Costs - Comparison bx Rbtl-Staff-Jt-PC_Electric Rev Req Model (2009 GRC) Rebuttal REmoval of New  WH Solar AdjustMI" xfId="1250"/>
    <cellStyle name="_4.06E Pass Throughs_Power Costs - Comparison bx Rbtl-Staff-Jt-PC_Electric Rev Req Model (2009 GRC) Rebuttal REmoval of New  WH Solar AdjustMI 2" xfId="1251"/>
    <cellStyle name="_4.06E Pass Throughs_Power Costs - Comparison bx Rbtl-Staff-Jt-PC_Electric Rev Req Model (2009 GRC) Rebuttal REmoval of New  WH Solar AdjustMI 2 2" xfId="1252"/>
    <cellStyle name="_4.06E Pass Throughs_Power Costs - Comparison bx Rbtl-Staff-Jt-PC_Electric Rev Req Model (2009 GRC) Rebuttal REmoval of New  WH Solar AdjustMI 3" xfId="1253"/>
    <cellStyle name="_4.06E Pass Throughs_Power Costs - Comparison bx Rbtl-Staff-Jt-PC_Electric Rev Req Model (2009 GRC) Rebuttal REmoval of New  WH Solar AdjustMI_DEM-WP(C) ENERG10C--ctn Mid-C_042010 2010GRC" xfId="1254"/>
    <cellStyle name="_4.06E Pass Throughs_Power Costs - Comparison bx Rbtl-Staff-Jt-PC_Electric Rev Req Model (2009 GRC) Revised 01-18-2010" xfId="1255"/>
    <cellStyle name="_4.06E Pass Throughs_Power Costs - Comparison bx Rbtl-Staff-Jt-PC_Electric Rev Req Model (2009 GRC) Revised 01-18-2010 2" xfId="1256"/>
    <cellStyle name="_4.06E Pass Throughs_Power Costs - Comparison bx Rbtl-Staff-Jt-PC_Electric Rev Req Model (2009 GRC) Revised 01-18-2010 2 2" xfId="1257"/>
    <cellStyle name="_4.06E Pass Throughs_Power Costs - Comparison bx Rbtl-Staff-Jt-PC_Electric Rev Req Model (2009 GRC) Revised 01-18-2010 3" xfId="1258"/>
    <cellStyle name="_4.06E Pass Throughs_Power Costs - Comparison bx Rbtl-Staff-Jt-PC_Electric Rev Req Model (2009 GRC) Revised 01-18-2010_DEM-WP(C) ENERG10C--ctn Mid-C_042010 2010GRC" xfId="1259"/>
    <cellStyle name="_4.06E Pass Throughs_Power Costs - Comparison bx Rbtl-Staff-Jt-PC_Final Order Electric EXHIBIT A-1" xfId="1260"/>
    <cellStyle name="_4.06E Pass Throughs_Power Costs - Comparison bx Rbtl-Staff-Jt-PC_Final Order Electric EXHIBIT A-1 2" xfId="1261"/>
    <cellStyle name="_4.06E Pass Throughs_Production Adj 4.37" xfId="21232"/>
    <cellStyle name="_4.06E Pass Throughs_Purchased Power Adj 4.03" xfId="21233"/>
    <cellStyle name="_4.06E Pass Throughs_Rebuttal Power Costs" xfId="1262"/>
    <cellStyle name="_4.06E Pass Throughs_Rebuttal Power Costs 2" xfId="1263"/>
    <cellStyle name="_4.06E Pass Throughs_Rebuttal Power Costs 2 2" xfId="1264"/>
    <cellStyle name="_4.06E Pass Throughs_Rebuttal Power Costs 3" xfId="1265"/>
    <cellStyle name="_4.06E Pass Throughs_Rebuttal Power Costs_Adj Bench DR 3 for Initial Briefs (Electric)" xfId="1266"/>
    <cellStyle name="_4.06E Pass Throughs_Rebuttal Power Costs_Adj Bench DR 3 for Initial Briefs (Electric) 2" xfId="1267"/>
    <cellStyle name="_4.06E Pass Throughs_Rebuttal Power Costs_Adj Bench DR 3 for Initial Briefs (Electric) 2 2" xfId="1268"/>
    <cellStyle name="_4.06E Pass Throughs_Rebuttal Power Costs_Adj Bench DR 3 for Initial Briefs (Electric) 3" xfId="1269"/>
    <cellStyle name="_4.06E Pass Throughs_Rebuttal Power Costs_Adj Bench DR 3 for Initial Briefs (Electric)_DEM-WP(C) ENERG10C--ctn Mid-C_042010 2010GRC" xfId="1270"/>
    <cellStyle name="_4.06E Pass Throughs_Rebuttal Power Costs_DEM-WP(C) ENERG10C--ctn Mid-C_042010 2010GRC" xfId="1271"/>
    <cellStyle name="_4.06E Pass Throughs_Rebuttal Power Costs_Electric Rev Req Model (2009 GRC) Rebuttal" xfId="1272"/>
    <cellStyle name="_4.06E Pass Throughs_Rebuttal Power Costs_Electric Rev Req Model (2009 GRC) Rebuttal 2" xfId="1273"/>
    <cellStyle name="_4.06E Pass Throughs_Rebuttal Power Costs_Electric Rev Req Model (2009 GRC) Rebuttal REmoval of New  WH Solar AdjustMI" xfId="1274"/>
    <cellStyle name="_4.06E Pass Throughs_Rebuttal Power Costs_Electric Rev Req Model (2009 GRC) Rebuttal REmoval of New  WH Solar AdjustMI 2" xfId="1275"/>
    <cellStyle name="_4.06E Pass Throughs_Rebuttal Power Costs_Electric Rev Req Model (2009 GRC) Rebuttal REmoval of New  WH Solar AdjustMI 2 2" xfId="1276"/>
    <cellStyle name="_4.06E Pass Throughs_Rebuttal Power Costs_Electric Rev Req Model (2009 GRC) Rebuttal REmoval of New  WH Solar AdjustMI 3" xfId="1277"/>
    <cellStyle name="_4.06E Pass Throughs_Rebuttal Power Costs_Electric Rev Req Model (2009 GRC) Rebuttal REmoval of New  WH Solar AdjustMI_DEM-WP(C) ENERG10C--ctn Mid-C_042010 2010GRC" xfId="1278"/>
    <cellStyle name="_4.06E Pass Throughs_Rebuttal Power Costs_Electric Rev Req Model (2009 GRC) Revised 01-18-2010" xfId="1279"/>
    <cellStyle name="_4.06E Pass Throughs_Rebuttal Power Costs_Electric Rev Req Model (2009 GRC) Revised 01-18-2010 2" xfId="1280"/>
    <cellStyle name="_4.06E Pass Throughs_Rebuttal Power Costs_Electric Rev Req Model (2009 GRC) Revised 01-18-2010 2 2" xfId="1281"/>
    <cellStyle name="_4.06E Pass Throughs_Rebuttal Power Costs_Electric Rev Req Model (2009 GRC) Revised 01-18-2010 3" xfId="1282"/>
    <cellStyle name="_4.06E Pass Throughs_Rebuttal Power Costs_Electric Rev Req Model (2009 GRC) Revised 01-18-2010_DEM-WP(C) ENERG10C--ctn Mid-C_042010 2010GRC" xfId="1283"/>
    <cellStyle name="_4.06E Pass Throughs_Rebuttal Power Costs_Final Order Electric EXHIBIT A-1" xfId="1284"/>
    <cellStyle name="_4.06E Pass Throughs_Rebuttal Power Costs_Final Order Electric EXHIBIT A-1 2" xfId="1285"/>
    <cellStyle name="_4.06E Pass Throughs_ROR 5.02" xfId="21234"/>
    <cellStyle name="_4.06E Pass Throughs_Wind Integration 10GRC" xfId="1286"/>
    <cellStyle name="_4.06E Pass Throughs_Wind Integration 10GRC 2" xfId="1287"/>
    <cellStyle name="_4.06E Pass Throughs_Wind Integration 10GRC 2 2" xfId="1288"/>
    <cellStyle name="_4.06E Pass Throughs_Wind Integration 10GRC 3" xfId="1289"/>
    <cellStyle name="_4.06E Pass Throughs_Wind Integration 10GRC_DEM-WP(C) ENERG10C--ctn Mid-C_042010 2010GRC" xfId="1290"/>
    <cellStyle name="_4.13E Montana Energy Tax" xfId="1291"/>
    <cellStyle name="_4.13E Montana Energy Tax 2" xfId="1292"/>
    <cellStyle name="_4.13E Montana Energy Tax 2 2" xfId="1293"/>
    <cellStyle name="_4.13E Montana Energy Tax 2 2 2" xfId="1294"/>
    <cellStyle name="_4.13E Montana Energy Tax 2 3" xfId="1295"/>
    <cellStyle name="_4.13E Montana Energy Tax 3" xfId="1296"/>
    <cellStyle name="_4.13E Montana Energy Tax 3 2" xfId="1297"/>
    <cellStyle name="_4.13E Montana Energy Tax 4" xfId="1298"/>
    <cellStyle name="_4.13E Montana Energy Tax 4 2" xfId="1299"/>
    <cellStyle name="_4.13E Montana Energy Tax 4 3" xfId="1300"/>
    <cellStyle name="_4.13E Montana Energy Tax 5" xfId="1301"/>
    <cellStyle name="_4.13E Montana Energy Tax 5 2" xfId="1302"/>
    <cellStyle name="_4.13E Montana Energy Tax 6" xfId="1303"/>
    <cellStyle name="_4.13E Montana Energy Tax 6 2" xfId="1304"/>
    <cellStyle name="_4.13E Montana Energy Tax 7" xfId="1305"/>
    <cellStyle name="_4.13E Montana Energy Tax 7 2" xfId="1306"/>
    <cellStyle name="_4.13E Montana Energy Tax_04 07E Wild Horse Wind Expansion (C) (2)" xfId="1307"/>
    <cellStyle name="_4.13E Montana Energy Tax_04 07E Wild Horse Wind Expansion (C) (2) 2" xfId="1308"/>
    <cellStyle name="_4.13E Montana Energy Tax_04 07E Wild Horse Wind Expansion (C) (2) 2 2" xfId="1309"/>
    <cellStyle name="_4.13E Montana Energy Tax_04 07E Wild Horse Wind Expansion (C) (2) 3" xfId="1310"/>
    <cellStyle name="_4.13E Montana Energy Tax_04 07E Wild Horse Wind Expansion (C) (2)_Adj Bench DR 3 for Initial Briefs (Electric)" xfId="1311"/>
    <cellStyle name="_4.13E Montana Energy Tax_04 07E Wild Horse Wind Expansion (C) (2)_Adj Bench DR 3 for Initial Briefs (Electric) 2" xfId="1312"/>
    <cellStyle name="_4.13E Montana Energy Tax_04 07E Wild Horse Wind Expansion (C) (2)_Adj Bench DR 3 for Initial Briefs (Electric) 2 2" xfId="1313"/>
    <cellStyle name="_4.13E Montana Energy Tax_04 07E Wild Horse Wind Expansion (C) (2)_Adj Bench DR 3 for Initial Briefs (Electric) 3" xfId="1314"/>
    <cellStyle name="_4.13E Montana Energy Tax_04 07E Wild Horse Wind Expansion (C) (2)_Adj Bench DR 3 for Initial Briefs (Electric)_DEM-WP(C) ENERG10C--ctn Mid-C_042010 2010GRC" xfId="1315"/>
    <cellStyle name="_4.13E Montana Energy Tax_04 07E Wild Horse Wind Expansion (C) (2)_Book1" xfId="1316"/>
    <cellStyle name="_4.13E Montana Energy Tax_04 07E Wild Horse Wind Expansion (C) (2)_DEM-WP(C) ENERG10C--ctn Mid-C_042010 2010GRC" xfId="1317"/>
    <cellStyle name="_4.13E Montana Energy Tax_04 07E Wild Horse Wind Expansion (C) (2)_Electric Rev Req Model (2009 GRC) " xfId="1318"/>
    <cellStyle name="_4.13E Montana Energy Tax_04 07E Wild Horse Wind Expansion (C) (2)_Electric Rev Req Model (2009 GRC)  2" xfId="1319"/>
    <cellStyle name="_4.13E Montana Energy Tax_04 07E Wild Horse Wind Expansion (C) (2)_Electric Rev Req Model (2009 GRC)  2 2" xfId="1320"/>
    <cellStyle name="_4.13E Montana Energy Tax_04 07E Wild Horse Wind Expansion (C) (2)_Electric Rev Req Model (2009 GRC)  3" xfId="1321"/>
    <cellStyle name="_4.13E Montana Energy Tax_04 07E Wild Horse Wind Expansion (C) (2)_Electric Rev Req Model (2009 GRC) _DEM-WP(C) ENERG10C--ctn Mid-C_042010 2010GRC" xfId="1322"/>
    <cellStyle name="_4.13E Montana Energy Tax_04 07E Wild Horse Wind Expansion (C) (2)_Electric Rev Req Model (2009 GRC) Rebuttal" xfId="1323"/>
    <cellStyle name="_4.13E Montana Energy Tax_04 07E Wild Horse Wind Expansion (C) (2)_Electric Rev Req Model (2009 GRC) Rebuttal 2" xfId="1324"/>
    <cellStyle name="_4.13E Montana Energy Tax_04 07E Wild Horse Wind Expansion (C) (2)_Electric Rev Req Model (2009 GRC) Rebuttal REmoval of New  WH Solar AdjustMI" xfId="1325"/>
    <cellStyle name="_4.13E Montana Energy Tax_04 07E Wild Horse Wind Expansion (C) (2)_Electric Rev Req Model (2009 GRC) Rebuttal REmoval of New  WH Solar AdjustMI 2" xfId="1326"/>
    <cellStyle name="_4.13E Montana Energy Tax_04 07E Wild Horse Wind Expansion (C) (2)_Electric Rev Req Model (2009 GRC) Rebuttal REmoval of New  WH Solar AdjustMI 2 2" xfId="1327"/>
    <cellStyle name="_4.13E Montana Energy Tax_04 07E Wild Horse Wind Expansion (C) (2)_Electric Rev Req Model (2009 GRC) Rebuttal REmoval of New  WH Solar AdjustMI 3" xfId="1328"/>
    <cellStyle name="_4.13E Montana Energy Tax_04 07E Wild Horse Wind Expansion (C) (2)_Electric Rev Req Model (2009 GRC) Rebuttal REmoval of New  WH Solar AdjustMI_DEM-WP(C) ENERG10C--ctn Mid-C_042010 2010GRC" xfId="1329"/>
    <cellStyle name="_4.13E Montana Energy Tax_04 07E Wild Horse Wind Expansion (C) (2)_Electric Rev Req Model (2009 GRC) Revised 01-18-2010" xfId="1330"/>
    <cellStyle name="_4.13E Montana Energy Tax_04 07E Wild Horse Wind Expansion (C) (2)_Electric Rev Req Model (2009 GRC) Revised 01-18-2010 2" xfId="1331"/>
    <cellStyle name="_4.13E Montana Energy Tax_04 07E Wild Horse Wind Expansion (C) (2)_Electric Rev Req Model (2009 GRC) Revised 01-18-2010 2 2" xfId="1332"/>
    <cellStyle name="_4.13E Montana Energy Tax_04 07E Wild Horse Wind Expansion (C) (2)_Electric Rev Req Model (2009 GRC) Revised 01-18-2010 3" xfId="1333"/>
    <cellStyle name="_4.13E Montana Energy Tax_04 07E Wild Horse Wind Expansion (C) (2)_Electric Rev Req Model (2009 GRC) Revised 01-18-2010_DEM-WP(C) ENERG10C--ctn Mid-C_042010 2010GRC" xfId="1334"/>
    <cellStyle name="_4.13E Montana Energy Tax_04 07E Wild Horse Wind Expansion (C) (2)_Electric Rev Req Model (2010 GRC)" xfId="1335"/>
    <cellStyle name="_4.13E Montana Energy Tax_04 07E Wild Horse Wind Expansion (C) (2)_Electric Rev Req Model (2010 GRC) SF" xfId="1336"/>
    <cellStyle name="_4.13E Montana Energy Tax_04 07E Wild Horse Wind Expansion (C) (2)_Final Order Electric EXHIBIT A-1" xfId="1337"/>
    <cellStyle name="_4.13E Montana Energy Tax_04 07E Wild Horse Wind Expansion (C) (2)_Final Order Electric EXHIBIT A-1 2" xfId="1338"/>
    <cellStyle name="_4.13E Montana Energy Tax_04 07E Wild Horse Wind Expansion (C) (2)_TENASKA REGULATORY ASSET" xfId="1339"/>
    <cellStyle name="_4.13E Montana Energy Tax_04 07E Wild Horse Wind Expansion (C) (2)_TENASKA REGULATORY ASSET 2" xfId="1340"/>
    <cellStyle name="_4.13E Montana Energy Tax_16.37E Wild Horse Expansion DeferralRevwrkingfile SF" xfId="1341"/>
    <cellStyle name="_4.13E Montana Energy Tax_16.37E Wild Horse Expansion DeferralRevwrkingfile SF 2" xfId="1342"/>
    <cellStyle name="_4.13E Montana Energy Tax_16.37E Wild Horse Expansion DeferralRevwrkingfile SF 2 2" xfId="1343"/>
    <cellStyle name="_4.13E Montana Energy Tax_16.37E Wild Horse Expansion DeferralRevwrkingfile SF 3" xfId="1344"/>
    <cellStyle name="_4.13E Montana Energy Tax_16.37E Wild Horse Expansion DeferralRevwrkingfile SF_DEM-WP(C) ENERG10C--ctn Mid-C_042010 2010GRC" xfId="1345"/>
    <cellStyle name="_4.13E Montana Energy Tax_2009 Compliance Filing PCA Exhibits for GRC" xfId="1346"/>
    <cellStyle name="_4.13E Montana Energy Tax_2009 Compliance Filing PCA Exhibits for GRC 2" xfId="1347"/>
    <cellStyle name="_4.13E Montana Energy Tax_2009 GRC Compl Filing - Exhibit D" xfId="1348"/>
    <cellStyle name="_4.13E Montana Energy Tax_2009 GRC Compl Filing - Exhibit D 2" xfId="1349"/>
    <cellStyle name="_4.13E Montana Energy Tax_2009 GRC Compl Filing - Exhibit D 2 2" xfId="1350"/>
    <cellStyle name="_4.13E Montana Energy Tax_2009 GRC Compl Filing - Exhibit D 3" xfId="1351"/>
    <cellStyle name="_4.13E Montana Energy Tax_2009 GRC Compl Filing - Exhibit D_DEM-WP(C) ENERG10C--ctn Mid-C_042010 2010GRC" xfId="1352"/>
    <cellStyle name="_4.13E Montana Energy Tax_3.01 Income Statement" xfId="1353"/>
    <cellStyle name="_4.13E Montana Energy Tax_4 31 Regulatory Assets and Liabilities  7 06- Exhibit D" xfId="1354"/>
    <cellStyle name="_4.13E Montana Energy Tax_4 31 Regulatory Assets and Liabilities  7 06- Exhibit D 2" xfId="1355"/>
    <cellStyle name="_4.13E Montana Energy Tax_4 31 Regulatory Assets and Liabilities  7 06- Exhibit D 2 2" xfId="1356"/>
    <cellStyle name="_4.13E Montana Energy Tax_4 31 Regulatory Assets and Liabilities  7 06- Exhibit D 3" xfId="1357"/>
    <cellStyle name="_4.13E Montana Energy Tax_4 31 Regulatory Assets and Liabilities  7 06- Exhibit D_DEM-WP(C) ENERG10C--ctn Mid-C_042010 2010GRC" xfId="1358"/>
    <cellStyle name="_4.13E Montana Energy Tax_4 31 Regulatory Assets and Liabilities  7 06- Exhibit D_NIM Summary" xfId="1359"/>
    <cellStyle name="_4.13E Montana Energy Tax_4 31 Regulatory Assets and Liabilities  7 06- Exhibit D_NIM Summary 2" xfId="1360"/>
    <cellStyle name="_4.13E Montana Energy Tax_4 31 Regulatory Assets and Liabilities  7 06- Exhibit D_NIM Summary 2 2" xfId="1361"/>
    <cellStyle name="_4.13E Montana Energy Tax_4 31 Regulatory Assets and Liabilities  7 06- Exhibit D_NIM Summary 3" xfId="1362"/>
    <cellStyle name="_4.13E Montana Energy Tax_4 31 Regulatory Assets and Liabilities  7 06- Exhibit D_NIM Summary_DEM-WP(C) ENERG10C--ctn Mid-C_042010 2010GRC" xfId="1363"/>
    <cellStyle name="_4.13E Montana Energy Tax_4 31E Reg Asset  Liab and EXH D" xfId="1364"/>
    <cellStyle name="_4.13E Montana Energy Tax_4 31E Reg Asset  Liab and EXH D _ Aug 10 Filing (2)" xfId="1365"/>
    <cellStyle name="_4.13E Montana Energy Tax_4 31E Reg Asset  Liab and EXH D _ Aug 10 Filing (2) 2" xfId="1366"/>
    <cellStyle name="_4.13E Montana Energy Tax_4 31E Reg Asset  Liab and EXH D 2" xfId="1367"/>
    <cellStyle name="_4.13E Montana Energy Tax_4 31E Reg Asset  Liab and EXH D 3" xfId="1368"/>
    <cellStyle name="_4.13E Montana Energy Tax_4 32 Regulatory Assets and Liabilities  7 06- Exhibit D" xfId="1369"/>
    <cellStyle name="_4.13E Montana Energy Tax_4 32 Regulatory Assets and Liabilities  7 06- Exhibit D 2" xfId="1370"/>
    <cellStyle name="_4.13E Montana Energy Tax_4 32 Regulatory Assets and Liabilities  7 06- Exhibit D 2 2" xfId="1371"/>
    <cellStyle name="_4.13E Montana Energy Tax_4 32 Regulatory Assets and Liabilities  7 06- Exhibit D 3" xfId="1372"/>
    <cellStyle name="_4.13E Montana Energy Tax_4 32 Regulatory Assets and Liabilities  7 06- Exhibit D_DEM-WP(C) ENERG10C--ctn Mid-C_042010 2010GRC" xfId="1373"/>
    <cellStyle name="_4.13E Montana Energy Tax_4 32 Regulatory Assets and Liabilities  7 06- Exhibit D_NIM Summary" xfId="1374"/>
    <cellStyle name="_4.13E Montana Energy Tax_4 32 Regulatory Assets and Liabilities  7 06- Exhibit D_NIM Summary 2" xfId="1375"/>
    <cellStyle name="_4.13E Montana Energy Tax_4 32 Regulatory Assets and Liabilities  7 06- Exhibit D_NIM Summary 2 2" xfId="1376"/>
    <cellStyle name="_4.13E Montana Energy Tax_4 32 Regulatory Assets and Liabilities  7 06- Exhibit D_NIM Summary 3" xfId="1377"/>
    <cellStyle name="_4.13E Montana Energy Tax_4 32 Regulatory Assets and Liabilities  7 06- Exhibit D_NIM Summary_DEM-WP(C) ENERG10C--ctn Mid-C_042010 2010GRC" xfId="1378"/>
    <cellStyle name="_4.13E Montana Energy Tax_AURORA Total New" xfId="1379"/>
    <cellStyle name="_4.13E Montana Energy Tax_AURORA Total New 2" xfId="1380"/>
    <cellStyle name="_4.13E Montana Energy Tax_AURORA Total New 2 2" xfId="1381"/>
    <cellStyle name="_4.13E Montana Energy Tax_AURORA Total New 3" xfId="1382"/>
    <cellStyle name="_4.13E Montana Energy Tax_Book2" xfId="1383"/>
    <cellStyle name="_4.13E Montana Energy Tax_Book2 2" xfId="1384"/>
    <cellStyle name="_4.13E Montana Energy Tax_Book2 2 2" xfId="1385"/>
    <cellStyle name="_4.13E Montana Energy Tax_Book2 3" xfId="1386"/>
    <cellStyle name="_4.13E Montana Energy Tax_Book2_Adj Bench DR 3 for Initial Briefs (Electric)" xfId="1387"/>
    <cellStyle name="_4.13E Montana Energy Tax_Book2_Adj Bench DR 3 for Initial Briefs (Electric) 2" xfId="1388"/>
    <cellStyle name="_4.13E Montana Energy Tax_Book2_Adj Bench DR 3 for Initial Briefs (Electric) 2 2" xfId="1389"/>
    <cellStyle name="_4.13E Montana Energy Tax_Book2_Adj Bench DR 3 for Initial Briefs (Electric) 3" xfId="1390"/>
    <cellStyle name="_4.13E Montana Energy Tax_Book2_Adj Bench DR 3 for Initial Briefs (Electric)_DEM-WP(C) ENERG10C--ctn Mid-C_042010 2010GRC" xfId="1391"/>
    <cellStyle name="_4.13E Montana Energy Tax_Book2_DEM-WP(C) ENERG10C--ctn Mid-C_042010 2010GRC" xfId="1392"/>
    <cellStyle name="_4.13E Montana Energy Tax_Book2_Electric Rev Req Model (2009 GRC) Rebuttal" xfId="1393"/>
    <cellStyle name="_4.13E Montana Energy Tax_Book2_Electric Rev Req Model (2009 GRC) Rebuttal 2" xfId="1394"/>
    <cellStyle name="_4.13E Montana Energy Tax_Book2_Electric Rev Req Model (2009 GRC) Rebuttal REmoval of New  WH Solar AdjustMI" xfId="1395"/>
    <cellStyle name="_4.13E Montana Energy Tax_Book2_Electric Rev Req Model (2009 GRC) Rebuttal REmoval of New  WH Solar AdjustMI 2" xfId="1396"/>
    <cellStyle name="_4.13E Montana Energy Tax_Book2_Electric Rev Req Model (2009 GRC) Rebuttal REmoval of New  WH Solar AdjustMI 2 2" xfId="1397"/>
    <cellStyle name="_4.13E Montana Energy Tax_Book2_Electric Rev Req Model (2009 GRC) Rebuttal REmoval of New  WH Solar AdjustMI 3" xfId="1398"/>
    <cellStyle name="_4.13E Montana Energy Tax_Book2_Electric Rev Req Model (2009 GRC) Rebuttal REmoval of New  WH Solar AdjustMI_DEM-WP(C) ENERG10C--ctn Mid-C_042010 2010GRC" xfId="1399"/>
    <cellStyle name="_4.13E Montana Energy Tax_Book2_Electric Rev Req Model (2009 GRC) Revised 01-18-2010" xfId="1400"/>
    <cellStyle name="_4.13E Montana Energy Tax_Book2_Electric Rev Req Model (2009 GRC) Revised 01-18-2010 2" xfId="1401"/>
    <cellStyle name="_4.13E Montana Energy Tax_Book2_Electric Rev Req Model (2009 GRC) Revised 01-18-2010 2 2" xfId="1402"/>
    <cellStyle name="_4.13E Montana Energy Tax_Book2_Electric Rev Req Model (2009 GRC) Revised 01-18-2010 3" xfId="1403"/>
    <cellStyle name="_4.13E Montana Energy Tax_Book2_Electric Rev Req Model (2009 GRC) Revised 01-18-2010_DEM-WP(C) ENERG10C--ctn Mid-C_042010 2010GRC" xfId="1404"/>
    <cellStyle name="_4.13E Montana Energy Tax_Book2_Final Order Electric EXHIBIT A-1" xfId="1405"/>
    <cellStyle name="_4.13E Montana Energy Tax_Book2_Final Order Electric EXHIBIT A-1 2" xfId="1406"/>
    <cellStyle name="_4.13E Montana Energy Tax_Book4" xfId="1407"/>
    <cellStyle name="_4.13E Montana Energy Tax_Book4 2" xfId="1408"/>
    <cellStyle name="_4.13E Montana Energy Tax_Book4 2 2" xfId="1409"/>
    <cellStyle name="_4.13E Montana Energy Tax_Book4 3" xfId="1410"/>
    <cellStyle name="_4.13E Montana Energy Tax_Book4_DEM-WP(C) ENERG10C--ctn Mid-C_042010 2010GRC" xfId="1411"/>
    <cellStyle name="_4.13E Montana Energy Tax_Book9" xfId="1412"/>
    <cellStyle name="_4.13E Montana Energy Tax_Book9 2" xfId="1413"/>
    <cellStyle name="_4.13E Montana Energy Tax_Book9 2 2" xfId="1414"/>
    <cellStyle name="_4.13E Montana Energy Tax_Book9 3" xfId="1415"/>
    <cellStyle name="_4.13E Montana Energy Tax_Book9_DEM-WP(C) ENERG10C--ctn Mid-C_042010 2010GRC" xfId="1416"/>
    <cellStyle name="_4.13E Montana Energy Tax_Chelan PUD Power Costs (8-10)" xfId="1417"/>
    <cellStyle name="_4.13E Montana Energy Tax_Chelan PUD Power Costs (8-10) 2" xfId="1418"/>
    <cellStyle name="_4.13E Montana Energy Tax_DEM-WP(C) Chelan Power Costs" xfId="1419"/>
    <cellStyle name="_4.13E Montana Energy Tax_DEM-WP(C) Chelan Power Costs 2" xfId="1420"/>
    <cellStyle name="_4.13E Montana Energy Tax_DEM-WP(C) ENERG10C--ctn Mid-C_042010 2010GRC" xfId="1421"/>
    <cellStyle name="_4.13E Montana Energy Tax_DEM-WP(C) Gas Transport 2010GRC" xfId="1422"/>
    <cellStyle name="_4.13E Montana Energy Tax_DEM-WP(C) Gas Transport 2010GRC 2" xfId="1423"/>
    <cellStyle name="_4.13E Montana Energy Tax_Exh A-1 resulting from UE-112050 effective Jan 1 2012" xfId="1424"/>
    <cellStyle name="_4.13E Montana Energy Tax_Exh G - Klamath Peaker PPA fr C Locke 2-12" xfId="1425"/>
    <cellStyle name="_4.13E Montana Energy Tax_Exhibit A-1 effective 4-1-11 fr S Free 12-11" xfId="1426"/>
    <cellStyle name="_4.13E Montana Energy Tax_Mint Farm Generation BPA" xfId="1427"/>
    <cellStyle name="_4.13E Montana Energy Tax_NIM Summary" xfId="1428"/>
    <cellStyle name="_4.13E Montana Energy Tax_NIM Summary 09GRC" xfId="1429"/>
    <cellStyle name="_4.13E Montana Energy Tax_NIM Summary 09GRC 2" xfId="1430"/>
    <cellStyle name="_4.13E Montana Energy Tax_NIM Summary 09GRC 2 2" xfId="1431"/>
    <cellStyle name="_4.13E Montana Energy Tax_NIM Summary 09GRC 3" xfId="1432"/>
    <cellStyle name="_4.13E Montana Energy Tax_NIM Summary 09GRC_DEM-WP(C) ENERG10C--ctn Mid-C_042010 2010GRC" xfId="1433"/>
    <cellStyle name="_4.13E Montana Energy Tax_NIM Summary 10" xfId="1434"/>
    <cellStyle name="_4.13E Montana Energy Tax_NIM Summary 11" xfId="1435"/>
    <cellStyle name="_4.13E Montana Energy Tax_NIM Summary 12" xfId="1436"/>
    <cellStyle name="_4.13E Montana Energy Tax_NIM Summary 13" xfId="1437"/>
    <cellStyle name="_4.13E Montana Energy Tax_NIM Summary 14" xfId="1438"/>
    <cellStyle name="_4.13E Montana Energy Tax_NIM Summary 15" xfId="1439"/>
    <cellStyle name="_4.13E Montana Energy Tax_NIM Summary 16" xfId="1440"/>
    <cellStyle name="_4.13E Montana Energy Tax_NIM Summary 17" xfId="1441"/>
    <cellStyle name="_4.13E Montana Energy Tax_NIM Summary 18" xfId="1442"/>
    <cellStyle name="_4.13E Montana Energy Tax_NIM Summary 19" xfId="1443"/>
    <cellStyle name="_4.13E Montana Energy Tax_NIM Summary 2" xfId="1444"/>
    <cellStyle name="_4.13E Montana Energy Tax_NIM Summary 2 2" xfId="1445"/>
    <cellStyle name="_4.13E Montana Energy Tax_NIM Summary 20" xfId="1446"/>
    <cellStyle name="_4.13E Montana Energy Tax_NIM Summary 21" xfId="1447"/>
    <cellStyle name="_4.13E Montana Energy Tax_NIM Summary 22" xfId="1448"/>
    <cellStyle name="_4.13E Montana Energy Tax_NIM Summary 23" xfId="1449"/>
    <cellStyle name="_4.13E Montana Energy Tax_NIM Summary 24" xfId="1450"/>
    <cellStyle name="_4.13E Montana Energy Tax_NIM Summary 25" xfId="1451"/>
    <cellStyle name="_4.13E Montana Energy Tax_NIM Summary 26" xfId="1452"/>
    <cellStyle name="_4.13E Montana Energy Tax_NIM Summary 27" xfId="1453"/>
    <cellStyle name="_4.13E Montana Energy Tax_NIM Summary 28" xfId="1454"/>
    <cellStyle name="_4.13E Montana Energy Tax_NIM Summary 29" xfId="1455"/>
    <cellStyle name="_4.13E Montana Energy Tax_NIM Summary 3" xfId="1456"/>
    <cellStyle name="_4.13E Montana Energy Tax_NIM Summary 30" xfId="1457"/>
    <cellStyle name="_4.13E Montana Energy Tax_NIM Summary 31" xfId="1458"/>
    <cellStyle name="_4.13E Montana Energy Tax_NIM Summary 32" xfId="1459"/>
    <cellStyle name="_4.13E Montana Energy Tax_NIM Summary 33" xfId="1460"/>
    <cellStyle name="_4.13E Montana Energy Tax_NIM Summary 34" xfId="1461"/>
    <cellStyle name="_4.13E Montana Energy Tax_NIM Summary 35" xfId="1462"/>
    <cellStyle name="_4.13E Montana Energy Tax_NIM Summary 36" xfId="1463"/>
    <cellStyle name="_4.13E Montana Energy Tax_NIM Summary 37" xfId="1464"/>
    <cellStyle name="_4.13E Montana Energy Tax_NIM Summary 38" xfId="1465"/>
    <cellStyle name="_4.13E Montana Energy Tax_NIM Summary 39" xfId="1466"/>
    <cellStyle name="_4.13E Montana Energy Tax_NIM Summary 4" xfId="1467"/>
    <cellStyle name="_4.13E Montana Energy Tax_NIM Summary 40" xfId="1468"/>
    <cellStyle name="_4.13E Montana Energy Tax_NIM Summary 41" xfId="1469"/>
    <cellStyle name="_4.13E Montana Energy Tax_NIM Summary 42" xfId="1470"/>
    <cellStyle name="_4.13E Montana Energy Tax_NIM Summary 43" xfId="1471"/>
    <cellStyle name="_4.13E Montana Energy Tax_NIM Summary 44" xfId="1472"/>
    <cellStyle name="_4.13E Montana Energy Tax_NIM Summary 45" xfId="1473"/>
    <cellStyle name="_4.13E Montana Energy Tax_NIM Summary 46" xfId="1474"/>
    <cellStyle name="_4.13E Montana Energy Tax_NIM Summary 47" xfId="1475"/>
    <cellStyle name="_4.13E Montana Energy Tax_NIM Summary 48" xfId="1476"/>
    <cellStyle name="_4.13E Montana Energy Tax_NIM Summary 49" xfId="1477"/>
    <cellStyle name="_4.13E Montana Energy Tax_NIM Summary 5" xfId="1478"/>
    <cellStyle name="_4.13E Montana Energy Tax_NIM Summary 50" xfId="1479"/>
    <cellStyle name="_4.13E Montana Energy Tax_NIM Summary 51" xfId="1480"/>
    <cellStyle name="_4.13E Montana Energy Tax_NIM Summary 52" xfId="1481"/>
    <cellStyle name="_4.13E Montana Energy Tax_NIM Summary 6" xfId="1482"/>
    <cellStyle name="_4.13E Montana Energy Tax_NIM Summary 7" xfId="1483"/>
    <cellStyle name="_4.13E Montana Energy Tax_NIM Summary 8" xfId="1484"/>
    <cellStyle name="_4.13E Montana Energy Tax_NIM Summary 9" xfId="1485"/>
    <cellStyle name="_4.13E Montana Energy Tax_NIM Summary_DEM-WP(C) ENERG10C--ctn Mid-C_042010 2010GRC" xfId="1486"/>
    <cellStyle name="_4.13E Montana Energy Tax_PCA 10 -  Exhibit D Dec 2011" xfId="1487"/>
    <cellStyle name="_4.13E Montana Energy Tax_PCA 10 -  Exhibit D from A Kellogg Jan 2011" xfId="1488"/>
    <cellStyle name="_4.13E Montana Energy Tax_PCA 10 -  Exhibit D from A Kellogg July 2011" xfId="1489"/>
    <cellStyle name="_4.13E Montana Energy Tax_PCA 10 -  Exhibit D from S Free Rcv'd 12-11" xfId="1490"/>
    <cellStyle name="_4.13E Montana Energy Tax_PCA 11 -  Exhibit D Jan 2012 fr A Kellogg" xfId="1491"/>
    <cellStyle name="_4.13E Montana Energy Tax_PCA 11 -  Exhibit D Jan 2012 WF" xfId="1492"/>
    <cellStyle name="_4.13E Montana Energy Tax_PCA 9 -  Exhibit D April 2010" xfId="1493"/>
    <cellStyle name="_4.13E Montana Energy Tax_PCA 9 -  Exhibit D April 2010 (3)" xfId="1494"/>
    <cellStyle name="_4.13E Montana Energy Tax_PCA 9 -  Exhibit D April 2010 (3) 2" xfId="1495"/>
    <cellStyle name="_4.13E Montana Energy Tax_PCA 9 -  Exhibit D April 2010 (3) 2 2" xfId="1496"/>
    <cellStyle name="_4.13E Montana Energy Tax_PCA 9 -  Exhibit D April 2010 (3) 3" xfId="1497"/>
    <cellStyle name="_4.13E Montana Energy Tax_PCA 9 -  Exhibit D April 2010 (3)_DEM-WP(C) ENERG10C--ctn Mid-C_042010 2010GRC" xfId="1498"/>
    <cellStyle name="_4.13E Montana Energy Tax_PCA 9 -  Exhibit D April 2010 2" xfId="1499"/>
    <cellStyle name="_4.13E Montana Energy Tax_PCA 9 -  Exhibit D April 2010 3" xfId="1500"/>
    <cellStyle name="_4.13E Montana Energy Tax_PCA 9 -  Exhibit D April 2010 4" xfId="1501"/>
    <cellStyle name="_4.13E Montana Energy Tax_PCA 9 -  Exhibit D April 2010 5" xfId="1502"/>
    <cellStyle name="_4.13E Montana Energy Tax_PCA 9 -  Exhibit D April 2010 6" xfId="1503"/>
    <cellStyle name="_4.13E Montana Energy Tax_PCA 9 -  Exhibit D Nov 2010" xfId="1504"/>
    <cellStyle name="_4.13E Montana Energy Tax_PCA 9 -  Exhibit D Nov 2010 2" xfId="1505"/>
    <cellStyle name="_4.13E Montana Energy Tax_PCA 9 - Exhibit D at August 2010" xfId="1506"/>
    <cellStyle name="_4.13E Montana Energy Tax_PCA 9 - Exhibit D at August 2010 2" xfId="1507"/>
    <cellStyle name="_4.13E Montana Energy Tax_PCA 9 - Exhibit D June 2010 GRC" xfId="1508"/>
    <cellStyle name="_4.13E Montana Energy Tax_PCA 9 - Exhibit D June 2010 GRC 2" xfId="1509"/>
    <cellStyle name="_4.13E Montana Energy Tax_Power Costs - Comparison bx Rbtl-Staff-Jt-PC" xfId="1510"/>
    <cellStyle name="_4.13E Montana Energy Tax_Power Costs - Comparison bx Rbtl-Staff-Jt-PC 2" xfId="1511"/>
    <cellStyle name="_4.13E Montana Energy Tax_Power Costs - Comparison bx Rbtl-Staff-Jt-PC 2 2" xfId="1512"/>
    <cellStyle name="_4.13E Montana Energy Tax_Power Costs - Comparison bx Rbtl-Staff-Jt-PC 3" xfId="1513"/>
    <cellStyle name="_4.13E Montana Energy Tax_Power Costs - Comparison bx Rbtl-Staff-Jt-PC_Adj Bench DR 3 for Initial Briefs (Electric)" xfId="1514"/>
    <cellStyle name="_4.13E Montana Energy Tax_Power Costs - Comparison bx Rbtl-Staff-Jt-PC_Adj Bench DR 3 for Initial Briefs (Electric) 2" xfId="1515"/>
    <cellStyle name="_4.13E Montana Energy Tax_Power Costs - Comparison bx Rbtl-Staff-Jt-PC_Adj Bench DR 3 for Initial Briefs (Electric) 2 2" xfId="1516"/>
    <cellStyle name="_4.13E Montana Energy Tax_Power Costs - Comparison bx Rbtl-Staff-Jt-PC_Adj Bench DR 3 for Initial Briefs (Electric) 3" xfId="1517"/>
    <cellStyle name="_4.13E Montana Energy Tax_Power Costs - Comparison bx Rbtl-Staff-Jt-PC_Adj Bench DR 3 for Initial Briefs (Electric)_DEM-WP(C) ENERG10C--ctn Mid-C_042010 2010GRC" xfId="1518"/>
    <cellStyle name="_4.13E Montana Energy Tax_Power Costs - Comparison bx Rbtl-Staff-Jt-PC_DEM-WP(C) ENERG10C--ctn Mid-C_042010 2010GRC" xfId="1519"/>
    <cellStyle name="_4.13E Montana Energy Tax_Power Costs - Comparison bx Rbtl-Staff-Jt-PC_Electric Rev Req Model (2009 GRC) Rebuttal" xfId="1520"/>
    <cellStyle name="_4.13E Montana Energy Tax_Power Costs - Comparison bx Rbtl-Staff-Jt-PC_Electric Rev Req Model (2009 GRC) Rebuttal 2" xfId="1521"/>
    <cellStyle name="_4.13E Montana Energy Tax_Power Costs - Comparison bx Rbtl-Staff-Jt-PC_Electric Rev Req Model (2009 GRC) Rebuttal REmoval of New  WH Solar AdjustMI" xfId="1522"/>
    <cellStyle name="_4.13E Montana Energy Tax_Power Costs - Comparison bx Rbtl-Staff-Jt-PC_Electric Rev Req Model (2009 GRC) Rebuttal REmoval of New  WH Solar AdjustMI 2" xfId="1523"/>
    <cellStyle name="_4.13E Montana Energy Tax_Power Costs - Comparison bx Rbtl-Staff-Jt-PC_Electric Rev Req Model (2009 GRC) Rebuttal REmoval of New  WH Solar AdjustMI 2 2" xfId="1524"/>
    <cellStyle name="_4.13E Montana Energy Tax_Power Costs - Comparison bx Rbtl-Staff-Jt-PC_Electric Rev Req Model (2009 GRC) Rebuttal REmoval of New  WH Solar AdjustMI 3" xfId="1525"/>
    <cellStyle name="_4.13E Montana Energy Tax_Power Costs - Comparison bx Rbtl-Staff-Jt-PC_Electric Rev Req Model (2009 GRC) Rebuttal REmoval of New  WH Solar AdjustMI_DEM-WP(C) ENERG10C--ctn Mid-C_042010 2010GRC" xfId="1526"/>
    <cellStyle name="_4.13E Montana Energy Tax_Power Costs - Comparison bx Rbtl-Staff-Jt-PC_Electric Rev Req Model (2009 GRC) Revised 01-18-2010" xfId="1527"/>
    <cellStyle name="_4.13E Montana Energy Tax_Power Costs - Comparison bx Rbtl-Staff-Jt-PC_Electric Rev Req Model (2009 GRC) Revised 01-18-2010 2" xfId="1528"/>
    <cellStyle name="_4.13E Montana Energy Tax_Power Costs - Comparison bx Rbtl-Staff-Jt-PC_Electric Rev Req Model (2009 GRC) Revised 01-18-2010 2 2" xfId="1529"/>
    <cellStyle name="_4.13E Montana Energy Tax_Power Costs - Comparison bx Rbtl-Staff-Jt-PC_Electric Rev Req Model (2009 GRC) Revised 01-18-2010 3" xfId="1530"/>
    <cellStyle name="_4.13E Montana Energy Tax_Power Costs - Comparison bx Rbtl-Staff-Jt-PC_Electric Rev Req Model (2009 GRC) Revised 01-18-2010_DEM-WP(C) ENERG10C--ctn Mid-C_042010 2010GRC" xfId="1531"/>
    <cellStyle name="_4.13E Montana Energy Tax_Power Costs - Comparison bx Rbtl-Staff-Jt-PC_Final Order Electric EXHIBIT A-1" xfId="1532"/>
    <cellStyle name="_4.13E Montana Energy Tax_Power Costs - Comparison bx Rbtl-Staff-Jt-PC_Final Order Electric EXHIBIT A-1 2" xfId="1533"/>
    <cellStyle name="_4.13E Montana Energy Tax_Production Adj 4.37" xfId="21235"/>
    <cellStyle name="_4.13E Montana Energy Tax_Purchased Power Adj 4.03" xfId="21236"/>
    <cellStyle name="_4.13E Montana Energy Tax_Rebuttal Power Costs" xfId="1534"/>
    <cellStyle name="_4.13E Montana Energy Tax_Rebuttal Power Costs 2" xfId="1535"/>
    <cellStyle name="_4.13E Montana Energy Tax_Rebuttal Power Costs 2 2" xfId="1536"/>
    <cellStyle name="_4.13E Montana Energy Tax_Rebuttal Power Costs 3" xfId="1537"/>
    <cellStyle name="_4.13E Montana Energy Tax_Rebuttal Power Costs_Adj Bench DR 3 for Initial Briefs (Electric)" xfId="1538"/>
    <cellStyle name="_4.13E Montana Energy Tax_Rebuttal Power Costs_Adj Bench DR 3 for Initial Briefs (Electric) 2" xfId="1539"/>
    <cellStyle name="_4.13E Montana Energy Tax_Rebuttal Power Costs_Adj Bench DR 3 for Initial Briefs (Electric) 2 2" xfId="1540"/>
    <cellStyle name="_4.13E Montana Energy Tax_Rebuttal Power Costs_Adj Bench DR 3 for Initial Briefs (Electric) 3" xfId="1541"/>
    <cellStyle name="_4.13E Montana Energy Tax_Rebuttal Power Costs_Adj Bench DR 3 for Initial Briefs (Electric)_DEM-WP(C) ENERG10C--ctn Mid-C_042010 2010GRC" xfId="1542"/>
    <cellStyle name="_4.13E Montana Energy Tax_Rebuttal Power Costs_DEM-WP(C) ENERG10C--ctn Mid-C_042010 2010GRC" xfId="1543"/>
    <cellStyle name="_4.13E Montana Energy Tax_Rebuttal Power Costs_Electric Rev Req Model (2009 GRC) Rebuttal" xfId="1544"/>
    <cellStyle name="_4.13E Montana Energy Tax_Rebuttal Power Costs_Electric Rev Req Model (2009 GRC) Rebuttal 2" xfId="1545"/>
    <cellStyle name="_4.13E Montana Energy Tax_Rebuttal Power Costs_Electric Rev Req Model (2009 GRC) Rebuttal REmoval of New  WH Solar AdjustMI" xfId="1546"/>
    <cellStyle name="_4.13E Montana Energy Tax_Rebuttal Power Costs_Electric Rev Req Model (2009 GRC) Rebuttal REmoval of New  WH Solar AdjustMI 2" xfId="1547"/>
    <cellStyle name="_4.13E Montana Energy Tax_Rebuttal Power Costs_Electric Rev Req Model (2009 GRC) Rebuttal REmoval of New  WH Solar AdjustMI 2 2" xfId="1548"/>
    <cellStyle name="_4.13E Montana Energy Tax_Rebuttal Power Costs_Electric Rev Req Model (2009 GRC) Rebuttal REmoval of New  WH Solar AdjustMI 3" xfId="1549"/>
    <cellStyle name="_4.13E Montana Energy Tax_Rebuttal Power Costs_Electric Rev Req Model (2009 GRC) Rebuttal REmoval of New  WH Solar AdjustMI_DEM-WP(C) ENERG10C--ctn Mid-C_042010 2010GRC" xfId="1550"/>
    <cellStyle name="_4.13E Montana Energy Tax_Rebuttal Power Costs_Electric Rev Req Model (2009 GRC) Revised 01-18-2010" xfId="1551"/>
    <cellStyle name="_4.13E Montana Energy Tax_Rebuttal Power Costs_Electric Rev Req Model (2009 GRC) Revised 01-18-2010 2" xfId="1552"/>
    <cellStyle name="_4.13E Montana Energy Tax_Rebuttal Power Costs_Electric Rev Req Model (2009 GRC) Revised 01-18-2010 2 2" xfId="1553"/>
    <cellStyle name="_4.13E Montana Energy Tax_Rebuttal Power Costs_Electric Rev Req Model (2009 GRC) Revised 01-18-2010 3" xfId="1554"/>
    <cellStyle name="_4.13E Montana Energy Tax_Rebuttal Power Costs_Electric Rev Req Model (2009 GRC) Revised 01-18-2010_DEM-WP(C) ENERG10C--ctn Mid-C_042010 2010GRC" xfId="1555"/>
    <cellStyle name="_4.13E Montana Energy Tax_Rebuttal Power Costs_Final Order Electric EXHIBIT A-1" xfId="1556"/>
    <cellStyle name="_4.13E Montana Energy Tax_Rebuttal Power Costs_Final Order Electric EXHIBIT A-1 2" xfId="1557"/>
    <cellStyle name="_4.13E Montana Energy Tax_ROR 5.02" xfId="21237"/>
    <cellStyle name="_4.13E Montana Energy Tax_Wind Integration 10GRC" xfId="1558"/>
    <cellStyle name="_4.13E Montana Energy Tax_Wind Integration 10GRC 2" xfId="1559"/>
    <cellStyle name="_4.13E Montana Energy Tax_Wind Integration 10GRC 2 2" xfId="1560"/>
    <cellStyle name="_4.13E Montana Energy Tax_Wind Integration 10GRC 3" xfId="1561"/>
    <cellStyle name="_4.13E Montana Energy Tax_Wind Integration 10GRC_DEM-WP(C) ENERG10C--ctn Mid-C_042010 2010GRC" xfId="1562"/>
    <cellStyle name="_5 year summary (9-25-09)" xfId="1563"/>
    <cellStyle name="_5 year summary (9-25-09) 2" xfId="1564"/>
    <cellStyle name="_x0013__Adj Bench DR 3 for Initial Briefs (Electric)" xfId="1565"/>
    <cellStyle name="_x0013__Adj Bench DR 3 for Initial Briefs (Electric) 2" xfId="1566"/>
    <cellStyle name="_x0013__Adj Bench DR 3 for Initial Briefs (Electric) 2 2" xfId="1567"/>
    <cellStyle name="_x0013__Adj Bench DR 3 for Initial Briefs (Electric) 3" xfId="1568"/>
    <cellStyle name="_x0013__Adj Bench DR 3 for Initial Briefs (Electric)_DEM-WP(C) ENERG10C--ctn Mid-C_042010 2010GRC" xfId="1569"/>
    <cellStyle name="_AURORA WIP" xfId="1570"/>
    <cellStyle name="_AURORA WIP 2" xfId="1571"/>
    <cellStyle name="_AURORA WIP 2 2" xfId="1572"/>
    <cellStyle name="_AURORA WIP 2 2 2" xfId="1573"/>
    <cellStyle name="_AURORA WIP 3" xfId="1574"/>
    <cellStyle name="_AURORA WIP 4" xfId="1575"/>
    <cellStyle name="_AURORA WIP 4 2" xfId="1576"/>
    <cellStyle name="_AURORA WIP 5" xfId="1577"/>
    <cellStyle name="_AURORA WIP 5 2" xfId="1578"/>
    <cellStyle name="_AURORA WIP_4 31E Reg Asset  Liab and EXH D" xfId="1579"/>
    <cellStyle name="_AURORA WIP_4 31E Reg Asset  Liab and EXH D _ Aug 10 Filing (2)" xfId="1580"/>
    <cellStyle name="_AURORA WIP_4 31E Reg Asset  Liab and EXH D _ Aug 10 Filing (2) 2" xfId="1581"/>
    <cellStyle name="_AURORA WIP_4 31E Reg Asset  Liab and EXH D 2" xfId="1582"/>
    <cellStyle name="_AURORA WIP_4 31E Reg Asset  Liab and EXH D 3" xfId="1583"/>
    <cellStyle name="_AURORA WIP_Chelan PUD Power Costs (8-10)" xfId="1584"/>
    <cellStyle name="_AURORA WIP_Chelan PUD Power Costs (8-10) 2" xfId="1585"/>
    <cellStyle name="_AURORA WIP_compare wind integration" xfId="1586"/>
    <cellStyle name="_AURORA WIP_DEM-WP(C) Chelan Power Costs" xfId="1587"/>
    <cellStyle name="_AURORA WIP_DEM-WP(C) Chelan Power Costs 2" xfId="1588"/>
    <cellStyle name="_AURORA WIP_DEM-WP(C) Costs Not In AURORA 2010GRC As Filed" xfId="1589"/>
    <cellStyle name="_AURORA WIP_DEM-WP(C) Costs Not In AURORA 2010GRC As Filed 2" xfId="1590"/>
    <cellStyle name="_AURORA WIP_DEM-WP(C) Costs Not In AURORA 2010GRC As Filed 2 2" xfId="1591"/>
    <cellStyle name="_AURORA WIP_DEM-WP(C) Costs Not In AURORA 2010GRC As Filed 2 3" xfId="1592"/>
    <cellStyle name="_AURORA WIP_DEM-WP(C) Costs Not In AURORA 2010GRC As Filed 3" xfId="1593"/>
    <cellStyle name="_AURORA WIP_DEM-WP(C) Costs Not In AURORA 2010GRC As Filed 3 2" xfId="1594"/>
    <cellStyle name="_AURORA WIP_DEM-WP(C) Costs Not In AURORA 2010GRC As Filed 4" xfId="1595"/>
    <cellStyle name="_AURORA WIP_DEM-WP(C) Costs Not In AURORA 2010GRC As Filed 4 2" xfId="1596"/>
    <cellStyle name="_AURORA WIP_DEM-WP(C) Costs Not In AURORA 2010GRC As Filed 5" xfId="1597"/>
    <cellStyle name="_AURORA WIP_DEM-WP(C) Costs Not In AURORA 2010GRC As Filed 5 2" xfId="1598"/>
    <cellStyle name="_AURORA WIP_DEM-WP(C) Costs Not In AURORA 2010GRC As Filed 6" xfId="1599"/>
    <cellStyle name="_AURORA WIP_DEM-WP(C) Costs Not In AURORA 2010GRC As Filed 6 2" xfId="1600"/>
    <cellStyle name="_AURORA WIP_DEM-WP(C) Costs Not In AURORA 2010GRC As Filed_DEM-WP(C) ENERG10C--ctn Mid-C_042010 2010GRC" xfId="1601"/>
    <cellStyle name="_AURORA WIP_DEM-WP(C) ENERG10C--ctn Mid-C_042010 2010GRC" xfId="1602"/>
    <cellStyle name="_AURORA WIP_DEM-WP(C) Gas Transport 2010GRC" xfId="1603"/>
    <cellStyle name="_AURORA WIP_DEM-WP(C) Gas Transport 2010GRC 2" xfId="1604"/>
    <cellStyle name="_AURORA WIP_NIM Summary" xfId="1605"/>
    <cellStyle name="_AURORA WIP_NIM Summary 09GRC" xfId="1606"/>
    <cellStyle name="_AURORA WIP_NIM Summary 09GRC 2" xfId="1607"/>
    <cellStyle name="_AURORA WIP_NIM Summary 09GRC 2 2" xfId="1608"/>
    <cellStyle name="_AURORA WIP_NIM Summary 09GRC 3" xfId="1609"/>
    <cellStyle name="_AURORA WIP_NIM Summary 09GRC_DEM-WP(C) ENERG10C--ctn Mid-C_042010 2010GRC" xfId="1610"/>
    <cellStyle name="_AURORA WIP_NIM Summary 10" xfId="1611"/>
    <cellStyle name="_AURORA WIP_NIM Summary 11" xfId="1612"/>
    <cellStyle name="_AURORA WIP_NIM Summary 12" xfId="1613"/>
    <cellStyle name="_AURORA WIP_NIM Summary 13" xfId="1614"/>
    <cellStyle name="_AURORA WIP_NIM Summary 14" xfId="1615"/>
    <cellStyle name="_AURORA WIP_NIM Summary 15" xfId="1616"/>
    <cellStyle name="_AURORA WIP_NIM Summary 16" xfId="1617"/>
    <cellStyle name="_AURORA WIP_NIM Summary 17" xfId="1618"/>
    <cellStyle name="_AURORA WIP_NIM Summary 18" xfId="1619"/>
    <cellStyle name="_AURORA WIP_NIM Summary 19" xfId="1620"/>
    <cellStyle name="_AURORA WIP_NIM Summary 2" xfId="1621"/>
    <cellStyle name="_AURORA WIP_NIM Summary 2 2" xfId="1622"/>
    <cellStyle name="_AURORA WIP_NIM Summary 20" xfId="1623"/>
    <cellStyle name="_AURORA WIP_NIM Summary 21" xfId="1624"/>
    <cellStyle name="_AURORA WIP_NIM Summary 22" xfId="1625"/>
    <cellStyle name="_AURORA WIP_NIM Summary 23" xfId="1626"/>
    <cellStyle name="_AURORA WIP_NIM Summary 24" xfId="1627"/>
    <cellStyle name="_AURORA WIP_NIM Summary 25" xfId="1628"/>
    <cellStyle name="_AURORA WIP_NIM Summary 26" xfId="1629"/>
    <cellStyle name="_AURORA WIP_NIM Summary 27" xfId="1630"/>
    <cellStyle name="_AURORA WIP_NIM Summary 28" xfId="1631"/>
    <cellStyle name="_AURORA WIP_NIM Summary 29" xfId="1632"/>
    <cellStyle name="_AURORA WIP_NIM Summary 3" xfId="1633"/>
    <cellStyle name="_AURORA WIP_NIM Summary 30" xfId="1634"/>
    <cellStyle name="_AURORA WIP_NIM Summary 31" xfId="1635"/>
    <cellStyle name="_AURORA WIP_NIM Summary 32" xfId="1636"/>
    <cellStyle name="_AURORA WIP_NIM Summary 33" xfId="1637"/>
    <cellStyle name="_AURORA WIP_NIM Summary 34" xfId="1638"/>
    <cellStyle name="_AURORA WIP_NIM Summary 35" xfId="1639"/>
    <cellStyle name="_AURORA WIP_NIM Summary 36" xfId="1640"/>
    <cellStyle name="_AURORA WIP_NIM Summary 37" xfId="1641"/>
    <cellStyle name="_AURORA WIP_NIM Summary 38" xfId="1642"/>
    <cellStyle name="_AURORA WIP_NIM Summary 39" xfId="1643"/>
    <cellStyle name="_AURORA WIP_NIM Summary 4" xfId="1644"/>
    <cellStyle name="_AURORA WIP_NIM Summary 40" xfId="1645"/>
    <cellStyle name="_AURORA WIP_NIM Summary 41" xfId="1646"/>
    <cellStyle name="_AURORA WIP_NIM Summary 42" xfId="1647"/>
    <cellStyle name="_AURORA WIP_NIM Summary 43" xfId="1648"/>
    <cellStyle name="_AURORA WIP_NIM Summary 44" xfId="1649"/>
    <cellStyle name="_AURORA WIP_NIM Summary 45" xfId="1650"/>
    <cellStyle name="_AURORA WIP_NIM Summary 46" xfId="1651"/>
    <cellStyle name="_AURORA WIP_NIM Summary 47" xfId="1652"/>
    <cellStyle name="_AURORA WIP_NIM Summary 48" xfId="1653"/>
    <cellStyle name="_AURORA WIP_NIM Summary 49" xfId="1654"/>
    <cellStyle name="_AURORA WIP_NIM Summary 5" xfId="1655"/>
    <cellStyle name="_AURORA WIP_NIM Summary 50" xfId="1656"/>
    <cellStyle name="_AURORA WIP_NIM Summary 51" xfId="1657"/>
    <cellStyle name="_AURORA WIP_NIM Summary 52" xfId="1658"/>
    <cellStyle name="_AURORA WIP_NIM Summary 6" xfId="1659"/>
    <cellStyle name="_AURORA WIP_NIM Summary 7" xfId="1660"/>
    <cellStyle name="_AURORA WIP_NIM Summary 8" xfId="1661"/>
    <cellStyle name="_AURORA WIP_NIM Summary 9" xfId="1662"/>
    <cellStyle name="_AURORA WIP_NIM Summary_DEM-WP(C) ENERG10C--ctn Mid-C_042010 2010GRC" xfId="1663"/>
    <cellStyle name="_AURORA WIP_NIM+O&amp;M" xfId="1664"/>
    <cellStyle name="_AURORA WIP_NIM+O&amp;M 2" xfId="1665"/>
    <cellStyle name="_AURORA WIP_NIM+O&amp;M Monthly" xfId="1666"/>
    <cellStyle name="_AURORA WIP_NIM+O&amp;M Monthly 2" xfId="1667"/>
    <cellStyle name="_AURORA WIP_PCA 9 -  Exhibit D April 2010 (3)" xfId="1668"/>
    <cellStyle name="_AURORA WIP_PCA 9 -  Exhibit D April 2010 (3) 2" xfId="1669"/>
    <cellStyle name="_AURORA WIP_PCA 9 -  Exhibit D April 2010 (3) 2 2" xfId="1670"/>
    <cellStyle name="_AURORA WIP_PCA 9 -  Exhibit D April 2010 (3) 3" xfId="1671"/>
    <cellStyle name="_AURORA WIP_PCA 9 -  Exhibit D April 2010 (3)_DEM-WP(C) ENERG10C--ctn Mid-C_042010 2010GRC" xfId="1672"/>
    <cellStyle name="_AURORA WIP_Reconciliation" xfId="1673"/>
    <cellStyle name="_AURORA WIP_Reconciliation 2" xfId="1674"/>
    <cellStyle name="_AURORA WIP_Reconciliation 2 2" xfId="1675"/>
    <cellStyle name="_AURORA WIP_Reconciliation 2 3" xfId="1676"/>
    <cellStyle name="_AURORA WIP_Reconciliation 3" xfId="1677"/>
    <cellStyle name="_AURORA WIP_Reconciliation 3 2" xfId="1678"/>
    <cellStyle name="_AURORA WIP_Reconciliation 4" xfId="1679"/>
    <cellStyle name="_AURORA WIP_Reconciliation 4 2" xfId="1680"/>
    <cellStyle name="_AURORA WIP_Reconciliation 5" xfId="1681"/>
    <cellStyle name="_AURORA WIP_Reconciliation 5 2" xfId="1682"/>
    <cellStyle name="_AURORA WIP_Reconciliation 6" xfId="1683"/>
    <cellStyle name="_AURORA WIP_Reconciliation 6 2" xfId="1684"/>
    <cellStyle name="_AURORA WIP_Reconciliation_DEM-WP(C) ENERG10C--ctn Mid-C_042010 2010GRC" xfId="1685"/>
    <cellStyle name="_AURORA WIP_Wind Integration 10GRC" xfId="1686"/>
    <cellStyle name="_AURORA WIP_Wind Integration 10GRC 2" xfId="1687"/>
    <cellStyle name="_AURORA WIP_Wind Integration 10GRC 2 2" xfId="1688"/>
    <cellStyle name="_AURORA WIP_Wind Integration 10GRC 3" xfId="1689"/>
    <cellStyle name="_AURORA WIP_Wind Integration 10GRC_DEM-WP(C) ENERG10C--ctn Mid-C_042010 2010GRC" xfId="1690"/>
    <cellStyle name="_Book1" xfId="1691"/>
    <cellStyle name="_x0013__Book1" xfId="1692"/>
    <cellStyle name="_Book1 (2)" xfId="1693"/>
    <cellStyle name="_Book1 (2) 2" xfId="1694"/>
    <cellStyle name="_Book1 (2) 2 2" xfId="1695"/>
    <cellStyle name="_Book1 (2) 2 2 2" xfId="1696"/>
    <cellStyle name="_Book1 (2) 2 3" xfId="1697"/>
    <cellStyle name="_Book1 (2) 3" xfId="1698"/>
    <cellStyle name="_Book1 (2) 3 2" xfId="1699"/>
    <cellStyle name="_Book1 (2) 4" xfId="1700"/>
    <cellStyle name="_Book1 (2) 4 2" xfId="1701"/>
    <cellStyle name="_Book1 (2) 4 3" xfId="1702"/>
    <cellStyle name="_Book1 (2) 5" xfId="1703"/>
    <cellStyle name="_Book1 (2) 5 2" xfId="1704"/>
    <cellStyle name="_Book1 (2) 6" xfId="1705"/>
    <cellStyle name="_Book1 (2) 6 2" xfId="1706"/>
    <cellStyle name="_Book1 (2) 7" xfId="1707"/>
    <cellStyle name="_Book1 (2) 7 2" xfId="1708"/>
    <cellStyle name="_Book1 (2)_04 07E Wild Horse Wind Expansion (C) (2)" xfId="1709"/>
    <cellStyle name="_Book1 (2)_04 07E Wild Horse Wind Expansion (C) (2) 2" xfId="1710"/>
    <cellStyle name="_Book1 (2)_04 07E Wild Horse Wind Expansion (C) (2) 2 2" xfId="1711"/>
    <cellStyle name="_Book1 (2)_04 07E Wild Horse Wind Expansion (C) (2) 3" xfId="1712"/>
    <cellStyle name="_Book1 (2)_04 07E Wild Horse Wind Expansion (C) (2)_Adj Bench DR 3 for Initial Briefs (Electric)" xfId="1713"/>
    <cellStyle name="_Book1 (2)_04 07E Wild Horse Wind Expansion (C) (2)_Adj Bench DR 3 for Initial Briefs (Electric) 2" xfId="1714"/>
    <cellStyle name="_Book1 (2)_04 07E Wild Horse Wind Expansion (C) (2)_Adj Bench DR 3 for Initial Briefs (Electric) 2 2" xfId="1715"/>
    <cellStyle name="_Book1 (2)_04 07E Wild Horse Wind Expansion (C) (2)_Adj Bench DR 3 for Initial Briefs (Electric) 3" xfId="1716"/>
    <cellStyle name="_Book1 (2)_04 07E Wild Horse Wind Expansion (C) (2)_Adj Bench DR 3 for Initial Briefs (Electric)_DEM-WP(C) ENERG10C--ctn Mid-C_042010 2010GRC" xfId="1717"/>
    <cellStyle name="_Book1 (2)_04 07E Wild Horse Wind Expansion (C) (2)_Book1" xfId="1718"/>
    <cellStyle name="_Book1 (2)_04 07E Wild Horse Wind Expansion (C) (2)_DEM-WP(C) ENERG10C--ctn Mid-C_042010 2010GRC" xfId="1719"/>
    <cellStyle name="_Book1 (2)_04 07E Wild Horse Wind Expansion (C) (2)_Electric Rev Req Model (2009 GRC) " xfId="1720"/>
    <cellStyle name="_Book1 (2)_04 07E Wild Horse Wind Expansion (C) (2)_Electric Rev Req Model (2009 GRC)  2" xfId="1721"/>
    <cellStyle name="_Book1 (2)_04 07E Wild Horse Wind Expansion (C) (2)_Electric Rev Req Model (2009 GRC)  2 2" xfId="1722"/>
    <cellStyle name="_Book1 (2)_04 07E Wild Horse Wind Expansion (C) (2)_Electric Rev Req Model (2009 GRC)  3" xfId="1723"/>
    <cellStyle name="_Book1 (2)_04 07E Wild Horse Wind Expansion (C) (2)_Electric Rev Req Model (2009 GRC) _DEM-WP(C) ENERG10C--ctn Mid-C_042010 2010GRC" xfId="1724"/>
    <cellStyle name="_Book1 (2)_04 07E Wild Horse Wind Expansion (C) (2)_Electric Rev Req Model (2009 GRC) Rebuttal" xfId="1725"/>
    <cellStyle name="_Book1 (2)_04 07E Wild Horse Wind Expansion (C) (2)_Electric Rev Req Model (2009 GRC) Rebuttal 2" xfId="1726"/>
    <cellStyle name="_Book1 (2)_04 07E Wild Horse Wind Expansion (C) (2)_Electric Rev Req Model (2009 GRC) Rebuttal REmoval of New  WH Solar AdjustMI" xfId="1727"/>
    <cellStyle name="_Book1 (2)_04 07E Wild Horse Wind Expansion (C) (2)_Electric Rev Req Model (2009 GRC) Rebuttal REmoval of New  WH Solar AdjustMI 2" xfId="1728"/>
    <cellStyle name="_Book1 (2)_04 07E Wild Horse Wind Expansion (C) (2)_Electric Rev Req Model (2009 GRC) Rebuttal REmoval of New  WH Solar AdjustMI 2 2" xfId="1729"/>
    <cellStyle name="_Book1 (2)_04 07E Wild Horse Wind Expansion (C) (2)_Electric Rev Req Model (2009 GRC) Rebuttal REmoval of New  WH Solar AdjustMI 3" xfId="1730"/>
    <cellStyle name="_Book1 (2)_04 07E Wild Horse Wind Expansion (C) (2)_Electric Rev Req Model (2009 GRC) Rebuttal REmoval of New  WH Solar AdjustMI_DEM-WP(C) ENERG10C--ctn Mid-C_042010 2010GRC" xfId="1731"/>
    <cellStyle name="_Book1 (2)_04 07E Wild Horse Wind Expansion (C) (2)_Electric Rev Req Model (2009 GRC) Revised 01-18-2010" xfId="1732"/>
    <cellStyle name="_Book1 (2)_04 07E Wild Horse Wind Expansion (C) (2)_Electric Rev Req Model (2009 GRC) Revised 01-18-2010 2" xfId="1733"/>
    <cellStyle name="_Book1 (2)_04 07E Wild Horse Wind Expansion (C) (2)_Electric Rev Req Model (2009 GRC) Revised 01-18-2010 2 2" xfId="1734"/>
    <cellStyle name="_Book1 (2)_04 07E Wild Horse Wind Expansion (C) (2)_Electric Rev Req Model (2009 GRC) Revised 01-18-2010 3" xfId="1735"/>
    <cellStyle name="_Book1 (2)_04 07E Wild Horse Wind Expansion (C) (2)_Electric Rev Req Model (2009 GRC) Revised 01-18-2010_DEM-WP(C) ENERG10C--ctn Mid-C_042010 2010GRC" xfId="1736"/>
    <cellStyle name="_Book1 (2)_04 07E Wild Horse Wind Expansion (C) (2)_Electric Rev Req Model (2010 GRC)" xfId="1737"/>
    <cellStyle name="_Book1 (2)_04 07E Wild Horse Wind Expansion (C) (2)_Electric Rev Req Model (2010 GRC) SF" xfId="1738"/>
    <cellStyle name="_Book1 (2)_04 07E Wild Horse Wind Expansion (C) (2)_Final Order Electric EXHIBIT A-1" xfId="1739"/>
    <cellStyle name="_Book1 (2)_04 07E Wild Horse Wind Expansion (C) (2)_Final Order Electric EXHIBIT A-1 2" xfId="1740"/>
    <cellStyle name="_Book1 (2)_04 07E Wild Horse Wind Expansion (C) (2)_TENASKA REGULATORY ASSET" xfId="1741"/>
    <cellStyle name="_Book1 (2)_04 07E Wild Horse Wind Expansion (C) (2)_TENASKA REGULATORY ASSET 2" xfId="1742"/>
    <cellStyle name="_Book1 (2)_16.37E Wild Horse Expansion DeferralRevwrkingfile SF" xfId="1743"/>
    <cellStyle name="_Book1 (2)_16.37E Wild Horse Expansion DeferralRevwrkingfile SF 2" xfId="1744"/>
    <cellStyle name="_Book1 (2)_16.37E Wild Horse Expansion DeferralRevwrkingfile SF 2 2" xfId="1745"/>
    <cellStyle name="_Book1 (2)_16.37E Wild Horse Expansion DeferralRevwrkingfile SF 3" xfId="1746"/>
    <cellStyle name="_Book1 (2)_16.37E Wild Horse Expansion DeferralRevwrkingfile SF_DEM-WP(C) ENERG10C--ctn Mid-C_042010 2010GRC" xfId="1747"/>
    <cellStyle name="_Book1 (2)_2009 Compliance Filing PCA Exhibits for GRC" xfId="1748"/>
    <cellStyle name="_Book1 (2)_2009 Compliance Filing PCA Exhibits for GRC 2" xfId="1749"/>
    <cellStyle name="_Book1 (2)_2009 GRC Compl Filing - Exhibit D" xfId="1750"/>
    <cellStyle name="_Book1 (2)_2009 GRC Compl Filing - Exhibit D 2" xfId="1751"/>
    <cellStyle name="_Book1 (2)_2009 GRC Compl Filing - Exhibit D 2 2" xfId="1752"/>
    <cellStyle name="_Book1 (2)_2009 GRC Compl Filing - Exhibit D 3" xfId="1753"/>
    <cellStyle name="_Book1 (2)_2009 GRC Compl Filing - Exhibit D_DEM-WP(C) ENERG10C--ctn Mid-C_042010 2010GRC" xfId="1754"/>
    <cellStyle name="_Book1 (2)_3.01 Income Statement" xfId="1755"/>
    <cellStyle name="_Book1 (2)_4 31 Regulatory Assets and Liabilities  7 06- Exhibit D" xfId="1756"/>
    <cellStyle name="_Book1 (2)_4 31 Regulatory Assets and Liabilities  7 06- Exhibit D 2" xfId="1757"/>
    <cellStyle name="_Book1 (2)_4 31 Regulatory Assets and Liabilities  7 06- Exhibit D 2 2" xfId="1758"/>
    <cellStyle name="_Book1 (2)_4 31 Regulatory Assets and Liabilities  7 06- Exhibit D 3" xfId="1759"/>
    <cellStyle name="_Book1 (2)_4 31 Regulatory Assets and Liabilities  7 06- Exhibit D_DEM-WP(C) ENERG10C--ctn Mid-C_042010 2010GRC" xfId="1760"/>
    <cellStyle name="_Book1 (2)_4 31 Regulatory Assets and Liabilities  7 06- Exhibit D_NIM Summary" xfId="1761"/>
    <cellStyle name="_Book1 (2)_4 31 Regulatory Assets and Liabilities  7 06- Exhibit D_NIM Summary 2" xfId="1762"/>
    <cellStyle name="_Book1 (2)_4 31 Regulatory Assets and Liabilities  7 06- Exhibit D_NIM Summary 2 2" xfId="1763"/>
    <cellStyle name="_Book1 (2)_4 31 Regulatory Assets and Liabilities  7 06- Exhibit D_NIM Summary 3" xfId="1764"/>
    <cellStyle name="_Book1 (2)_4 31 Regulatory Assets and Liabilities  7 06- Exhibit D_NIM Summary_DEM-WP(C) ENERG10C--ctn Mid-C_042010 2010GRC" xfId="1765"/>
    <cellStyle name="_Book1 (2)_4 31E Reg Asset  Liab and EXH D" xfId="1766"/>
    <cellStyle name="_Book1 (2)_4 31E Reg Asset  Liab and EXH D _ Aug 10 Filing (2)" xfId="1767"/>
    <cellStyle name="_Book1 (2)_4 31E Reg Asset  Liab and EXH D _ Aug 10 Filing (2) 2" xfId="1768"/>
    <cellStyle name="_Book1 (2)_4 31E Reg Asset  Liab and EXH D 2" xfId="1769"/>
    <cellStyle name="_Book1 (2)_4 31E Reg Asset  Liab and EXH D 3" xfId="1770"/>
    <cellStyle name="_Book1 (2)_4 32 Regulatory Assets and Liabilities  7 06- Exhibit D" xfId="1771"/>
    <cellStyle name="_Book1 (2)_4 32 Regulatory Assets and Liabilities  7 06- Exhibit D 2" xfId="1772"/>
    <cellStyle name="_Book1 (2)_4 32 Regulatory Assets and Liabilities  7 06- Exhibit D 2 2" xfId="1773"/>
    <cellStyle name="_Book1 (2)_4 32 Regulatory Assets and Liabilities  7 06- Exhibit D 3" xfId="1774"/>
    <cellStyle name="_Book1 (2)_4 32 Regulatory Assets and Liabilities  7 06- Exhibit D_DEM-WP(C) ENERG10C--ctn Mid-C_042010 2010GRC" xfId="1775"/>
    <cellStyle name="_Book1 (2)_4 32 Regulatory Assets and Liabilities  7 06- Exhibit D_NIM Summary" xfId="1776"/>
    <cellStyle name="_Book1 (2)_4 32 Regulatory Assets and Liabilities  7 06- Exhibit D_NIM Summary 2" xfId="1777"/>
    <cellStyle name="_Book1 (2)_4 32 Regulatory Assets and Liabilities  7 06- Exhibit D_NIM Summary 2 2" xfId="1778"/>
    <cellStyle name="_Book1 (2)_4 32 Regulatory Assets and Liabilities  7 06- Exhibit D_NIM Summary 3" xfId="1779"/>
    <cellStyle name="_Book1 (2)_4 32 Regulatory Assets and Liabilities  7 06- Exhibit D_NIM Summary_DEM-WP(C) ENERG10C--ctn Mid-C_042010 2010GRC" xfId="1780"/>
    <cellStyle name="_Book1 (2)_AURORA Total New" xfId="1781"/>
    <cellStyle name="_Book1 (2)_AURORA Total New 2" xfId="1782"/>
    <cellStyle name="_Book1 (2)_AURORA Total New 2 2" xfId="1783"/>
    <cellStyle name="_Book1 (2)_AURORA Total New 3" xfId="1784"/>
    <cellStyle name="_Book1 (2)_Book2" xfId="1785"/>
    <cellStyle name="_Book1 (2)_Book2 2" xfId="1786"/>
    <cellStyle name="_Book1 (2)_Book2 2 2" xfId="1787"/>
    <cellStyle name="_Book1 (2)_Book2 3" xfId="1788"/>
    <cellStyle name="_Book1 (2)_Book2_Adj Bench DR 3 for Initial Briefs (Electric)" xfId="1789"/>
    <cellStyle name="_Book1 (2)_Book2_Adj Bench DR 3 for Initial Briefs (Electric) 2" xfId="1790"/>
    <cellStyle name="_Book1 (2)_Book2_Adj Bench DR 3 for Initial Briefs (Electric) 2 2" xfId="1791"/>
    <cellStyle name="_Book1 (2)_Book2_Adj Bench DR 3 for Initial Briefs (Electric) 3" xfId="1792"/>
    <cellStyle name="_Book1 (2)_Book2_Adj Bench DR 3 for Initial Briefs (Electric)_DEM-WP(C) ENERG10C--ctn Mid-C_042010 2010GRC" xfId="1793"/>
    <cellStyle name="_Book1 (2)_Book2_DEM-WP(C) ENERG10C--ctn Mid-C_042010 2010GRC" xfId="1794"/>
    <cellStyle name="_Book1 (2)_Book2_Electric Rev Req Model (2009 GRC) Rebuttal" xfId="1795"/>
    <cellStyle name="_Book1 (2)_Book2_Electric Rev Req Model (2009 GRC) Rebuttal 2" xfId="1796"/>
    <cellStyle name="_Book1 (2)_Book2_Electric Rev Req Model (2009 GRC) Rebuttal REmoval of New  WH Solar AdjustMI" xfId="1797"/>
    <cellStyle name="_Book1 (2)_Book2_Electric Rev Req Model (2009 GRC) Rebuttal REmoval of New  WH Solar AdjustMI 2" xfId="1798"/>
    <cellStyle name="_Book1 (2)_Book2_Electric Rev Req Model (2009 GRC) Rebuttal REmoval of New  WH Solar AdjustMI 2 2" xfId="1799"/>
    <cellStyle name="_Book1 (2)_Book2_Electric Rev Req Model (2009 GRC) Rebuttal REmoval of New  WH Solar AdjustMI 3" xfId="1800"/>
    <cellStyle name="_Book1 (2)_Book2_Electric Rev Req Model (2009 GRC) Rebuttal REmoval of New  WH Solar AdjustMI_DEM-WP(C) ENERG10C--ctn Mid-C_042010 2010GRC" xfId="1801"/>
    <cellStyle name="_Book1 (2)_Book2_Electric Rev Req Model (2009 GRC) Revised 01-18-2010" xfId="1802"/>
    <cellStyle name="_Book1 (2)_Book2_Electric Rev Req Model (2009 GRC) Revised 01-18-2010 2" xfId="1803"/>
    <cellStyle name="_Book1 (2)_Book2_Electric Rev Req Model (2009 GRC) Revised 01-18-2010 2 2" xfId="1804"/>
    <cellStyle name="_Book1 (2)_Book2_Electric Rev Req Model (2009 GRC) Revised 01-18-2010 3" xfId="1805"/>
    <cellStyle name="_Book1 (2)_Book2_Electric Rev Req Model (2009 GRC) Revised 01-18-2010_DEM-WP(C) ENERG10C--ctn Mid-C_042010 2010GRC" xfId="1806"/>
    <cellStyle name="_Book1 (2)_Book2_Final Order Electric EXHIBIT A-1" xfId="1807"/>
    <cellStyle name="_Book1 (2)_Book2_Final Order Electric EXHIBIT A-1 2" xfId="1808"/>
    <cellStyle name="_Book1 (2)_Book4" xfId="1809"/>
    <cellStyle name="_Book1 (2)_Book4 2" xfId="1810"/>
    <cellStyle name="_Book1 (2)_Book4 2 2" xfId="1811"/>
    <cellStyle name="_Book1 (2)_Book4 3" xfId="1812"/>
    <cellStyle name="_Book1 (2)_Book4_DEM-WP(C) ENERG10C--ctn Mid-C_042010 2010GRC" xfId="1813"/>
    <cellStyle name="_Book1 (2)_Book9" xfId="1814"/>
    <cellStyle name="_Book1 (2)_Book9 2" xfId="1815"/>
    <cellStyle name="_Book1 (2)_Book9 2 2" xfId="1816"/>
    <cellStyle name="_Book1 (2)_Book9 3" xfId="1817"/>
    <cellStyle name="_Book1 (2)_Book9_DEM-WP(C) ENERG10C--ctn Mid-C_042010 2010GRC" xfId="1818"/>
    <cellStyle name="_Book1 (2)_Chelan PUD Power Costs (8-10)" xfId="1819"/>
    <cellStyle name="_Book1 (2)_Chelan PUD Power Costs (8-10) 2" xfId="1820"/>
    <cellStyle name="_Book1 (2)_DEM-WP(C) Chelan Power Costs" xfId="1821"/>
    <cellStyle name="_Book1 (2)_DEM-WP(C) Chelan Power Costs 2" xfId="1822"/>
    <cellStyle name="_Book1 (2)_DEM-WP(C) ENERG10C--ctn Mid-C_042010 2010GRC" xfId="1823"/>
    <cellStyle name="_Book1 (2)_DEM-WP(C) Gas Transport 2010GRC" xfId="1824"/>
    <cellStyle name="_Book1 (2)_DEM-WP(C) Gas Transport 2010GRC 2" xfId="1825"/>
    <cellStyle name="_Book1 (2)_Exh A-1 resulting from UE-112050 effective Jan 1 2012" xfId="1826"/>
    <cellStyle name="_Book1 (2)_Exh G - Klamath Peaker PPA fr C Locke 2-12" xfId="1827"/>
    <cellStyle name="_Book1 (2)_Exhibit A-1 effective 4-1-11 fr S Free 12-11" xfId="1828"/>
    <cellStyle name="_Book1 (2)_Mint Farm Generation BPA" xfId="1829"/>
    <cellStyle name="_Book1 (2)_NIM Summary" xfId="1830"/>
    <cellStyle name="_Book1 (2)_NIM Summary 09GRC" xfId="1831"/>
    <cellStyle name="_Book1 (2)_NIM Summary 09GRC 2" xfId="1832"/>
    <cellStyle name="_Book1 (2)_NIM Summary 09GRC 2 2" xfId="1833"/>
    <cellStyle name="_Book1 (2)_NIM Summary 09GRC 3" xfId="1834"/>
    <cellStyle name="_Book1 (2)_NIM Summary 09GRC_DEM-WP(C) ENERG10C--ctn Mid-C_042010 2010GRC" xfId="1835"/>
    <cellStyle name="_Book1 (2)_NIM Summary 10" xfId="1836"/>
    <cellStyle name="_Book1 (2)_NIM Summary 11" xfId="1837"/>
    <cellStyle name="_Book1 (2)_NIM Summary 12" xfId="1838"/>
    <cellStyle name="_Book1 (2)_NIM Summary 13" xfId="1839"/>
    <cellStyle name="_Book1 (2)_NIM Summary 14" xfId="1840"/>
    <cellStyle name="_Book1 (2)_NIM Summary 15" xfId="1841"/>
    <cellStyle name="_Book1 (2)_NIM Summary 16" xfId="1842"/>
    <cellStyle name="_Book1 (2)_NIM Summary 17" xfId="1843"/>
    <cellStyle name="_Book1 (2)_NIM Summary 18" xfId="1844"/>
    <cellStyle name="_Book1 (2)_NIM Summary 19" xfId="1845"/>
    <cellStyle name="_Book1 (2)_NIM Summary 2" xfId="1846"/>
    <cellStyle name="_Book1 (2)_NIM Summary 2 2" xfId="1847"/>
    <cellStyle name="_Book1 (2)_NIM Summary 20" xfId="1848"/>
    <cellStyle name="_Book1 (2)_NIM Summary 21" xfId="1849"/>
    <cellStyle name="_Book1 (2)_NIM Summary 22" xfId="1850"/>
    <cellStyle name="_Book1 (2)_NIM Summary 23" xfId="1851"/>
    <cellStyle name="_Book1 (2)_NIM Summary 24" xfId="1852"/>
    <cellStyle name="_Book1 (2)_NIM Summary 25" xfId="1853"/>
    <cellStyle name="_Book1 (2)_NIM Summary 26" xfId="1854"/>
    <cellStyle name="_Book1 (2)_NIM Summary 27" xfId="1855"/>
    <cellStyle name="_Book1 (2)_NIM Summary 28" xfId="1856"/>
    <cellStyle name="_Book1 (2)_NIM Summary 29" xfId="1857"/>
    <cellStyle name="_Book1 (2)_NIM Summary 3" xfId="1858"/>
    <cellStyle name="_Book1 (2)_NIM Summary 30" xfId="1859"/>
    <cellStyle name="_Book1 (2)_NIM Summary 31" xfId="1860"/>
    <cellStyle name="_Book1 (2)_NIM Summary 32" xfId="1861"/>
    <cellStyle name="_Book1 (2)_NIM Summary 33" xfId="1862"/>
    <cellStyle name="_Book1 (2)_NIM Summary 34" xfId="1863"/>
    <cellStyle name="_Book1 (2)_NIM Summary 35" xfId="1864"/>
    <cellStyle name="_Book1 (2)_NIM Summary 36" xfId="1865"/>
    <cellStyle name="_Book1 (2)_NIM Summary 37" xfId="1866"/>
    <cellStyle name="_Book1 (2)_NIM Summary 38" xfId="1867"/>
    <cellStyle name="_Book1 (2)_NIM Summary 39" xfId="1868"/>
    <cellStyle name="_Book1 (2)_NIM Summary 4" xfId="1869"/>
    <cellStyle name="_Book1 (2)_NIM Summary 40" xfId="1870"/>
    <cellStyle name="_Book1 (2)_NIM Summary 41" xfId="1871"/>
    <cellStyle name="_Book1 (2)_NIM Summary 42" xfId="1872"/>
    <cellStyle name="_Book1 (2)_NIM Summary 43" xfId="1873"/>
    <cellStyle name="_Book1 (2)_NIM Summary 44" xfId="1874"/>
    <cellStyle name="_Book1 (2)_NIM Summary 45" xfId="1875"/>
    <cellStyle name="_Book1 (2)_NIM Summary 46" xfId="1876"/>
    <cellStyle name="_Book1 (2)_NIM Summary 47" xfId="1877"/>
    <cellStyle name="_Book1 (2)_NIM Summary 48" xfId="1878"/>
    <cellStyle name="_Book1 (2)_NIM Summary 49" xfId="1879"/>
    <cellStyle name="_Book1 (2)_NIM Summary 5" xfId="1880"/>
    <cellStyle name="_Book1 (2)_NIM Summary 50" xfId="1881"/>
    <cellStyle name="_Book1 (2)_NIM Summary 51" xfId="1882"/>
    <cellStyle name="_Book1 (2)_NIM Summary 52" xfId="1883"/>
    <cellStyle name="_Book1 (2)_NIM Summary 6" xfId="1884"/>
    <cellStyle name="_Book1 (2)_NIM Summary 7" xfId="1885"/>
    <cellStyle name="_Book1 (2)_NIM Summary 8" xfId="1886"/>
    <cellStyle name="_Book1 (2)_NIM Summary 9" xfId="1887"/>
    <cellStyle name="_Book1 (2)_NIM Summary_DEM-WP(C) ENERG10C--ctn Mid-C_042010 2010GRC" xfId="1888"/>
    <cellStyle name="_Book1 (2)_PCA 10 -  Exhibit D Dec 2011" xfId="1889"/>
    <cellStyle name="_Book1 (2)_PCA 10 -  Exhibit D from A Kellogg Jan 2011" xfId="1890"/>
    <cellStyle name="_Book1 (2)_PCA 10 -  Exhibit D from A Kellogg July 2011" xfId="1891"/>
    <cellStyle name="_Book1 (2)_PCA 10 -  Exhibit D from S Free Rcv'd 12-11" xfId="1892"/>
    <cellStyle name="_Book1 (2)_PCA 11 -  Exhibit D Jan 2012 fr A Kellogg" xfId="1893"/>
    <cellStyle name="_Book1 (2)_PCA 11 -  Exhibit D Jan 2012 WF" xfId="1894"/>
    <cellStyle name="_Book1 (2)_PCA 9 -  Exhibit D April 2010" xfId="1895"/>
    <cellStyle name="_Book1 (2)_PCA 9 -  Exhibit D April 2010 (3)" xfId="1896"/>
    <cellStyle name="_Book1 (2)_PCA 9 -  Exhibit D April 2010 (3) 2" xfId="1897"/>
    <cellStyle name="_Book1 (2)_PCA 9 -  Exhibit D April 2010 (3) 2 2" xfId="1898"/>
    <cellStyle name="_Book1 (2)_PCA 9 -  Exhibit D April 2010 (3) 3" xfId="1899"/>
    <cellStyle name="_Book1 (2)_PCA 9 -  Exhibit D April 2010 (3)_DEM-WP(C) ENERG10C--ctn Mid-C_042010 2010GRC" xfId="1900"/>
    <cellStyle name="_Book1 (2)_PCA 9 -  Exhibit D April 2010 2" xfId="1901"/>
    <cellStyle name="_Book1 (2)_PCA 9 -  Exhibit D April 2010 3" xfId="1902"/>
    <cellStyle name="_Book1 (2)_PCA 9 -  Exhibit D April 2010 4" xfId="1903"/>
    <cellStyle name="_Book1 (2)_PCA 9 -  Exhibit D April 2010 5" xfId="1904"/>
    <cellStyle name="_Book1 (2)_PCA 9 -  Exhibit D April 2010 6" xfId="1905"/>
    <cellStyle name="_Book1 (2)_PCA 9 -  Exhibit D Nov 2010" xfId="1906"/>
    <cellStyle name="_Book1 (2)_PCA 9 -  Exhibit D Nov 2010 2" xfId="1907"/>
    <cellStyle name="_Book1 (2)_PCA 9 - Exhibit D at August 2010" xfId="1908"/>
    <cellStyle name="_Book1 (2)_PCA 9 - Exhibit D at August 2010 2" xfId="1909"/>
    <cellStyle name="_Book1 (2)_PCA 9 - Exhibit D June 2010 GRC" xfId="1910"/>
    <cellStyle name="_Book1 (2)_PCA 9 - Exhibit D June 2010 GRC 2" xfId="1911"/>
    <cellStyle name="_Book1 (2)_Power Costs - Comparison bx Rbtl-Staff-Jt-PC" xfId="1912"/>
    <cellStyle name="_Book1 (2)_Power Costs - Comparison bx Rbtl-Staff-Jt-PC 2" xfId="1913"/>
    <cellStyle name="_Book1 (2)_Power Costs - Comparison bx Rbtl-Staff-Jt-PC 2 2" xfId="1914"/>
    <cellStyle name="_Book1 (2)_Power Costs - Comparison bx Rbtl-Staff-Jt-PC 3" xfId="1915"/>
    <cellStyle name="_Book1 (2)_Power Costs - Comparison bx Rbtl-Staff-Jt-PC_Adj Bench DR 3 for Initial Briefs (Electric)" xfId="1916"/>
    <cellStyle name="_Book1 (2)_Power Costs - Comparison bx Rbtl-Staff-Jt-PC_Adj Bench DR 3 for Initial Briefs (Electric) 2" xfId="1917"/>
    <cellStyle name="_Book1 (2)_Power Costs - Comparison bx Rbtl-Staff-Jt-PC_Adj Bench DR 3 for Initial Briefs (Electric) 2 2" xfId="1918"/>
    <cellStyle name="_Book1 (2)_Power Costs - Comparison bx Rbtl-Staff-Jt-PC_Adj Bench DR 3 for Initial Briefs (Electric) 3" xfId="1919"/>
    <cellStyle name="_Book1 (2)_Power Costs - Comparison bx Rbtl-Staff-Jt-PC_Adj Bench DR 3 for Initial Briefs (Electric)_DEM-WP(C) ENERG10C--ctn Mid-C_042010 2010GRC" xfId="1920"/>
    <cellStyle name="_Book1 (2)_Power Costs - Comparison bx Rbtl-Staff-Jt-PC_DEM-WP(C) ENERG10C--ctn Mid-C_042010 2010GRC" xfId="1921"/>
    <cellStyle name="_Book1 (2)_Power Costs - Comparison bx Rbtl-Staff-Jt-PC_Electric Rev Req Model (2009 GRC) Rebuttal" xfId="1922"/>
    <cellStyle name="_Book1 (2)_Power Costs - Comparison bx Rbtl-Staff-Jt-PC_Electric Rev Req Model (2009 GRC) Rebuttal 2" xfId="1923"/>
    <cellStyle name="_Book1 (2)_Power Costs - Comparison bx Rbtl-Staff-Jt-PC_Electric Rev Req Model (2009 GRC) Rebuttal REmoval of New  WH Solar AdjustMI" xfId="1924"/>
    <cellStyle name="_Book1 (2)_Power Costs - Comparison bx Rbtl-Staff-Jt-PC_Electric Rev Req Model (2009 GRC) Rebuttal REmoval of New  WH Solar AdjustMI 2" xfId="1925"/>
    <cellStyle name="_Book1 (2)_Power Costs - Comparison bx Rbtl-Staff-Jt-PC_Electric Rev Req Model (2009 GRC) Rebuttal REmoval of New  WH Solar AdjustMI 2 2" xfId="1926"/>
    <cellStyle name="_Book1 (2)_Power Costs - Comparison bx Rbtl-Staff-Jt-PC_Electric Rev Req Model (2009 GRC) Rebuttal REmoval of New  WH Solar AdjustMI 3" xfId="1927"/>
    <cellStyle name="_Book1 (2)_Power Costs - Comparison bx Rbtl-Staff-Jt-PC_Electric Rev Req Model (2009 GRC) Rebuttal REmoval of New  WH Solar AdjustMI_DEM-WP(C) ENERG10C--ctn Mid-C_042010 2010GRC" xfId="1928"/>
    <cellStyle name="_Book1 (2)_Power Costs - Comparison bx Rbtl-Staff-Jt-PC_Electric Rev Req Model (2009 GRC) Revised 01-18-2010" xfId="1929"/>
    <cellStyle name="_Book1 (2)_Power Costs - Comparison bx Rbtl-Staff-Jt-PC_Electric Rev Req Model (2009 GRC) Revised 01-18-2010 2" xfId="1930"/>
    <cellStyle name="_Book1 (2)_Power Costs - Comparison bx Rbtl-Staff-Jt-PC_Electric Rev Req Model (2009 GRC) Revised 01-18-2010 2 2" xfId="1931"/>
    <cellStyle name="_Book1 (2)_Power Costs - Comparison bx Rbtl-Staff-Jt-PC_Electric Rev Req Model (2009 GRC) Revised 01-18-2010 3" xfId="1932"/>
    <cellStyle name="_Book1 (2)_Power Costs - Comparison bx Rbtl-Staff-Jt-PC_Electric Rev Req Model (2009 GRC) Revised 01-18-2010_DEM-WP(C) ENERG10C--ctn Mid-C_042010 2010GRC" xfId="1933"/>
    <cellStyle name="_Book1 (2)_Power Costs - Comparison bx Rbtl-Staff-Jt-PC_Final Order Electric EXHIBIT A-1" xfId="1934"/>
    <cellStyle name="_Book1 (2)_Power Costs - Comparison bx Rbtl-Staff-Jt-PC_Final Order Electric EXHIBIT A-1 2" xfId="1935"/>
    <cellStyle name="_Book1 (2)_Production Adj 4.37" xfId="21238"/>
    <cellStyle name="_Book1 (2)_Purchased Power Adj 4.03" xfId="21239"/>
    <cellStyle name="_Book1 (2)_Rebuttal Power Costs" xfId="1936"/>
    <cellStyle name="_Book1 (2)_Rebuttal Power Costs 2" xfId="1937"/>
    <cellStyle name="_Book1 (2)_Rebuttal Power Costs 2 2" xfId="1938"/>
    <cellStyle name="_Book1 (2)_Rebuttal Power Costs 3" xfId="1939"/>
    <cellStyle name="_Book1 (2)_Rebuttal Power Costs_Adj Bench DR 3 for Initial Briefs (Electric)" xfId="1940"/>
    <cellStyle name="_Book1 (2)_Rebuttal Power Costs_Adj Bench DR 3 for Initial Briefs (Electric) 2" xfId="1941"/>
    <cellStyle name="_Book1 (2)_Rebuttal Power Costs_Adj Bench DR 3 for Initial Briefs (Electric) 2 2" xfId="1942"/>
    <cellStyle name="_Book1 (2)_Rebuttal Power Costs_Adj Bench DR 3 for Initial Briefs (Electric) 3" xfId="1943"/>
    <cellStyle name="_Book1 (2)_Rebuttal Power Costs_Adj Bench DR 3 for Initial Briefs (Electric)_DEM-WP(C) ENERG10C--ctn Mid-C_042010 2010GRC" xfId="1944"/>
    <cellStyle name="_Book1 (2)_Rebuttal Power Costs_DEM-WP(C) ENERG10C--ctn Mid-C_042010 2010GRC" xfId="1945"/>
    <cellStyle name="_Book1 (2)_Rebuttal Power Costs_Electric Rev Req Model (2009 GRC) Rebuttal" xfId="1946"/>
    <cellStyle name="_Book1 (2)_Rebuttal Power Costs_Electric Rev Req Model (2009 GRC) Rebuttal 2" xfId="1947"/>
    <cellStyle name="_Book1 (2)_Rebuttal Power Costs_Electric Rev Req Model (2009 GRC) Rebuttal REmoval of New  WH Solar AdjustMI" xfId="1948"/>
    <cellStyle name="_Book1 (2)_Rebuttal Power Costs_Electric Rev Req Model (2009 GRC) Rebuttal REmoval of New  WH Solar AdjustMI 2" xfId="1949"/>
    <cellStyle name="_Book1 (2)_Rebuttal Power Costs_Electric Rev Req Model (2009 GRC) Rebuttal REmoval of New  WH Solar AdjustMI 2 2" xfId="1950"/>
    <cellStyle name="_Book1 (2)_Rebuttal Power Costs_Electric Rev Req Model (2009 GRC) Rebuttal REmoval of New  WH Solar AdjustMI 3" xfId="1951"/>
    <cellStyle name="_Book1 (2)_Rebuttal Power Costs_Electric Rev Req Model (2009 GRC) Rebuttal REmoval of New  WH Solar AdjustMI_DEM-WP(C) ENERG10C--ctn Mid-C_042010 2010GRC" xfId="1952"/>
    <cellStyle name="_Book1 (2)_Rebuttal Power Costs_Electric Rev Req Model (2009 GRC) Revised 01-18-2010" xfId="1953"/>
    <cellStyle name="_Book1 (2)_Rebuttal Power Costs_Electric Rev Req Model (2009 GRC) Revised 01-18-2010 2" xfId="1954"/>
    <cellStyle name="_Book1 (2)_Rebuttal Power Costs_Electric Rev Req Model (2009 GRC) Revised 01-18-2010 2 2" xfId="1955"/>
    <cellStyle name="_Book1 (2)_Rebuttal Power Costs_Electric Rev Req Model (2009 GRC) Revised 01-18-2010 3" xfId="1956"/>
    <cellStyle name="_Book1 (2)_Rebuttal Power Costs_Electric Rev Req Model (2009 GRC) Revised 01-18-2010_DEM-WP(C) ENERG10C--ctn Mid-C_042010 2010GRC" xfId="1957"/>
    <cellStyle name="_Book1 (2)_Rebuttal Power Costs_Final Order Electric EXHIBIT A-1" xfId="1958"/>
    <cellStyle name="_Book1 (2)_Rebuttal Power Costs_Final Order Electric EXHIBIT A-1 2" xfId="1959"/>
    <cellStyle name="_Book1 (2)_ROR 5.02" xfId="21240"/>
    <cellStyle name="_Book1 (2)_Wind Integration 10GRC" xfId="1960"/>
    <cellStyle name="_Book1 (2)_Wind Integration 10GRC 2" xfId="1961"/>
    <cellStyle name="_Book1 (2)_Wind Integration 10GRC 2 2" xfId="1962"/>
    <cellStyle name="_Book1 (2)_Wind Integration 10GRC 3" xfId="1963"/>
    <cellStyle name="_Book1 (2)_Wind Integration 10GRC_DEM-WP(C) ENERG10C--ctn Mid-C_042010 2010GRC" xfId="1964"/>
    <cellStyle name="_Book1 10" xfId="1965"/>
    <cellStyle name="_Book1 10 2" xfId="1966"/>
    <cellStyle name="_Book1 11" xfId="1967"/>
    <cellStyle name="_Book1 11 2" xfId="1968"/>
    <cellStyle name="_Book1 12" xfId="1969"/>
    <cellStyle name="_Book1 12 2" xfId="1970"/>
    <cellStyle name="_Book1 12 3" xfId="1971"/>
    <cellStyle name="_Book1 13" xfId="1972"/>
    <cellStyle name="_Book1 13 2" xfId="1973"/>
    <cellStyle name="_Book1 13 3" xfId="1974"/>
    <cellStyle name="_Book1 14" xfId="1975"/>
    <cellStyle name="_Book1 14 2" xfId="1976"/>
    <cellStyle name="_Book1 14 3" xfId="1977"/>
    <cellStyle name="_Book1 15" xfId="1978"/>
    <cellStyle name="_Book1 15 2" xfId="1979"/>
    <cellStyle name="_Book1 16" xfId="1980"/>
    <cellStyle name="_Book1 17" xfId="1981"/>
    <cellStyle name="_Book1 17 2" xfId="1982"/>
    <cellStyle name="_Book1 18" xfId="1983"/>
    <cellStyle name="_Book1 18 2" xfId="1984"/>
    <cellStyle name="_Book1 19" xfId="1985"/>
    <cellStyle name="_Book1 19 2" xfId="1986"/>
    <cellStyle name="_Book1 2" xfId="1987"/>
    <cellStyle name="_Book1 2 2" xfId="1988"/>
    <cellStyle name="_Book1 2 2 2" xfId="1989"/>
    <cellStyle name="_Book1 2 3" xfId="1990"/>
    <cellStyle name="_Book1 20" xfId="1991"/>
    <cellStyle name="_Book1 20 2" xfId="1992"/>
    <cellStyle name="_Book1 21" xfId="1993"/>
    <cellStyle name="_Book1 21 2" xfId="1994"/>
    <cellStyle name="_Book1 22" xfId="1995"/>
    <cellStyle name="_Book1 3" xfId="1996"/>
    <cellStyle name="_Book1 3 2" xfId="1997"/>
    <cellStyle name="_Book1 3 2 2" xfId="1998"/>
    <cellStyle name="_Book1 3 3" xfId="1999"/>
    <cellStyle name="_Book1 4" xfId="2000"/>
    <cellStyle name="_Book1 4 2" xfId="2001"/>
    <cellStyle name="_Book1 4 2 2" xfId="2002"/>
    <cellStyle name="_Book1 4 3" xfId="2003"/>
    <cellStyle name="_Book1 5" xfId="2004"/>
    <cellStyle name="_Book1 5 2" xfId="2005"/>
    <cellStyle name="_Book1 5 2 2" xfId="2006"/>
    <cellStyle name="_Book1 5 3" xfId="2007"/>
    <cellStyle name="_Book1 6" xfId="2008"/>
    <cellStyle name="_Book1 6 2" xfId="2009"/>
    <cellStyle name="_Book1 7" xfId="2010"/>
    <cellStyle name="_Book1 7 2" xfId="2011"/>
    <cellStyle name="_Book1 8" xfId="2012"/>
    <cellStyle name="_Book1 8 2" xfId="2013"/>
    <cellStyle name="_Book1 8 3" xfId="2014"/>
    <cellStyle name="_Book1 9" xfId="2015"/>
    <cellStyle name="_Book1 9 2" xfId="2016"/>
    <cellStyle name="_Book1_(C) WHE Proforma with ITC cash grant 10 Yr Amort_for deferral_102809" xfId="2017"/>
    <cellStyle name="_Book1_(C) WHE Proforma with ITC cash grant 10 Yr Amort_for deferral_102809 2" xfId="2018"/>
    <cellStyle name="_Book1_(C) WHE Proforma with ITC cash grant 10 Yr Amort_for deferral_102809 2 2" xfId="2019"/>
    <cellStyle name="_Book1_(C) WHE Proforma with ITC cash grant 10 Yr Amort_for deferral_102809 3" xfId="2020"/>
    <cellStyle name="_Book1_(C) WHE Proforma with ITC cash grant 10 Yr Amort_for deferral_102809_16.07E Wild Horse Wind Expansionwrkingfile" xfId="2021"/>
    <cellStyle name="_Book1_(C) WHE Proforma with ITC cash grant 10 Yr Amort_for deferral_102809_16.07E Wild Horse Wind Expansionwrkingfile 2" xfId="2022"/>
    <cellStyle name="_Book1_(C) WHE Proforma with ITC cash grant 10 Yr Amort_for deferral_102809_16.07E Wild Horse Wind Expansionwrkingfile 2 2" xfId="2023"/>
    <cellStyle name="_Book1_(C) WHE Proforma with ITC cash grant 10 Yr Amort_for deferral_102809_16.07E Wild Horse Wind Expansionwrkingfile 3" xfId="2024"/>
    <cellStyle name="_Book1_(C) WHE Proforma with ITC cash grant 10 Yr Amort_for deferral_102809_16.07E Wild Horse Wind Expansionwrkingfile SF" xfId="2025"/>
    <cellStyle name="_Book1_(C) WHE Proforma with ITC cash grant 10 Yr Amort_for deferral_102809_16.07E Wild Horse Wind Expansionwrkingfile SF 2" xfId="2026"/>
    <cellStyle name="_Book1_(C) WHE Proforma with ITC cash grant 10 Yr Amort_for deferral_102809_16.07E Wild Horse Wind Expansionwrkingfile SF 2 2" xfId="2027"/>
    <cellStyle name="_Book1_(C) WHE Proforma with ITC cash grant 10 Yr Amort_for deferral_102809_16.07E Wild Horse Wind Expansionwrkingfile SF 3" xfId="2028"/>
    <cellStyle name="_Book1_(C) WHE Proforma with ITC cash grant 10 Yr Amort_for deferral_102809_16.07E Wild Horse Wind Expansionwrkingfile SF_DEM-WP(C) ENERG10C--ctn Mid-C_042010 2010GRC" xfId="2029"/>
    <cellStyle name="_Book1_(C) WHE Proforma with ITC cash grant 10 Yr Amort_for deferral_102809_16.07E Wild Horse Wind Expansionwrkingfile_DEM-WP(C) ENERG10C--ctn Mid-C_042010 2010GRC" xfId="2030"/>
    <cellStyle name="_Book1_(C) WHE Proforma with ITC cash grant 10 Yr Amort_for deferral_102809_16.37E Wild Horse Expansion DeferralRevwrkingfile SF" xfId="2031"/>
    <cellStyle name="_Book1_(C) WHE Proforma with ITC cash grant 10 Yr Amort_for deferral_102809_16.37E Wild Horse Expansion DeferralRevwrkingfile SF 2" xfId="2032"/>
    <cellStyle name="_Book1_(C) WHE Proforma with ITC cash grant 10 Yr Amort_for deferral_102809_16.37E Wild Horse Expansion DeferralRevwrkingfile SF 2 2" xfId="2033"/>
    <cellStyle name="_Book1_(C) WHE Proforma with ITC cash grant 10 Yr Amort_for deferral_102809_16.37E Wild Horse Expansion DeferralRevwrkingfile SF 3" xfId="2034"/>
    <cellStyle name="_Book1_(C) WHE Proforma with ITC cash grant 10 Yr Amort_for deferral_102809_16.37E Wild Horse Expansion DeferralRevwrkingfile SF_DEM-WP(C) ENERG10C--ctn Mid-C_042010 2010GRC" xfId="2035"/>
    <cellStyle name="_Book1_(C) WHE Proforma with ITC cash grant 10 Yr Amort_for deferral_102809_DEM-WP(C) ENERG10C--ctn Mid-C_042010 2010GRC" xfId="2036"/>
    <cellStyle name="_Book1_(C) WHE Proforma with ITC cash grant 10 Yr Amort_for rebuttal_120709" xfId="2037"/>
    <cellStyle name="_Book1_(C) WHE Proforma with ITC cash grant 10 Yr Amort_for rebuttal_120709 2" xfId="2038"/>
    <cellStyle name="_Book1_(C) WHE Proforma with ITC cash grant 10 Yr Amort_for rebuttal_120709 2 2" xfId="2039"/>
    <cellStyle name="_Book1_(C) WHE Proforma with ITC cash grant 10 Yr Amort_for rebuttal_120709 3" xfId="2040"/>
    <cellStyle name="_Book1_(C) WHE Proforma with ITC cash grant 10 Yr Amort_for rebuttal_120709_DEM-WP(C) ENERG10C--ctn Mid-C_042010 2010GRC" xfId="2041"/>
    <cellStyle name="_Book1_04.07E Wild Horse Wind Expansion" xfId="2042"/>
    <cellStyle name="_Book1_04.07E Wild Horse Wind Expansion 2" xfId="2043"/>
    <cellStyle name="_Book1_04.07E Wild Horse Wind Expansion 2 2" xfId="2044"/>
    <cellStyle name="_Book1_04.07E Wild Horse Wind Expansion 3" xfId="2045"/>
    <cellStyle name="_Book1_04.07E Wild Horse Wind Expansion_16.07E Wild Horse Wind Expansionwrkingfile" xfId="2046"/>
    <cellStyle name="_Book1_04.07E Wild Horse Wind Expansion_16.07E Wild Horse Wind Expansionwrkingfile 2" xfId="2047"/>
    <cellStyle name="_Book1_04.07E Wild Horse Wind Expansion_16.07E Wild Horse Wind Expansionwrkingfile 2 2" xfId="2048"/>
    <cellStyle name="_Book1_04.07E Wild Horse Wind Expansion_16.07E Wild Horse Wind Expansionwrkingfile 3" xfId="2049"/>
    <cellStyle name="_Book1_04.07E Wild Horse Wind Expansion_16.07E Wild Horse Wind Expansionwrkingfile SF" xfId="2050"/>
    <cellStyle name="_Book1_04.07E Wild Horse Wind Expansion_16.07E Wild Horse Wind Expansionwrkingfile SF 2" xfId="2051"/>
    <cellStyle name="_Book1_04.07E Wild Horse Wind Expansion_16.07E Wild Horse Wind Expansionwrkingfile SF 2 2" xfId="2052"/>
    <cellStyle name="_Book1_04.07E Wild Horse Wind Expansion_16.07E Wild Horse Wind Expansionwrkingfile SF 3" xfId="2053"/>
    <cellStyle name="_Book1_04.07E Wild Horse Wind Expansion_16.07E Wild Horse Wind Expansionwrkingfile SF_DEM-WP(C) ENERG10C--ctn Mid-C_042010 2010GRC" xfId="2054"/>
    <cellStyle name="_Book1_04.07E Wild Horse Wind Expansion_16.07E Wild Horse Wind Expansionwrkingfile_DEM-WP(C) ENERG10C--ctn Mid-C_042010 2010GRC" xfId="2055"/>
    <cellStyle name="_Book1_04.07E Wild Horse Wind Expansion_16.37E Wild Horse Expansion DeferralRevwrkingfile SF" xfId="2056"/>
    <cellStyle name="_Book1_04.07E Wild Horse Wind Expansion_16.37E Wild Horse Expansion DeferralRevwrkingfile SF 2" xfId="2057"/>
    <cellStyle name="_Book1_04.07E Wild Horse Wind Expansion_16.37E Wild Horse Expansion DeferralRevwrkingfile SF 2 2" xfId="2058"/>
    <cellStyle name="_Book1_04.07E Wild Horse Wind Expansion_16.37E Wild Horse Expansion DeferralRevwrkingfile SF 3" xfId="2059"/>
    <cellStyle name="_Book1_04.07E Wild Horse Wind Expansion_16.37E Wild Horse Expansion DeferralRevwrkingfile SF_DEM-WP(C) ENERG10C--ctn Mid-C_042010 2010GRC" xfId="2060"/>
    <cellStyle name="_Book1_04.07E Wild Horse Wind Expansion_DEM-WP(C) ENERG10C--ctn Mid-C_042010 2010GRC" xfId="2061"/>
    <cellStyle name="_Book1_16.07E Wild Horse Wind Expansionwrkingfile" xfId="2062"/>
    <cellStyle name="_Book1_16.07E Wild Horse Wind Expansionwrkingfile 2" xfId="2063"/>
    <cellStyle name="_Book1_16.07E Wild Horse Wind Expansionwrkingfile 2 2" xfId="2064"/>
    <cellStyle name="_Book1_16.07E Wild Horse Wind Expansionwrkingfile 3" xfId="2065"/>
    <cellStyle name="_Book1_16.07E Wild Horse Wind Expansionwrkingfile SF" xfId="2066"/>
    <cellStyle name="_Book1_16.07E Wild Horse Wind Expansionwrkingfile SF 2" xfId="2067"/>
    <cellStyle name="_Book1_16.07E Wild Horse Wind Expansionwrkingfile SF 2 2" xfId="2068"/>
    <cellStyle name="_Book1_16.07E Wild Horse Wind Expansionwrkingfile SF 3" xfId="2069"/>
    <cellStyle name="_Book1_16.07E Wild Horse Wind Expansionwrkingfile SF_DEM-WP(C) ENERG10C--ctn Mid-C_042010 2010GRC" xfId="2070"/>
    <cellStyle name="_Book1_16.07E Wild Horse Wind Expansionwrkingfile_DEM-WP(C) ENERG10C--ctn Mid-C_042010 2010GRC" xfId="2071"/>
    <cellStyle name="_Book1_16.37E Wild Horse Expansion DeferralRevwrkingfile SF" xfId="2072"/>
    <cellStyle name="_Book1_16.37E Wild Horse Expansion DeferralRevwrkingfile SF 2" xfId="2073"/>
    <cellStyle name="_Book1_16.37E Wild Horse Expansion DeferralRevwrkingfile SF 2 2" xfId="2074"/>
    <cellStyle name="_Book1_16.37E Wild Horse Expansion DeferralRevwrkingfile SF 3" xfId="2075"/>
    <cellStyle name="_Book1_16.37E Wild Horse Expansion DeferralRevwrkingfile SF_DEM-WP(C) ENERG10C--ctn Mid-C_042010 2010GRC" xfId="2076"/>
    <cellStyle name="_Book1_2009 Compliance Filing PCA Exhibits for GRC" xfId="2077"/>
    <cellStyle name="_Book1_2009 Compliance Filing PCA Exhibits for GRC 2" xfId="2078"/>
    <cellStyle name="_Book1_2009 GRC Compl Filing - Exhibit D" xfId="2079"/>
    <cellStyle name="_Book1_2009 GRC Compl Filing - Exhibit D 2" xfId="2080"/>
    <cellStyle name="_Book1_2009 GRC Compl Filing - Exhibit D 2 2" xfId="2081"/>
    <cellStyle name="_Book1_2009 GRC Compl Filing - Exhibit D 3" xfId="2082"/>
    <cellStyle name="_Book1_2009 GRC Compl Filing - Exhibit D_DEM-WP(C) ENERG10C--ctn Mid-C_042010 2010GRC" xfId="2083"/>
    <cellStyle name="_Book1_3.01 Income Statement" xfId="2084"/>
    <cellStyle name="_Book1_4 31 Regulatory Assets and Liabilities  7 06- Exhibit D" xfId="2085"/>
    <cellStyle name="_Book1_4 31 Regulatory Assets and Liabilities  7 06- Exhibit D 2" xfId="2086"/>
    <cellStyle name="_Book1_4 31 Regulatory Assets and Liabilities  7 06- Exhibit D 2 2" xfId="2087"/>
    <cellStyle name="_Book1_4 31 Regulatory Assets and Liabilities  7 06- Exhibit D 2 2 2" xfId="2088"/>
    <cellStyle name="_Book1_4 31 Regulatory Assets and Liabilities  7 06- Exhibit D 3" xfId="2089"/>
    <cellStyle name="_Book1_4 31 Regulatory Assets and Liabilities  7 06- Exhibit D_DEM-WP(C) ENERG10C--ctn Mid-C_042010 2010GRC" xfId="2090"/>
    <cellStyle name="_Book1_4 31 Regulatory Assets and Liabilities  7 06- Exhibit D_NIM Summary" xfId="2091"/>
    <cellStyle name="_Book1_4 31 Regulatory Assets and Liabilities  7 06- Exhibit D_NIM Summary 2" xfId="2092"/>
    <cellStyle name="_Book1_4 31 Regulatory Assets and Liabilities  7 06- Exhibit D_NIM Summary 2 2" xfId="2093"/>
    <cellStyle name="_Book1_4 31 Regulatory Assets and Liabilities  7 06- Exhibit D_NIM Summary 3" xfId="2094"/>
    <cellStyle name="_Book1_4 31 Regulatory Assets and Liabilities  7 06- Exhibit D_NIM Summary_DEM-WP(C) ENERG10C--ctn Mid-C_042010 2010GRC" xfId="2095"/>
    <cellStyle name="_Book1_4 31 Regulatory Assets and Liabilities  7 06- Exhibit D_NIM+O&amp;M" xfId="2096"/>
    <cellStyle name="_Book1_4 31 Regulatory Assets and Liabilities  7 06- Exhibit D_NIM+O&amp;M Monthly" xfId="2097"/>
    <cellStyle name="_Book1_4 31E Reg Asset  Liab and EXH D" xfId="2098"/>
    <cellStyle name="_Book1_4 31E Reg Asset  Liab and EXH D _ Aug 10 Filing (2)" xfId="2099"/>
    <cellStyle name="_Book1_4 31E Reg Asset  Liab and EXH D _ Aug 10 Filing (2) 2" xfId="2100"/>
    <cellStyle name="_Book1_4 31E Reg Asset  Liab and EXH D 2" xfId="2101"/>
    <cellStyle name="_Book1_4 31E Reg Asset  Liab and EXH D 3" xfId="2102"/>
    <cellStyle name="_Book1_4 32 Regulatory Assets and Liabilities  7 06- Exhibit D" xfId="2103"/>
    <cellStyle name="_Book1_4 32 Regulatory Assets and Liabilities  7 06- Exhibit D 2" xfId="2104"/>
    <cellStyle name="_Book1_4 32 Regulatory Assets and Liabilities  7 06- Exhibit D 2 2" xfId="2105"/>
    <cellStyle name="_Book1_4 32 Regulatory Assets and Liabilities  7 06- Exhibit D 2 2 2" xfId="2106"/>
    <cellStyle name="_Book1_4 32 Regulatory Assets and Liabilities  7 06- Exhibit D 3" xfId="2107"/>
    <cellStyle name="_Book1_4 32 Regulatory Assets and Liabilities  7 06- Exhibit D_DEM-WP(C) ENERG10C--ctn Mid-C_042010 2010GRC" xfId="2108"/>
    <cellStyle name="_Book1_4 32 Regulatory Assets and Liabilities  7 06- Exhibit D_NIM Summary" xfId="2109"/>
    <cellStyle name="_Book1_4 32 Regulatory Assets and Liabilities  7 06- Exhibit D_NIM Summary 2" xfId="2110"/>
    <cellStyle name="_Book1_4 32 Regulatory Assets and Liabilities  7 06- Exhibit D_NIM Summary 2 2" xfId="2111"/>
    <cellStyle name="_Book1_4 32 Regulatory Assets and Liabilities  7 06- Exhibit D_NIM Summary 3" xfId="2112"/>
    <cellStyle name="_Book1_4 32 Regulatory Assets and Liabilities  7 06- Exhibit D_NIM Summary_DEM-WP(C) ENERG10C--ctn Mid-C_042010 2010GRC" xfId="2113"/>
    <cellStyle name="_Book1_4 32 Regulatory Assets and Liabilities  7 06- Exhibit D_NIM+O&amp;M" xfId="2114"/>
    <cellStyle name="_Book1_4 32 Regulatory Assets and Liabilities  7 06- Exhibit D_NIM+O&amp;M Monthly" xfId="2115"/>
    <cellStyle name="_Book1_AURORA Total New" xfId="2116"/>
    <cellStyle name="_Book1_AURORA Total New 2" xfId="2117"/>
    <cellStyle name="_Book1_AURORA Total New 2 2" xfId="2118"/>
    <cellStyle name="_Book1_AURORA Total New 3" xfId="2119"/>
    <cellStyle name="_Book1_Book2" xfId="2120"/>
    <cellStyle name="_Book1_Book2 2" xfId="2121"/>
    <cellStyle name="_Book1_Book2 2 2" xfId="2122"/>
    <cellStyle name="_Book1_Book2 3" xfId="2123"/>
    <cellStyle name="_Book1_Book2_Adj Bench DR 3 for Initial Briefs (Electric)" xfId="2124"/>
    <cellStyle name="_Book1_Book2_Adj Bench DR 3 for Initial Briefs (Electric) 2" xfId="2125"/>
    <cellStyle name="_Book1_Book2_Adj Bench DR 3 for Initial Briefs (Electric) 2 2" xfId="2126"/>
    <cellStyle name="_Book1_Book2_Adj Bench DR 3 for Initial Briefs (Electric) 3" xfId="2127"/>
    <cellStyle name="_Book1_Book2_Adj Bench DR 3 for Initial Briefs (Electric)_DEM-WP(C) ENERG10C--ctn Mid-C_042010 2010GRC" xfId="2128"/>
    <cellStyle name="_Book1_Book2_DEM-WP(C) ENERG10C--ctn Mid-C_042010 2010GRC" xfId="2129"/>
    <cellStyle name="_Book1_Book2_Electric Rev Req Model (2009 GRC) Rebuttal" xfId="2130"/>
    <cellStyle name="_Book1_Book2_Electric Rev Req Model (2009 GRC) Rebuttal 2" xfId="2131"/>
    <cellStyle name="_Book1_Book2_Electric Rev Req Model (2009 GRC) Rebuttal REmoval of New  WH Solar AdjustMI" xfId="2132"/>
    <cellStyle name="_Book1_Book2_Electric Rev Req Model (2009 GRC) Rebuttal REmoval of New  WH Solar AdjustMI 2" xfId="2133"/>
    <cellStyle name="_Book1_Book2_Electric Rev Req Model (2009 GRC) Rebuttal REmoval of New  WH Solar AdjustMI 2 2" xfId="2134"/>
    <cellStyle name="_Book1_Book2_Electric Rev Req Model (2009 GRC) Rebuttal REmoval of New  WH Solar AdjustMI 3" xfId="2135"/>
    <cellStyle name="_Book1_Book2_Electric Rev Req Model (2009 GRC) Rebuttal REmoval of New  WH Solar AdjustMI_DEM-WP(C) ENERG10C--ctn Mid-C_042010 2010GRC" xfId="2136"/>
    <cellStyle name="_Book1_Book2_Electric Rev Req Model (2009 GRC) Revised 01-18-2010" xfId="2137"/>
    <cellStyle name="_Book1_Book2_Electric Rev Req Model (2009 GRC) Revised 01-18-2010 2" xfId="2138"/>
    <cellStyle name="_Book1_Book2_Electric Rev Req Model (2009 GRC) Revised 01-18-2010 2 2" xfId="2139"/>
    <cellStyle name="_Book1_Book2_Electric Rev Req Model (2009 GRC) Revised 01-18-2010 3" xfId="2140"/>
    <cellStyle name="_Book1_Book2_Electric Rev Req Model (2009 GRC) Revised 01-18-2010_DEM-WP(C) ENERG10C--ctn Mid-C_042010 2010GRC" xfId="2141"/>
    <cellStyle name="_Book1_Book2_Final Order Electric EXHIBIT A-1" xfId="2142"/>
    <cellStyle name="_Book1_Book2_Final Order Electric EXHIBIT A-1 2" xfId="2143"/>
    <cellStyle name="_Book1_Book4" xfId="2144"/>
    <cellStyle name="_Book1_Book4 2" xfId="2145"/>
    <cellStyle name="_Book1_Book4 2 2" xfId="2146"/>
    <cellStyle name="_Book1_Book4 3" xfId="2147"/>
    <cellStyle name="_Book1_Book4_DEM-WP(C) ENERG10C--ctn Mid-C_042010 2010GRC" xfId="2148"/>
    <cellStyle name="_Book1_Book9" xfId="2149"/>
    <cellStyle name="_Book1_Book9 2" xfId="2150"/>
    <cellStyle name="_Book1_Book9 2 2" xfId="2151"/>
    <cellStyle name="_Book1_Book9 3" xfId="2152"/>
    <cellStyle name="_Book1_Book9_DEM-WP(C) ENERG10C--ctn Mid-C_042010 2010GRC" xfId="2153"/>
    <cellStyle name="_Book1_Chelan PUD Power Costs (8-10)" xfId="2154"/>
    <cellStyle name="_Book1_Chelan PUD Power Costs (8-10) 2" xfId="2155"/>
    <cellStyle name="_Book1_DEM-WP(C) Chelan Power Costs" xfId="2156"/>
    <cellStyle name="_Book1_DEM-WP(C) Chelan Power Costs 2" xfId="2157"/>
    <cellStyle name="_Book1_DEM-WP(C) ENERG10C--ctn Mid-C_042010 2010GRC" xfId="2158"/>
    <cellStyle name="_Book1_DEM-WP(C) Gas Transport 2010GRC" xfId="2159"/>
    <cellStyle name="_Book1_DEM-WP(C) Gas Transport 2010GRC 2" xfId="2160"/>
    <cellStyle name="_Book1_Exh A-1 resulting from UE-112050 effective Jan 1 2012" xfId="2161"/>
    <cellStyle name="_Book1_Exh G - Klamath Peaker PPA fr C Locke 2-12" xfId="2162"/>
    <cellStyle name="_Book1_Exhibit A-1 effective 4-1-11 fr S Free 12-11" xfId="2163"/>
    <cellStyle name="_Book1_LSRWEP LGIA like Acctg Petition Aug 2010" xfId="2164"/>
    <cellStyle name="_Book1_Mint Farm Generation BPA" xfId="2165"/>
    <cellStyle name="_Book1_NIM Summary" xfId="2166"/>
    <cellStyle name="_Book1_NIM Summary 09GRC" xfId="2167"/>
    <cellStyle name="_Book1_NIM Summary 09GRC 2" xfId="2168"/>
    <cellStyle name="_Book1_NIM Summary 09GRC 2 2" xfId="2169"/>
    <cellStyle name="_Book1_NIM Summary 09GRC 3" xfId="2170"/>
    <cellStyle name="_Book1_NIM Summary 09GRC_DEM-WP(C) ENERG10C--ctn Mid-C_042010 2010GRC" xfId="2171"/>
    <cellStyle name="_Book1_NIM Summary 10" xfId="2172"/>
    <cellStyle name="_Book1_NIM Summary 11" xfId="2173"/>
    <cellStyle name="_Book1_NIM Summary 12" xfId="2174"/>
    <cellStyle name="_Book1_NIM Summary 13" xfId="2175"/>
    <cellStyle name="_Book1_NIM Summary 14" xfId="2176"/>
    <cellStyle name="_Book1_NIM Summary 15" xfId="2177"/>
    <cellStyle name="_Book1_NIM Summary 16" xfId="2178"/>
    <cellStyle name="_Book1_NIM Summary 17" xfId="2179"/>
    <cellStyle name="_Book1_NIM Summary 18" xfId="2180"/>
    <cellStyle name="_Book1_NIM Summary 19" xfId="2181"/>
    <cellStyle name="_Book1_NIM Summary 2" xfId="2182"/>
    <cellStyle name="_Book1_NIM Summary 2 2" xfId="2183"/>
    <cellStyle name="_Book1_NIM Summary 20" xfId="2184"/>
    <cellStyle name="_Book1_NIM Summary 21" xfId="2185"/>
    <cellStyle name="_Book1_NIM Summary 22" xfId="2186"/>
    <cellStyle name="_Book1_NIM Summary 23" xfId="2187"/>
    <cellStyle name="_Book1_NIM Summary 24" xfId="2188"/>
    <cellStyle name="_Book1_NIM Summary 25" xfId="2189"/>
    <cellStyle name="_Book1_NIM Summary 26" xfId="2190"/>
    <cellStyle name="_Book1_NIM Summary 27" xfId="2191"/>
    <cellStyle name="_Book1_NIM Summary 28" xfId="2192"/>
    <cellStyle name="_Book1_NIM Summary 29" xfId="2193"/>
    <cellStyle name="_Book1_NIM Summary 3" xfId="2194"/>
    <cellStyle name="_Book1_NIM Summary 30" xfId="2195"/>
    <cellStyle name="_Book1_NIM Summary 31" xfId="2196"/>
    <cellStyle name="_Book1_NIM Summary 32" xfId="2197"/>
    <cellStyle name="_Book1_NIM Summary 33" xfId="2198"/>
    <cellStyle name="_Book1_NIM Summary 34" xfId="2199"/>
    <cellStyle name="_Book1_NIM Summary 35" xfId="2200"/>
    <cellStyle name="_Book1_NIM Summary 36" xfId="2201"/>
    <cellStyle name="_Book1_NIM Summary 37" xfId="2202"/>
    <cellStyle name="_Book1_NIM Summary 38" xfId="2203"/>
    <cellStyle name="_Book1_NIM Summary 39" xfId="2204"/>
    <cellStyle name="_Book1_NIM Summary 4" xfId="2205"/>
    <cellStyle name="_Book1_NIM Summary 40" xfId="2206"/>
    <cellStyle name="_Book1_NIM Summary 41" xfId="2207"/>
    <cellStyle name="_Book1_NIM Summary 42" xfId="2208"/>
    <cellStyle name="_Book1_NIM Summary 43" xfId="2209"/>
    <cellStyle name="_Book1_NIM Summary 44" xfId="2210"/>
    <cellStyle name="_Book1_NIM Summary 45" xfId="2211"/>
    <cellStyle name="_Book1_NIM Summary 46" xfId="2212"/>
    <cellStyle name="_Book1_NIM Summary 47" xfId="2213"/>
    <cellStyle name="_Book1_NIM Summary 48" xfId="2214"/>
    <cellStyle name="_Book1_NIM Summary 49" xfId="2215"/>
    <cellStyle name="_Book1_NIM Summary 5" xfId="2216"/>
    <cellStyle name="_Book1_NIM Summary 50" xfId="2217"/>
    <cellStyle name="_Book1_NIM Summary 51" xfId="2218"/>
    <cellStyle name="_Book1_NIM Summary 52" xfId="2219"/>
    <cellStyle name="_Book1_NIM Summary 6" xfId="2220"/>
    <cellStyle name="_Book1_NIM Summary 7" xfId="2221"/>
    <cellStyle name="_Book1_NIM Summary 8" xfId="2222"/>
    <cellStyle name="_Book1_NIM Summary 9" xfId="2223"/>
    <cellStyle name="_Book1_NIM Summary_DEM-WP(C) ENERG10C--ctn Mid-C_042010 2010GRC" xfId="2224"/>
    <cellStyle name="_Book1_NIM+O&amp;M" xfId="2225"/>
    <cellStyle name="_Book1_NIM+O&amp;M 2" xfId="2226"/>
    <cellStyle name="_Book1_NIM+O&amp;M Monthly" xfId="2227"/>
    <cellStyle name="_Book1_NIM+O&amp;M Monthly 2" xfId="2228"/>
    <cellStyle name="_Book1_PCA 10 -  Exhibit D Dec 2011" xfId="2229"/>
    <cellStyle name="_Book1_PCA 10 -  Exhibit D from A Kellogg Jan 2011" xfId="2230"/>
    <cellStyle name="_Book1_PCA 10 -  Exhibit D from A Kellogg July 2011" xfId="2231"/>
    <cellStyle name="_Book1_PCA 10 -  Exhibit D from S Free Rcv'd 12-11" xfId="2232"/>
    <cellStyle name="_Book1_PCA 11 -  Exhibit D Jan 2012 fr A Kellogg" xfId="2233"/>
    <cellStyle name="_Book1_PCA 11 -  Exhibit D Jan 2012 WF" xfId="2234"/>
    <cellStyle name="_Book1_PCA 9 -  Exhibit D April 2010" xfId="2235"/>
    <cellStyle name="_Book1_PCA 9 -  Exhibit D April 2010 (3)" xfId="2236"/>
    <cellStyle name="_Book1_PCA 9 -  Exhibit D April 2010 (3) 2" xfId="2237"/>
    <cellStyle name="_Book1_PCA 9 -  Exhibit D April 2010 (3) 2 2" xfId="2238"/>
    <cellStyle name="_Book1_PCA 9 -  Exhibit D April 2010 (3) 3" xfId="2239"/>
    <cellStyle name="_Book1_PCA 9 -  Exhibit D April 2010 (3)_DEM-WP(C) ENERG10C--ctn Mid-C_042010 2010GRC" xfId="2240"/>
    <cellStyle name="_Book1_PCA 9 -  Exhibit D April 2010 2" xfId="2241"/>
    <cellStyle name="_Book1_PCA 9 -  Exhibit D April 2010 3" xfId="2242"/>
    <cellStyle name="_Book1_PCA 9 -  Exhibit D April 2010 4" xfId="2243"/>
    <cellStyle name="_Book1_PCA 9 -  Exhibit D April 2010 5" xfId="2244"/>
    <cellStyle name="_Book1_PCA 9 -  Exhibit D April 2010 6" xfId="2245"/>
    <cellStyle name="_Book1_PCA 9 -  Exhibit D Nov 2010" xfId="2246"/>
    <cellStyle name="_Book1_PCA 9 -  Exhibit D Nov 2010 2" xfId="2247"/>
    <cellStyle name="_Book1_PCA 9 - Exhibit D at August 2010" xfId="2248"/>
    <cellStyle name="_Book1_PCA 9 - Exhibit D at August 2010 2" xfId="2249"/>
    <cellStyle name="_Book1_PCA 9 - Exhibit D June 2010 GRC" xfId="2250"/>
    <cellStyle name="_Book1_PCA 9 - Exhibit D June 2010 GRC 2" xfId="2251"/>
    <cellStyle name="_Book1_Power Costs - Comparison bx Rbtl-Staff-Jt-PC" xfId="2252"/>
    <cellStyle name="_Book1_Power Costs - Comparison bx Rbtl-Staff-Jt-PC 2" xfId="2253"/>
    <cellStyle name="_Book1_Power Costs - Comparison bx Rbtl-Staff-Jt-PC 2 2" xfId="2254"/>
    <cellStyle name="_Book1_Power Costs - Comparison bx Rbtl-Staff-Jt-PC 3" xfId="2255"/>
    <cellStyle name="_Book1_Power Costs - Comparison bx Rbtl-Staff-Jt-PC_Adj Bench DR 3 for Initial Briefs (Electric)" xfId="2256"/>
    <cellStyle name="_Book1_Power Costs - Comparison bx Rbtl-Staff-Jt-PC_Adj Bench DR 3 for Initial Briefs (Electric) 2" xfId="2257"/>
    <cellStyle name="_Book1_Power Costs - Comparison bx Rbtl-Staff-Jt-PC_Adj Bench DR 3 for Initial Briefs (Electric) 2 2" xfId="2258"/>
    <cellStyle name="_Book1_Power Costs - Comparison bx Rbtl-Staff-Jt-PC_Adj Bench DR 3 for Initial Briefs (Electric) 3" xfId="2259"/>
    <cellStyle name="_Book1_Power Costs - Comparison bx Rbtl-Staff-Jt-PC_Adj Bench DR 3 for Initial Briefs (Electric)_DEM-WP(C) ENERG10C--ctn Mid-C_042010 2010GRC" xfId="2260"/>
    <cellStyle name="_Book1_Power Costs - Comparison bx Rbtl-Staff-Jt-PC_DEM-WP(C) ENERG10C--ctn Mid-C_042010 2010GRC" xfId="2261"/>
    <cellStyle name="_Book1_Power Costs - Comparison bx Rbtl-Staff-Jt-PC_Electric Rev Req Model (2009 GRC) Rebuttal" xfId="2262"/>
    <cellStyle name="_Book1_Power Costs - Comparison bx Rbtl-Staff-Jt-PC_Electric Rev Req Model (2009 GRC) Rebuttal 2" xfId="2263"/>
    <cellStyle name="_Book1_Power Costs - Comparison bx Rbtl-Staff-Jt-PC_Electric Rev Req Model (2009 GRC) Rebuttal REmoval of New  WH Solar AdjustMI" xfId="2264"/>
    <cellStyle name="_Book1_Power Costs - Comparison bx Rbtl-Staff-Jt-PC_Electric Rev Req Model (2009 GRC) Rebuttal REmoval of New  WH Solar AdjustMI 2" xfId="2265"/>
    <cellStyle name="_Book1_Power Costs - Comparison bx Rbtl-Staff-Jt-PC_Electric Rev Req Model (2009 GRC) Rebuttal REmoval of New  WH Solar AdjustMI 2 2" xfId="2266"/>
    <cellStyle name="_Book1_Power Costs - Comparison bx Rbtl-Staff-Jt-PC_Electric Rev Req Model (2009 GRC) Rebuttal REmoval of New  WH Solar AdjustMI 3" xfId="2267"/>
    <cellStyle name="_Book1_Power Costs - Comparison bx Rbtl-Staff-Jt-PC_Electric Rev Req Model (2009 GRC) Rebuttal REmoval of New  WH Solar AdjustMI_DEM-WP(C) ENERG10C--ctn Mid-C_042010 2010GRC" xfId="2268"/>
    <cellStyle name="_Book1_Power Costs - Comparison bx Rbtl-Staff-Jt-PC_Electric Rev Req Model (2009 GRC) Revised 01-18-2010" xfId="2269"/>
    <cellStyle name="_Book1_Power Costs - Comparison bx Rbtl-Staff-Jt-PC_Electric Rev Req Model (2009 GRC) Revised 01-18-2010 2" xfId="2270"/>
    <cellStyle name="_Book1_Power Costs - Comparison bx Rbtl-Staff-Jt-PC_Electric Rev Req Model (2009 GRC) Revised 01-18-2010 2 2" xfId="2271"/>
    <cellStyle name="_Book1_Power Costs - Comparison bx Rbtl-Staff-Jt-PC_Electric Rev Req Model (2009 GRC) Revised 01-18-2010 3" xfId="2272"/>
    <cellStyle name="_Book1_Power Costs - Comparison bx Rbtl-Staff-Jt-PC_Electric Rev Req Model (2009 GRC) Revised 01-18-2010_DEM-WP(C) ENERG10C--ctn Mid-C_042010 2010GRC" xfId="2273"/>
    <cellStyle name="_Book1_Power Costs - Comparison bx Rbtl-Staff-Jt-PC_Final Order Electric EXHIBIT A-1" xfId="2274"/>
    <cellStyle name="_Book1_Power Costs - Comparison bx Rbtl-Staff-Jt-PC_Final Order Electric EXHIBIT A-1 2" xfId="2275"/>
    <cellStyle name="_Book1_Production Adj 4.37" xfId="21241"/>
    <cellStyle name="_Book1_Purchased Power Adj 4.03" xfId="21242"/>
    <cellStyle name="_Book1_Rebuttal Power Costs" xfId="2276"/>
    <cellStyle name="_Book1_Rebuttal Power Costs 2" xfId="2277"/>
    <cellStyle name="_Book1_Rebuttal Power Costs 2 2" xfId="2278"/>
    <cellStyle name="_Book1_Rebuttal Power Costs 3" xfId="2279"/>
    <cellStyle name="_Book1_Rebuttal Power Costs_Adj Bench DR 3 for Initial Briefs (Electric)" xfId="2280"/>
    <cellStyle name="_Book1_Rebuttal Power Costs_Adj Bench DR 3 for Initial Briefs (Electric) 2" xfId="2281"/>
    <cellStyle name="_Book1_Rebuttal Power Costs_Adj Bench DR 3 for Initial Briefs (Electric) 2 2" xfId="2282"/>
    <cellStyle name="_Book1_Rebuttal Power Costs_Adj Bench DR 3 for Initial Briefs (Electric) 3" xfId="2283"/>
    <cellStyle name="_Book1_Rebuttal Power Costs_Adj Bench DR 3 for Initial Briefs (Electric)_DEM-WP(C) ENERG10C--ctn Mid-C_042010 2010GRC" xfId="2284"/>
    <cellStyle name="_Book1_Rebuttal Power Costs_DEM-WP(C) ENERG10C--ctn Mid-C_042010 2010GRC" xfId="2285"/>
    <cellStyle name="_Book1_Rebuttal Power Costs_Electric Rev Req Model (2009 GRC) Rebuttal" xfId="2286"/>
    <cellStyle name="_Book1_Rebuttal Power Costs_Electric Rev Req Model (2009 GRC) Rebuttal 2" xfId="2287"/>
    <cellStyle name="_Book1_Rebuttal Power Costs_Electric Rev Req Model (2009 GRC) Rebuttal REmoval of New  WH Solar AdjustMI" xfId="2288"/>
    <cellStyle name="_Book1_Rebuttal Power Costs_Electric Rev Req Model (2009 GRC) Rebuttal REmoval of New  WH Solar AdjustMI 2" xfId="2289"/>
    <cellStyle name="_Book1_Rebuttal Power Costs_Electric Rev Req Model (2009 GRC) Rebuttal REmoval of New  WH Solar AdjustMI 2 2" xfId="2290"/>
    <cellStyle name="_Book1_Rebuttal Power Costs_Electric Rev Req Model (2009 GRC) Rebuttal REmoval of New  WH Solar AdjustMI 3" xfId="2291"/>
    <cellStyle name="_Book1_Rebuttal Power Costs_Electric Rev Req Model (2009 GRC) Rebuttal REmoval of New  WH Solar AdjustMI_DEM-WP(C) ENERG10C--ctn Mid-C_042010 2010GRC" xfId="2292"/>
    <cellStyle name="_Book1_Rebuttal Power Costs_Electric Rev Req Model (2009 GRC) Revised 01-18-2010" xfId="2293"/>
    <cellStyle name="_Book1_Rebuttal Power Costs_Electric Rev Req Model (2009 GRC) Revised 01-18-2010 2" xfId="2294"/>
    <cellStyle name="_Book1_Rebuttal Power Costs_Electric Rev Req Model (2009 GRC) Revised 01-18-2010 2 2" xfId="2295"/>
    <cellStyle name="_Book1_Rebuttal Power Costs_Electric Rev Req Model (2009 GRC) Revised 01-18-2010 3" xfId="2296"/>
    <cellStyle name="_Book1_Rebuttal Power Costs_Electric Rev Req Model (2009 GRC) Revised 01-18-2010_DEM-WP(C) ENERG10C--ctn Mid-C_042010 2010GRC" xfId="2297"/>
    <cellStyle name="_Book1_Rebuttal Power Costs_Final Order Electric EXHIBIT A-1" xfId="2298"/>
    <cellStyle name="_Book1_Rebuttal Power Costs_Final Order Electric EXHIBIT A-1 2" xfId="2299"/>
    <cellStyle name="_Book1_ROR 5.02" xfId="21243"/>
    <cellStyle name="_Book1_Transmission Workbook for May BOD" xfId="2300"/>
    <cellStyle name="_Book1_Transmission Workbook for May BOD 2" xfId="2301"/>
    <cellStyle name="_Book1_Transmission Workbook for May BOD 2 2" xfId="2302"/>
    <cellStyle name="_Book1_Transmission Workbook for May BOD 3" xfId="2303"/>
    <cellStyle name="_Book1_Transmission Workbook for May BOD_DEM-WP(C) ENERG10C--ctn Mid-C_042010 2010GRC" xfId="2304"/>
    <cellStyle name="_Book1_Wind Integration 10GRC" xfId="2305"/>
    <cellStyle name="_Book1_Wind Integration 10GRC 2" xfId="2306"/>
    <cellStyle name="_Book1_Wind Integration 10GRC 2 2" xfId="2307"/>
    <cellStyle name="_Book1_Wind Integration 10GRC 3" xfId="2308"/>
    <cellStyle name="_Book1_Wind Integration 10GRC_DEM-WP(C) ENERG10C--ctn Mid-C_042010 2010GRC" xfId="2309"/>
    <cellStyle name="_Book2" xfId="2310"/>
    <cellStyle name="_x0013__Book2" xfId="2311"/>
    <cellStyle name="_Book2 10" xfId="2312"/>
    <cellStyle name="_x0013__Book2 10" xfId="2313"/>
    <cellStyle name="_Book2 10 2" xfId="2314"/>
    <cellStyle name="_Book2 10 3" xfId="2315"/>
    <cellStyle name="_Book2 10 4" xfId="2316"/>
    <cellStyle name="_Book2 10 5" xfId="2317"/>
    <cellStyle name="_Book2 10 6" xfId="2318"/>
    <cellStyle name="_Book2 11" xfId="2319"/>
    <cellStyle name="_x0013__Book2 11" xfId="2320"/>
    <cellStyle name="_Book2 11 2" xfId="2321"/>
    <cellStyle name="_Book2 11 3" xfId="2322"/>
    <cellStyle name="_Book2 12" xfId="2323"/>
    <cellStyle name="_x0013__Book2 12" xfId="2324"/>
    <cellStyle name="_Book2 12 2" xfId="2325"/>
    <cellStyle name="_Book2 12 3" xfId="2326"/>
    <cellStyle name="_Book2 13" xfId="2327"/>
    <cellStyle name="_x0013__Book2 13" xfId="2328"/>
    <cellStyle name="_Book2 13 2" xfId="2329"/>
    <cellStyle name="_Book2 13 3" xfId="2330"/>
    <cellStyle name="_Book2 14" xfId="2331"/>
    <cellStyle name="_x0013__Book2 14" xfId="2332"/>
    <cellStyle name="_Book2 14 2" xfId="2333"/>
    <cellStyle name="_Book2 14 3" xfId="2334"/>
    <cellStyle name="_Book2 15" xfId="2335"/>
    <cellStyle name="_x0013__Book2 15" xfId="2336"/>
    <cellStyle name="_Book2 15 2" xfId="2337"/>
    <cellStyle name="_Book2 15 3" xfId="2338"/>
    <cellStyle name="_Book2 16" xfId="2339"/>
    <cellStyle name="_x0013__Book2 16" xfId="2340"/>
    <cellStyle name="_Book2 16 2" xfId="2341"/>
    <cellStyle name="_x0013__Book2 17" xfId="2342"/>
    <cellStyle name="_x0013__Book2 18" xfId="2343"/>
    <cellStyle name="_x0013__Book2 19" xfId="2344"/>
    <cellStyle name="_Book2 2" xfId="2345"/>
    <cellStyle name="_x0013__Book2 2" xfId="2346"/>
    <cellStyle name="_Book2 2 10" xfId="2347"/>
    <cellStyle name="_Book2 2 11" xfId="2348"/>
    <cellStyle name="_Book2 2 12" xfId="2349"/>
    <cellStyle name="_Book2 2 13" xfId="2350"/>
    <cellStyle name="_Book2 2 14" xfId="2351"/>
    <cellStyle name="_Book2 2 15" xfId="2352"/>
    <cellStyle name="_Book2 2 16" xfId="2353"/>
    <cellStyle name="_Book2 2 17" xfId="2354"/>
    <cellStyle name="_Book2 2 18" xfId="2355"/>
    <cellStyle name="_Book2 2 19" xfId="2356"/>
    <cellStyle name="_Book2 2 2" xfId="2357"/>
    <cellStyle name="_x0013__Book2 2 2" xfId="2358"/>
    <cellStyle name="_Book2 2 2 2" xfId="2359"/>
    <cellStyle name="_Book2 2 2 3" xfId="2360"/>
    <cellStyle name="_Book2 2 2 4" xfId="2361"/>
    <cellStyle name="_Book2 2 2 5" xfId="2362"/>
    <cellStyle name="_Book2 2 2 6" xfId="2363"/>
    <cellStyle name="_Book2 2 20" xfId="2364"/>
    <cellStyle name="_Book2 2 21" xfId="2365"/>
    <cellStyle name="_Book2 2 22" xfId="2366"/>
    <cellStyle name="_Book2 2 23" xfId="2367"/>
    <cellStyle name="_Book2 2 24" xfId="2368"/>
    <cellStyle name="_Book2 2 25" xfId="2369"/>
    <cellStyle name="_Book2 2 26" xfId="2370"/>
    <cellStyle name="_Book2 2 27" xfId="2371"/>
    <cellStyle name="_Book2 2 28" xfId="2372"/>
    <cellStyle name="_Book2 2 29" xfId="2373"/>
    <cellStyle name="_Book2 2 3" xfId="2374"/>
    <cellStyle name="_x0013__Book2 2 3" xfId="2375"/>
    <cellStyle name="_Book2 2 30" xfId="2376"/>
    <cellStyle name="_Book2 2 31" xfId="2377"/>
    <cellStyle name="_Book2 2 32" xfId="2378"/>
    <cellStyle name="_Book2 2 33" xfId="2379"/>
    <cellStyle name="_Book2 2 34" xfId="2380"/>
    <cellStyle name="_Book2 2 35" xfId="2381"/>
    <cellStyle name="_Book2 2 36" xfId="2382"/>
    <cellStyle name="_Book2 2 37" xfId="2383"/>
    <cellStyle name="_Book2 2 38" xfId="2384"/>
    <cellStyle name="_Book2 2 39" xfId="2385"/>
    <cellStyle name="_Book2 2 4" xfId="2386"/>
    <cellStyle name="_x0013__Book2 2 4" xfId="2387"/>
    <cellStyle name="_Book2 2 40" xfId="2388"/>
    <cellStyle name="_Book2 2 41" xfId="2389"/>
    <cellStyle name="_Book2 2 42" xfId="2390"/>
    <cellStyle name="_Book2 2 43" xfId="2391"/>
    <cellStyle name="_Book2 2 44" xfId="2392"/>
    <cellStyle name="_Book2 2 45" xfId="2393"/>
    <cellStyle name="_Book2 2 46" xfId="2394"/>
    <cellStyle name="_Book2 2 47" xfId="2395"/>
    <cellStyle name="_Book2 2 48" xfId="2396"/>
    <cellStyle name="_Book2 2 49" xfId="2397"/>
    <cellStyle name="_Book2 2 5" xfId="2398"/>
    <cellStyle name="_x0013__Book2 2 5" xfId="2399"/>
    <cellStyle name="_Book2 2 50" xfId="2400"/>
    <cellStyle name="_Book2 2 51" xfId="2401"/>
    <cellStyle name="_Book2 2 52" xfId="2402"/>
    <cellStyle name="_Book2 2 53" xfId="2403"/>
    <cellStyle name="_Book2 2 6" xfId="2404"/>
    <cellStyle name="_x0013__Book2 2 6" xfId="2405"/>
    <cellStyle name="_Book2 2 7" xfId="2406"/>
    <cellStyle name="_Book2 2 8" xfId="2407"/>
    <cellStyle name="_Book2 2 9" xfId="2408"/>
    <cellStyle name="_x0013__Book2 20" xfId="2409"/>
    <cellStyle name="_x0013__Book2 21" xfId="2410"/>
    <cellStyle name="_x0013__Book2 22" xfId="2411"/>
    <cellStyle name="_x0013__Book2 23" xfId="2412"/>
    <cellStyle name="_x0013__Book2 24" xfId="2413"/>
    <cellStyle name="_x0013__Book2 25" xfId="2414"/>
    <cellStyle name="_x0013__Book2 26" xfId="2415"/>
    <cellStyle name="_x0013__Book2 27" xfId="2416"/>
    <cellStyle name="_x0013__Book2 28" xfId="2417"/>
    <cellStyle name="_x0013__Book2 29" xfId="2418"/>
    <cellStyle name="_Book2 3" xfId="2419"/>
    <cellStyle name="_x0013__Book2 3" xfId="2420"/>
    <cellStyle name="_Book2 3 10" xfId="2421"/>
    <cellStyle name="_Book2 3 11" xfId="2422"/>
    <cellStyle name="_Book2 3 12" xfId="2423"/>
    <cellStyle name="_Book2 3 13" xfId="2424"/>
    <cellStyle name="_Book2 3 14" xfId="2425"/>
    <cellStyle name="_Book2 3 15" xfId="2426"/>
    <cellStyle name="_Book2 3 16" xfId="2427"/>
    <cellStyle name="_Book2 3 17" xfId="2428"/>
    <cellStyle name="_Book2 3 18" xfId="2429"/>
    <cellStyle name="_Book2 3 19" xfId="2430"/>
    <cellStyle name="_Book2 3 2" xfId="2431"/>
    <cellStyle name="_Book2 3 20" xfId="2432"/>
    <cellStyle name="_Book2 3 21" xfId="2433"/>
    <cellStyle name="_Book2 3 22" xfId="2434"/>
    <cellStyle name="_Book2 3 23" xfId="2435"/>
    <cellStyle name="_Book2 3 24" xfId="2436"/>
    <cellStyle name="_Book2 3 25" xfId="2437"/>
    <cellStyle name="_Book2 3 26" xfId="2438"/>
    <cellStyle name="_Book2 3 27" xfId="2439"/>
    <cellStyle name="_Book2 3 28" xfId="2440"/>
    <cellStyle name="_Book2 3 29" xfId="2441"/>
    <cellStyle name="_Book2 3 3" xfId="2442"/>
    <cellStyle name="_Book2 3 30" xfId="2443"/>
    <cellStyle name="_Book2 3 31" xfId="2444"/>
    <cellStyle name="_Book2 3 32" xfId="2445"/>
    <cellStyle name="_Book2 3 33" xfId="2446"/>
    <cellStyle name="_Book2 3 34" xfId="2447"/>
    <cellStyle name="_Book2 3 35" xfId="2448"/>
    <cellStyle name="_Book2 3 36" xfId="2449"/>
    <cellStyle name="_Book2 3 37" xfId="2450"/>
    <cellStyle name="_Book2 3 38" xfId="2451"/>
    <cellStyle name="_Book2 3 4" xfId="2452"/>
    <cellStyle name="_Book2 3 5" xfId="2453"/>
    <cellStyle name="_Book2 3 6" xfId="2454"/>
    <cellStyle name="_Book2 3 7" xfId="2455"/>
    <cellStyle name="_Book2 3 8" xfId="2456"/>
    <cellStyle name="_Book2 3 9" xfId="2457"/>
    <cellStyle name="_x0013__Book2 30" xfId="2458"/>
    <cellStyle name="_x0013__Book2 31" xfId="2459"/>
    <cellStyle name="_x0013__Book2 32" xfId="2460"/>
    <cellStyle name="_x0013__Book2 33" xfId="2461"/>
    <cellStyle name="_x0013__Book2 34" xfId="2462"/>
    <cellStyle name="_x0013__Book2 35" xfId="2463"/>
    <cellStyle name="_x0013__Book2 36" xfId="2464"/>
    <cellStyle name="_x0013__Book2 37" xfId="2465"/>
    <cellStyle name="_x0013__Book2 38" xfId="2466"/>
    <cellStyle name="_x0013__Book2 39" xfId="2467"/>
    <cellStyle name="_Book2 4" xfId="2468"/>
    <cellStyle name="_x0013__Book2 4" xfId="2469"/>
    <cellStyle name="_Book2 4 10" xfId="2470"/>
    <cellStyle name="_Book2 4 11" xfId="2471"/>
    <cellStyle name="_Book2 4 12" xfId="2472"/>
    <cellStyle name="_Book2 4 13" xfId="2473"/>
    <cellStyle name="_Book2 4 14" xfId="2474"/>
    <cellStyle name="_Book2 4 15" xfId="2475"/>
    <cellStyle name="_Book2 4 16" xfId="2476"/>
    <cellStyle name="_Book2 4 17" xfId="2477"/>
    <cellStyle name="_Book2 4 18" xfId="2478"/>
    <cellStyle name="_Book2 4 19" xfId="2479"/>
    <cellStyle name="_Book2 4 2" xfId="2480"/>
    <cellStyle name="_Book2 4 20" xfId="2481"/>
    <cellStyle name="_Book2 4 21" xfId="2482"/>
    <cellStyle name="_Book2 4 22" xfId="2483"/>
    <cellStyle name="_Book2 4 23" xfId="2484"/>
    <cellStyle name="_Book2 4 24" xfId="2485"/>
    <cellStyle name="_Book2 4 25" xfId="2486"/>
    <cellStyle name="_Book2 4 26" xfId="2487"/>
    <cellStyle name="_Book2 4 27" xfId="2488"/>
    <cellStyle name="_Book2 4 28" xfId="2489"/>
    <cellStyle name="_Book2 4 29" xfId="2490"/>
    <cellStyle name="_Book2 4 3" xfId="2491"/>
    <cellStyle name="_Book2 4 30" xfId="2492"/>
    <cellStyle name="_Book2 4 31" xfId="2493"/>
    <cellStyle name="_Book2 4 32" xfId="2494"/>
    <cellStyle name="_Book2 4 33" xfId="2495"/>
    <cellStyle name="_Book2 4 34" xfId="2496"/>
    <cellStyle name="_Book2 4 35" xfId="2497"/>
    <cellStyle name="_Book2 4 36" xfId="2498"/>
    <cellStyle name="_Book2 4 37" xfId="2499"/>
    <cellStyle name="_Book2 4 38" xfId="2500"/>
    <cellStyle name="_Book2 4 39" xfId="2501"/>
    <cellStyle name="_Book2 4 4" xfId="2502"/>
    <cellStyle name="_Book2 4 40" xfId="2503"/>
    <cellStyle name="_Book2 4 41" xfId="2504"/>
    <cellStyle name="_Book2 4 42" xfId="2505"/>
    <cellStyle name="_Book2 4 43" xfId="2506"/>
    <cellStyle name="_Book2 4 5" xfId="2507"/>
    <cellStyle name="_Book2 4 6" xfId="2508"/>
    <cellStyle name="_Book2 4 7" xfId="2509"/>
    <cellStyle name="_Book2 4 8" xfId="2510"/>
    <cellStyle name="_Book2 4 9" xfId="2511"/>
    <cellStyle name="_x0013__Book2 40" xfId="2512"/>
    <cellStyle name="_x0013__Book2 41" xfId="2513"/>
    <cellStyle name="_x0013__Book2 42" xfId="2514"/>
    <cellStyle name="_x0013__Book2 43" xfId="2515"/>
    <cellStyle name="_x0013__Book2 44" xfId="2516"/>
    <cellStyle name="_x0013__Book2 45" xfId="2517"/>
    <cellStyle name="_x0013__Book2 46" xfId="2518"/>
    <cellStyle name="_x0013__Book2 47" xfId="2519"/>
    <cellStyle name="_x0013__Book2 48" xfId="2520"/>
    <cellStyle name="_x0013__Book2 49" xfId="2521"/>
    <cellStyle name="_Book2 5" xfId="2522"/>
    <cellStyle name="_x0013__Book2 5" xfId="2523"/>
    <cellStyle name="_Book2 5 10" xfId="2524"/>
    <cellStyle name="_Book2 5 11" xfId="2525"/>
    <cellStyle name="_Book2 5 12" xfId="2526"/>
    <cellStyle name="_Book2 5 13" xfId="2527"/>
    <cellStyle name="_Book2 5 14" xfId="2528"/>
    <cellStyle name="_Book2 5 15" xfId="2529"/>
    <cellStyle name="_Book2 5 16" xfId="2530"/>
    <cellStyle name="_Book2 5 17" xfId="2531"/>
    <cellStyle name="_Book2 5 18" xfId="2532"/>
    <cellStyle name="_Book2 5 19" xfId="2533"/>
    <cellStyle name="_Book2 5 2" xfId="2534"/>
    <cellStyle name="_Book2 5 20" xfId="2535"/>
    <cellStyle name="_Book2 5 21" xfId="2536"/>
    <cellStyle name="_Book2 5 22" xfId="2537"/>
    <cellStyle name="_Book2 5 23" xfId="2538"/>
    <cellStyle name="_Book2 5 24" xfId="2539"/>
    <cellStyle name="_Book2 5 25" xfId="2540"/>
    <cellStyle name="_Book2 5 26" xfId="2541"/>
    <cellStyle name="_Book2 5 27" xfId="2542"/>
    <cellStyle name="_Book2 5 28" xfId="2543"/>
    <cellStyle name="_Book2 5 29" xfId="2544"/>
    <cellStyle name="_Book2 5 3" xfId="2545"/>
    <cellStyle name="_Book2 5 30" xfId="2546"/>
    <cellStyle name="_Book2 5 31" xfId="2547"/>
    <cellStyle name="_Book2 5 32" xfId="2548"/>
    <cellStyle name="_Book2 5 33" xfId="2549"/>
    <cellStyle name="_Book2 5 34" xfId="2550"/>
    <cellStyle name="_Book2 5 4" xfId="2551"/>
    <cellStyle name="_Book2 5 5" xfId="2552"/>
    <cellStyle name="_Book2 5 6" xfId="2553"/>
    <cellStyle name="_Book2 5 7" xfId="2554"/>
    <cellStyle name="_Book2 5 8" xfId="2555"/>
    <cellStyle name="_Book2 5 9" xfId="2556"/>
    <cellStyle name="_x0013__Book2 50" xfId="2557"/>
    <cellStyle name="_x0013__Book2 51" xfId="2558"/>
    <cellStyle name="_x0013__Book2 52" xfId="2559"/>
    <cellStyle name="_Book2 6" xfId="2560"/>
    <cellStyle name="_x0013__Book2 6" xfId="2561"/>
    <cellStyle name="_Book2 6 2" xfId="2562"/>
    <cellStyle name="_Book2 6 3" xfId="2563"/>
    <cellStyle name="_Book2 6 4" xfId="2564"/>
    <cellStyle name="_Book2 6 5" xfId="2565"/>
    <cellStyle name="_Book2 6 6" xfId="2566"/>
    <cellStyle name="_Book2 6 7" xfId="2567"/>
    <cellStyle name="_Book2 7" xfId="2568"/>
    <cellStyle name="_x0013__Book2 7" xfId="2569"/>
    <cellStyle name="_Book2 7 2" xfId="2570"/>
    <cellStyle name="_Book2 7 3" xfId="2571"/>
    <cellStyle name="_Book2 7 4" xfId="2572"/>
    <cellStyle name="_Book2 7 5" xfId="2573"/>
    <cellStyle name="_Book2 7 6" xfId="2574"/>
    <cellStyle name="_Book2 7 7" xfId="2575"/>
    <cellStyle name="_Book2 8" xfId="2576"/>
    <cellStyle name="_x0013__Book2 8" xfId="2577"/>
    <cellStyle name="_Book2 8 2" xfId="2578"/>
    <cellStyle name="_Book2 8 3" xfId="2579"/>
    <cellStyle name="_Book2 8 4" xfId="2580"/>
    <cellStyle name="_Book2 8 5" xfId="2581"/>
    <cellStyle name="_Book2 8 6" xfId="2582"/>
    <cellStyle name="_Book2 9" xfId="2583"/>
    <cellStyle name="_x0013__Book2 9" xfId="2584"/>
    <cellStyle name="_Book2 9 2" xfId="2585"/>
    <cellStyle name="_Book2 9 3" xfId="2586"/>
    <cellStyle name="_Book2 9 4" xfId="2587"/>
    <cellStyle name="_Book2 9 5" xfId="2588"/>
    <cellStyle name="_Book2 9 6" xfId="2589"/>
    <cellStyle name="_Book2_04 07E Wild Horse Wind Expansion (C) (2)" xfId="2590"/>
    <cellStyle name="_Book2_04 07E Wild Horse Wind Expansion (C) (2) 2" xfId="2591"/>
    <cellStyle name="_Book2_04 07E Wild Horse Wind Expansion (C) (2) 2 2" xfId="2592"/>
    <cellStyle name="_Book2_04 07E Wild Horse Wind Expansion (C) (2) 3" xfId="2593"/>
    <cellStyle name="_Book2_04 07E Wild Horse Wind Expansion (C) (2)_Adj Bench DR 3 for Initial Briefs (Electric)" xfId="2594"/>
    <cellStyle name="_Book2_04 07E Wild Horse Wind Expansion (C) (2)_Adj Bench DR 3 for Initial Briefs (Electric) 2" xfId="2595"/>
    <cellStyle name="_Book2_04 07E Wild Horse Wind Expansion (C) (2)_Adj Bench DR 3 for Initial Briefs (Electric) 2 2" xfId="2596"/>
    <cellStyle name="_Book2_04 07E Wild Horse Wind Expansion (C) (2)_Adj Bench DR 3 for Initial Briefs (Electric) 3" xfId="2597"/>
    <cellStyle name="_Book2_04 07E Wild Horse Wind Expansion (C) (2)_Adj Bench DR 3 for Initial Briefs (Electric)_DEM-WP(C) ENERG10C--ctn Mid-C_042010 2010GRC" xfId="2598"/>
    <cellStyle name="_Book2_04 07E Wild Horse Wind Expansion (C) (2)_Book1" xfId="2599"/>
    <cellStyle name="_Book2_04 07E Wild Horse Wind Expansion (C) (2)_DEM-WP(C) ENERG10C--ctn Mid-C_042010 2010GRC" xfId="2600"/>
    <cellStyle name="_Book2_04 07E Wild Horse Wind Expansion (C) (2)_Electric Rev Req Model (2009 GRC) " xfId="2601"/>
    <cellStyle name="_Book2_04 07E Wild Horse Wind Expansion (C) (2)_Electric Rev Req Model (2009 GRC)  2" xfId="2602"/>
    <cellStyle name="_Book2_04 07E Wild Horse Wind Expansion (C) (2)_Electric Rev Req Model (2009 GRC)  2 2" xfId="2603"/>
    <cellStyle name="_Book2_04 07E Wild Horse Wind Expansion (C) (2)_Electric Rev Req Model (2009 GRC)  3" xfId="2604"/>
    <cellStyle name="_Book2_04 07E Wild Horse Wind Expansion (C) (2)_Electric Rev Req Model (2009 GRC) _DEM-WP(C) ENERG10C--ctn Mid-C_042010 2010GRC" xfId="2605"/>
    <cellStyle name="_Book2_04 07E Wild Horse Wind Expansion (C) (2)_Electric Rev Req Model (2009 GRC) Rebuttal" xfId="2606"/>
    <cellStyle name="_Book2_04 07E Wild Horse Wind Expansion (C) (2)_Electric Rev Req Model (2009 GRC) Rebuttal 2" xfId="2607"/>
    <cellStyle name="_Book2_04 07E Wild Horse Wind Expansion (C) (2)_Electric Rev Req Model (2009 GRC) Rebuttal REmoval of New  WH Solar AdjustMI" xfId="2608"/>
    <cellStyle name="_Book2_04 07E Wild Horse Wind Expansion (C) (2)_Electric Rev Req Model (2009 GRC) Rebuttal REmoval of New  WH Solar AdjustMI 2" xfId="2609"/>
    <cellStyle name="_Book2_04 07E Wild Horse Wind Expansion (C) (2)_Electric Rev Req Model (2009 GRC) Rebuttal REmoval of New  WH Solar AdjustMI 2 2" xfId="2610"/>
    <cellStyle name="_Book2_04 07E Wild Horse Wind Expansion (C) (2)_Electric Rev Req Model (2009 GRC) Rebuttal REmoval of New  WH Solar AdjustMI 3" xfId="2611"/>
    <cellStyle name="_Book2_04 07E Wild Horse Wind Expansion (C) (2)_Electric Rev Req Model (2009 GRC) Rebuttal REmoval of New  WH Solar AdjustMI_DEM-WP(C) ENERG10C--ctn Mid-C_042010 2010GRC" xfId="2612"/>
    <cellStyle name="_Book2_04 07E Wild Horse Wind Expansion (C) (2)_Electric Rev Req Model (2009 GRC) Revised 01-18-2010" xfId="2613"/>
    <cellStyle name="_Book2_04 07E Wild Horse Wind Expansion (C) (2)_Electric Rev Req Model (2009 GRC) Revised 01-18-2010 2" xfId="2614"/>
    <cellStyle name="_Book2_04 07E Wild Horse Wind Expansion (C) (2)_Electric Rev Req Model (2009 GRC) Revised 01-18-2010 2 2" xfId="2615"/>
    <cellStyle name="_Book2_04 07E Wild Horse Wind Expansion (C) (2)_Electric Rev Req Model (2009 GRC) Revised 01-18-2010 3" xfId="2616"/>
    <cellStyle name="_Book2_04 07E Wild Horse Wind Expansion (C) (2)_Electric Rev Req Model (2009 GRC) Revised 01-18-2010_DEM-WP(C) ENERG10C--ctn Mid-C_042010 2010GRC" xfId="2617"/>
    <cellStyle name="_Book2_04 07E Wild Horse Wind Expansion (C) (2)_Electric Rev Req Model (2010 GRC)" xfId="2618"/>
    <cellStyle name="_Book2_04 07E Wild Horse Wind Expansion (C) (2)_Electric Rev Req Model (2010 GRC) SF" xfId="2619"/>
    <cellStyle name="_Book2_04 07E Wild Horse Wind Expansion (C) (2)_Final Order Electric EXHIBIT A-1" xfId="2620"/>
    <cellStyle name="_Book2_04 07E Wild Horse Wind Expansion (C) (2)_Final Order Electric EXHIBIT A-1 2" xfId="2621"/>
    <cellStyle name="_Book2_04 07E Wild Horse Wind Expansion (C) (2)_TENASKA REGULATORY ASSET" xfId="2622"/>
    <cellStyle name="_Book2_04 07E Wild Horse Wind Expansion (C) (2)_TENASKA REGULATORY ASSET 2" xfId="2623"/>
    <cellStyle name="_Book2_16.37E Wild Horse Expansion DeferralRevwrkingfile SF" xfId="2624"/>
    <cellStyle name="_Book2_16.37E Wild Horse Expansion DeferralRevwrkingfile SF 2" xfId="2625"/>
    <cellStyle name="_Book2_16.37E Wild Horse Expansion DeferralRevwrkingfile SF 2 2" xfId="2626"/>
    <cellStyle name="_Book2_16.37E Wild Horse Expansion DeferralRevwrkingfile SF 3" xfId="2627"/>
    <cellStyle name="_Book2_16.37E Wild Horse Expansion DeferralRevwrkingfile SF_DEM-WP(C) ENERG10C--ctn Mid-C_042010 2010GRC" xfId="2628"/>
    <cellStyle name="_Book2_2009 Compliance Filing PCA Exhibits for GRC" xfId="2629"/>
    <cellStyle name="_Book2_2009 Compliance Filing PCA Exhibits for GRC 2" xfId="2630"/>
    <cellStyle name="_Book2_2009 GRC Compl Filing - Exhibit D" xfId="2631"/>
    <cellStyle name="_Book2_2009 GRC Compl Filing - Exhibit D 2" xfId="2632"/>
    <cellStyle name="_Book2_2009 GRC Compl Filing - Exhibit D 2 2" xfId="2633"/>
    <cellStyle name="_Book2_2009 GRC Compl Filing - Exhibit D 3" xfId="2634"/>
    <cellStyle name="_Book2_2009 GRC Compl Filing - Exhibit D_DEM-WP(C) ENERG10C--ctn Mid-C_042010 2010GRC" xfId="2635"/>
    <cellStyle name="_Book2_3.01 Income Statement" xfId="2636"/>
    <cellStyle name="_Book2_4 31 Regulatory Assets and Liabilities  7 06- Exhibit D" xfId="2637"/>
    <cellStyle name="_Book2_4 31 Regulatory Assets and Liabilities  7 06- Exhibit D 2" xfId="2638"/>
    <cellStyle name="_Book2_4 31 Regulatory Assets and Liabilities  7 06- Exhibit D 2 2" xfId="2639"/>
    <cellStyle name="_Book2_4 31 Regulatory Assets and Liabilities  7 06- Exhibit D 3" xfId="2640"/>
    <cellStyle name="_Book2_4 31 Regulatory Assets and Liabilities  7 06- Exhibit D_DEM-WP(C) ENERG10C--ctn Mid-C_042010 2010GRC" xfId="2641"/>
    <cellStyle name="_Book2_4 31 Regulatory Assets and Liabilities  7 06- Exhibit D_NIM Summary" xfId="2642"/>
    <cellStyle name="_Book2_4 31 Regulatory Assets and Liabilities  7 06- Exhibit D_NIM Summary 2" xfId="2643"/>
    <cellStyle name="_Book2_4 31 Regulatory Assets and Liabilities  7 06- Exhibit D_NIM Summary 2 2" xfId="2644"/>
    <cellStyle name="_Book2_4 31 Regulatory Assets and Liabilities  7 06- Exhibit D_NIM Summary 3" xfId="2645"/>
    <cellStyle name="_Book2_4 31 Regulatory Assets and Liabilities  7 06- Exhibit D_NIM Summary_DEM-WP(C) ENERG10C--ctn Mid-C_042010 2010GRC" xfId="2646"/>
    <cellStyle name="_Book2_4 31E Reg Asset  Liab and EXH D" xfId="2647"/>
    <cellStyle name="_Book2_4 31E Reg Asset  Liab and EXH D _ Aug 10 Filing (2)" xfId="2648"/>
    <cellStyle name="_Book2_4 31E Reg Asset  Liab and EXH D _ Aug 10 Filing (2) 2" xfId="2649"/>
    <cellStyle name="_Book2_4 31E Reg Asset  Liab and EXH D 2" xfId="2650"/>
    <cellStyle name="_Book2_4 31E Reg Asset  Liab and EXH D 3" xfId="2651"/>
    <cellStyle name="_Book2_4 32 Regulatory Assets and Liabilities  7 06- Exhibit D" xfId="2652"/>
    <cellStyle name="_Book2_4 32 Regulatory Assets and Liabilities  7 06- Exhibit D 2" xfId="2653"/>
    <cellStyle name="_Book2_4 32 Regulatory Assets and Liabilities  7 06- Exhibit D 2 2" xfId="2654"/>
    <cellStyle name="_Book2_4 32 Regulatory Assets and Liabilities  7 06- Exhibit D 3" xfId="2655"/>
    <cellStyle name="_Book2_4 32 Regulatory Assets and Liabilities  7 06- Exhibit D_DEM-WP(C) ENERG10C--ctn Mid-C_042010 2010GRC" xfId="2656"/>
    <cellStyle name="_Book2_4 32 Regulatory Assets and Liabilities  7 06- Exhibit D_NIM Summary" xfId="2657"/>
    <cellStyle name="_Book2_4 32 Regulatory Assets and Liabilities  7 06- Exhibit D_NIM Summary 2" xfId="2658"/>
    <cellStyle name="_Book2_4 32 Regulatory Assets and Liabilities  7 06- Exhibit D_NIM Summary 2 2" xfId="2659"/>
    <cellStyle name="_Book2_4 32 Regulatory Assets and Liabilities  7 06- Exhibit D_NIM Summary 3" xfId="2660"/>
    <cellStyle name="_Book2_4 32 Regulatory Assets and Liabilities  7 06- Exhibit D_NIM Summary_DEM-WP(C) ENERG10C--ctn Mid-C_042010 2010GRC" xfId="2661"/>
    <cellStyle name="_x0013__Book2_Adj Bench DR 3 for Initial Briefs (Electric)" xfId="2662"/>
    <cellStyle name="_x0013__Book2_Adj Bench DR 3 for Initial Briefs (Electric) 2" xfId="2663"/>
    <cellStyle name="_x0013__Book2_Adj Bench DR 3 for Initial Briefs (Electric) 2 2" xfId="2664"/>
    <cellStyle name="_x0013__Book2_Adj Bench DR 3 for Initial Briefs (Electric) 3" xfId="2665"/>
    <cellStyle name="_x0013__Book2_Adj Bench DR 3 for Initial Briefs (Electric)_DEM-WP(C) ENERG10C--ctn Mid-C_042010 2010GRC" xfId="2666"/>
    <cellStyle name="_Book2_AURORA Total New" xfId="2667"/>
    <cellStyle name="_Book2_AURORA Total New 2" xfId="2668"/>
    <cellStyle name="_Book2_AURORA Total New 2 2" xfId="2669"/>
    <cellStyle name="_Book2_AURORA Total New 3" xfId="2670"/>
    <cellStyle name="_Book2_Book2" xfId="2671"/>
    <cellStyle name="_Book2_Book2 2" xfId="2672"/>
    <cellStyle name="_Book2_Book2 2 2" xfId="2673"/>
    <cellStyle name="_Book2_Book2 3" xfId="2674"/>
    <cellStyle name="_Book2_Book2_Adj Bench DR 3 for Initial Briefs (Electric)" xfId="2675"/>
    <cellStyle name="_Book2_Book2_Adj Bench DR 3 for Initial Briefs (Electric) 2" xfId="2676"/>
    <cellStyle name="_Book2_Book2_Adj Bench DR 3 for Initial Briefs (Electric) 2 2" xfId="2677"/>
    <cellStyle name="_Book2_Book2_Adj Bench DR 3 for Initial Briefs (Electric) 3" xfId="2678"/>
    <cellStyle name="_Book2_Book2_Adj Bench DR 3 for Initial Briefs (Electric)_DEM-WP(C) ENERG10C--ctn Mid-C_042010 2010GRC" xfId="2679"/>
    <cellStyle name="_Book2_Book2_DEM-WP(C) ENERG10C--ctn Mid-C_042010 2010GRC" xfId="2680"/>
    <cellStyle name="_Book2_Book2_Electric Rev Req Model (2009 GRC) Rebuttal" xfId="2681"/>
    <cellStyle name="_Book2_Book2_Electric Rev Req Model (2009 GRC) Rebuttal 2" xfId="2682"/>
    <cellStyle name="_Book2_Book2_Electric Rev Req Model (2009 GRC) Rebuttal REmoval of New  WH Solar AdjustMI" xfId="2683"/>
    <cellStyle name="_Book2_Book2_Electric Rev Req Model (2009 GRC) Rebuttal REmoval of New  WH Solar AdjustMI 2" xfId="2684"/>
    <cellStyle name="_Book2_Book2_Electric Rev Req Model (2009 GRC) Rebuttal REmoval of New  WH Solar AdjustMI 2 2" xfId="2685"/>
    <cellStyle name="_Book2_Book2_Electric Rev Req Model (2009 GRC) Rebuttal REmoval of New  WH Solar AdjustMI 3" xfId="2686"/>
    <cellStyle name="_Book2_Book2_Electric Rev Req Model (2009 GRC) Rebuttal REmoval of New  WH Solar AdjustMI_DEM-WP(C) ENERG10C--ctn Mid-C_042010 2010GRC" xfId="2687"/>
    <cellStyle name="_Book2_Book2_Electric Rev Req Model (2009 GRC) Revised 01-18-2010" xfId="2688"/>
    <cellStyle name="_Book2_Book2_Electric Rev Req Model (2009 GRC) Revised 01-18-2010 2" xfId="2689"/>
    <cellStyle name="_Book2_Book2_Electric Rev Req Model (2009 GRC) Revised 01-18-2010 2 2" xfId="2690"/>
    <cellStyle name="_Book2_Book2_Electric Rev Req Model (2009 GRC) Revised 01-18-2010 3" xfId="2691"/>
    <cellStyle name="_Book2_Book2_Electric Rev Req Model (2009 GRC) Revised 01-18-2010_DEM-WP(C) ENERG10C--ctn Mid-C_042010 2010GRC" xfId="2692"/>
    <cellStyle name="_Book2_Book2_Final Order Electric EXHIBIT A-1" xfId="2693"/>
    <cellStyle name="_Book2_Book2_Final Order Electric EXHIBIT A-1 2" xfId="2694"/>
    <cellStyle name="_Book2_Book4" xfId="2695"/>
    <cellStyle name="_Book2_Book4 2" xfId="2696"/>
    <cellStyle name="_Book2_Book4 2 2" xfId="2697"/>
    <cellStyle name="_Book2_Book4 3" xfId="2698"/>
    <cellStyle name="_Book2_Book4_DEM-WP(C) ENERG10C--ctn Mid-C_042010 2010GRC" xfId="2699"/>
    <cellStyle name="_Book2_Book9" xfId="2700"/>
    <cellStyle name="_Book2_Book9 2" xfId="2701"/>
    <cellStyle name="_Book2_Book9 2 2" xfId="2702"/>
    <cellStyle name="_Book2_Book9 3" xfId="2703"/>
    <cellStyle name="_Book2_Book9_DEM-WP(C) ENERG10C--ctn Mid-C_042010 2010GRC" xfId="2704"/>
    <cellStyle name="_Book2_Check the Interest Calculation" xfId="2705"/>
    <cellStyle name="_Book2_Check the Interest Calculation_Scenario 1 REC vs PTC Offset" xfId="2706"/>
    <cellStyle name="_Book2_Check the Interest Calculation_Scenario 3" xfId="2707"/>
    <cellStyle name="_Book2_Chelan PUD Power Costs (8-10)" xfId="2708"/>
    <cellStyle name="_Book2_Chelan PUD Power Costs (8-10) 2" xfId="2709"/>
    <cellStyle name="_Book2_DEM-WP(C) Chelan Power Costs" xfId="2710"/>
    <cellStyle name="_Book2_DEM-WP(C) Chelan Power Costs 2" xfId="2711"/>
    <cellStyle name="_Book2_DEM-WP(C) ENERG10C--ctn Mid-C_042010 2010GRC" xfId="2712"/>
    <cellStyle name="_x0013__Book2_DEM-WP(C) ENERG10C--ctn Mid-C_042010 2010GRC" xfId="2713"/>
    <cellStyle name="_Book2_DEM-WP(C) Gas Transport 2010GRC" xfId="2714"/>
    <cellStyle name="_Book2_DEM-WP(C) Gas Transport 2010GRC 2" xfId="2715"/>
    <cellStyle name="_x0013__Book2_Electric Rev Req Model (2009 GRC) Rebuttal" xfId="2716"/>
    <cellStyle name="_x0013__Book2_Electric Rev Req Model (2009 GRC) Rebuttal 2" xfId="2717"/>
    <cellStyle name="_x0013__Book2_Electric Rev Req Model (2009 GRC) Rebuttal REmoval of New  WH Solar AdjustMI" xfId="2718"/>
    <cellStyle name="_x0013__Book2_Electric Rev Req Model (2009 GRC) Rebuttal REmoval of New  WH Solar AdjustMI 2" xfId="2719"/>
    <cellStyle name="_x0013__Book2_Electric Rev Req Model (2009 GRC) Rebuttal REmoval of New  WH Solar AdjustMI 2 2" xfId="2720"/>
    <cellStyle name="_x0013__Book2_Electric Rev Req Model (2009 GRC) Rebuttal REmoval of New  WH Solar AdjustMI 3" xfId="2721"/>
    <cellStyle name="_x0013__Book2_Electric Rev Req Model (2009 GRC) Rebuttal REmoval of New  WH Solar AdjustMI_DEM-WP(C) ENERG10C--ctn Mid-C_042010 2010GRC" xfId="2722"/>
    <cellStyle name="_x0013__Book2_Electric Rev Req Model (2009 GRC) Revised 01-18-2010" xfId="2723"/>
    <cellStyle name="_x0013__Book2_Electric Rev Req Model (2009 GRC) Revised 01-18-2010 2" xfId="2724"/>
    <cellStyle name="_x0013__Book2_Electric Rev Req Model (2009 GRC) Revised 01-18-2010 2 2" xfId="2725"/>
    <cellStyle name="_x0013__Book2_Electric Rev Req Model (2009 GRC) Revised 01-18-2010 3" xfId="2726"/>
    <cellStyle name="_x0013__Book2_Electric Rev Req Model (2009 GRC) Revised 01-18-2010_DEM-WP(C) ENERG10C--ctn Mid-C_042010 2010GRC" xfId="2727"/>
    <cellStyle name="_Book2_Exh A-1 resulting from UE-112050 effective Jan 1 2012" xfId="2728"/>
    <cellStyle name="_Book2_Exh G - Klamath Peaker PPA fr C Locke 2-12" xfId="2729"/>
    <cellStyle name="_Book2_Exhibit A-1 effective 4-1-11 fr S Free 12-11" xfId="2730"/>
    <cellStyle name="_x0013__Book2_Final Order Electric EXHIBIT A-1" xfId="2731"/>
    <cellStyle name="_x0013__Book2_Final Order Electric EXHIBIT A-1 2" xfId="2732"/>
    <cellStyle name="_Book2_Mint Farm Generation BPA" xfId="2733"/>
    <cellStyle name="_Book2_NIM Summary" xfId="2734"/>
    <cellStyle name="_Book2_NIM Summary 09GRC" xfId="2735"/>
    <cellStyle name="_Book2_NIM Summary 09GRC 2" xfId="2736"/>
    <cellStyle name="_Book2_NIM Summary 09GRC 2 2" xfId="2737"/>
    <cellStyle name="_Book2_NIM Summary 09GRC 3" xfId="2738"/>
    <cellStyle name="_Book2_NIM Summary 09GRC_DEM-WP(C) ENERG10C--ctn Mid-C_042010 2010GRC" xfId="2739"/>
    <cellStyle name="_Book2_NIM Summary 10" xfId="2740"/>
    <cellStyle name="_Book2_NIM Summary 11" xfId="2741"/>
    <cellStyle name="_Book2_NIM Summary 12" xfId="2742"/>
    <cellStyle name="_Book2_NIM Summary 13" xfId="2743"/>
    <cellStyle name="_Book2_NIM Summary 14" xfId="2744"/>
    <cellStyle name="_Book2_NIM Summary 15" xfId="2745"/>
    <cellStyle name="_Book2_NIM Summary 16" xfId="2746"/>
    <cellStyle name="_Book2_NIM Summary 17" xfId="2747"/>
    <cellStyle name="_Book2_NIM Summary 18" xfId="2748"/>
    <cellStyle name="_Book2_NIM Summary 19" xfId="2749"/>
    <cellStyle name="_Book2_NIM Summary 2" xfId="2750"/>
    <cellStyle name="_Book2_NIM Summary 2 2" xfId="2751"/>
    <cellStyle name="_Book2_NIM Summary 20" xfId="2752"/>
    <cellStyle name="_Book2_NIM Summary 21" xfId="2753"/>
    <cellStyle name="_Book2_NIM Summary 22" xfId="2754"/>
    <cellStyle name="_Book2_NIM Summary 23" xfId="2755"/>
    <cellStyle name="_Book2_NIM Summary 24" xfId="2756"/>
    <cellStyle name="_Book2_NIM Summary 25" xfId="2757"/>
    <cellStyle name="_Book2_NIM Summary 26" xfId="2758"/>
    <cellStyle name="_Book2_NIM Summary 27" xfId="2759"/>
    <cellStyle name="_Book2_NIM Summary 28" xfId="2760"/>
    <cellStyle name="_Book2_NIM Summary 29" xfId="2761"/>
    <cellStyle name="_Book2_NIM Summary 3" xfId="2762"/>
    <cellStyle name="_Book2_NIM Summary 30" xfId="2763"/>
    <cellStyle name="_Book2_NIM Summary 31" xfId="2764"/>
    <cellStyle name="_Book2_NIM Summary 32" xfId="2765"/>
    <cellStyle name="_Book2_NIM Summary 33" xfId="2766"/>
    <cellStyle name="_Book2_NIM Summary 34" xfId="2767"/>
    <cellStyle name="_Book2_NIM Summary 35" xfId="2768"/>
    <cellStyle name="_Book2_NIM Summary 36" xfId="2769"/>
    <cellStyle name="_Book2_NIM Summary 37" xfId="2770"/>
    <cellStyle name="_Book2_NIM Summary 38" xfId="2771"/>
    <cellStyle name="_Book2_NIM Summary 39" xfId="2772"/>
    <cellStyle name="_Book2_NIM Summary 4" xfId="2773"/>
    <cellStyle name="_Book2_NIM Summary 40" xfId="2774"/>
    <cellStyle name="_Book2_NIM Summary 41" xfId="2775"/>
    <cellStyle name="_Book2_NIM Summary 42" xfId="2776"/>
    <cellStyle name="_Book2_NIM Summary 43" xfId="2777"/>
    <cellStyle name="_Book2_NIM Summary 44" xfId="2778"/>
    <cellStyle name="_Book2_NIM Summary 45" xfId="2779"/>
    <cellStyle name="_Book2_NIM Summary 46" xfId="2780"/>
    <cellStyle name="_Book2_NIM Summary 47" xfId="2781"/>
    <cellStyle name="_Book2_NIM Summary 48" xfId="2782"/>
    <cellStyle name="_Book2_NIM Summary 49" xfId="2783"/>
    <cellStyle name="_Book2_NIM Summary 5" xfId="2784"/>
    <cellStyle name="_Book2_NIM Summary 50" xfId="2785"/>
    <cellStyle name="_Book2_NIM Summary 51" xfId="2786"/>
    <cellStyle name="_Book2_NIM Summary 52" xfId="2787"/>
    <cellStyle name="_Book2_NIM Summary 6" xfId="2788"/>
    <cellStyle name="_Book2_NIM Summary 7" xfId="2789"/>
    <cellStyle name="_Book2_NIM Summary 8" xfId="2790"/>
    <cellStyle name="_Book2_NIM Summary 9" xfId="2791"/>
    <cellStyle name="_Book2_NIM Summary_DEM-WP(C) ENERG10C--ctn Mid-C_042010 2010GRC" xfId="2792"/>
    <cellStyle name="_Book2_PCA 10 -  Exhibit D Dec 2011" xfId="2793"/>
    <cellStyle name="_Book2_PCA 10 -  Exhibit D from A Kellogg Jan 2011" xfId="2794"/>
    <cellStyle name="_Book2_PCA 10 -  Exhibit D from A Kellogg July 2011" xfId="2795"/>
    <cellStyle name="_Book2_PCA 10 -  Exhibit D from S Free Rcv'd 12-11" xfId="2796"/>
    <cellStyle name="_Book2_PCA 11 -  Exhibit D Jan 2012 fr A Kellogg" xfId="2797"/>
    <cellStyle name="_Book2_PCA 11 -  Exhibit D Jan 2012 WF" xfId="2798"/>
    <cellStyle name="_Book2_PCA 9 -  Exhibit D April 2010" xfId="2799"/>
    <cellStyle name="_Book2_PCA 9 -  Exhibit D April 2010 (3)" xfId="2800"/>
    <cellStyle name="_Book2_PCA 9 -  Exhibit D April 2010 (3) 2" xfId="2801"/>
    <cellStyle name="_Book2_PCA 9 -  Exhibit D April 2010 (3) 2 2" xfId="2802"/>
    <cellStyle name="_Book2_PCA 9 -  Exhibit D April 2010 (3) 3" xfId="2803"/>
    <cellStyle name="_Book2_PCA 9 -  Exhibit D April 2010 (3)_DEM-WP(C) ENERG10C--ctn Mid-C_042010 2010GRC" xfId="2804"/>
    <cellStyle name="_Book2_PCA 9 -  Exhibit D April 2010 2" xfId="2805"/>
    <cellStyle name="_Book2_PCA 9 -  Exhibit D April 2010 3" xfId="2806"/>
    <cellStyle name="_Book2_PCA 9 -  Exhibit D April 2010 4" xfId="2807"/>
    <cellStyle name="_Book2_PCA 9 -  Exhibit D April 2010 5" xfId="2808"/>
    <cellStyle name="_Book2_PCA 9 -  Exhibit D April 2010 6" xfId="2809"/>
    <cellStyle name="_Book2_PCA 9 -  Exhibit D Nov 2010" xfId="2810"/>
    <cellStyle name="_Book2_PCA 9 -  Exhibit D Nov 2010 2" xfId="2811"/>
    <cellStyle name="_Book2_PCA 9 - Exhibit D at August 2010" xfId="2812"/>
    <cellStyle name="_Book2_PCA 9 - Exhibit D at August 2010 2" xfId="2813"/>
    <cellStyle name="_Book2_PCA 9 - Exhibit D June 2010 GRC" xfId="2814"/>
    <cellStyle name="_Book2_PCA 9 - Exhibit D June 2010 GRC 2" xfId="2815"/>
    <cellStyle name="_Book2_Power Costs - Comparison bx Rbtl-Staff-Jt-PC" xfId="2816"/>
    <cellStyle name="_Book2_Power Costs - Comparison bx Rbtl-Staff-Jt-PC 2" xfId="2817"/>
    <cellStyle name="_Book2_Power Costs - Comparison bx Rbtl-Staff-Jt-PC 2 2" xfId="2818"/>
    <cellStyle name="_Book2_Power Costs - Comparison bx Rbtl-Staff-Jt-PC 3" xfId="2819"/>
    <cellStyle name="_Book2_Power Costs - Comparison bx Rbtl-Staff-Jt-PC_Adj Bench DR 3 for Initial Briefs (Electric)" xfId="2820"/>
    <cellStyle name="_Book2_Power Costs - Comparison bx Rbtl-Staff-Jt-PC_Adj Bench DR 3 for Initial Briefs (Electric) 2" xfId="2821"/>
    <cellStyle name="_Book2_Power Costs - Comparison bx Rbtl-Staff-Jt-PC_Adj Bench DR 3 for Initial Briefs (Electric) 2 2" xfId="2822"/>
    <cellStyle name="_Book2_Power Costs - Comparison bx Rbtl-Staff-Jt-PC_Adj Bench DR 3 for Initial Briefs (Electric) 3" xfId="2823"/>
    <cellStyle name="_Book2_Power Costs - Comparison bx Rbtl-Staff-Jt-PC_Adj Bench DR 3 for Initial Briefs (Electric)_DEM-WP(C) ENERG10C--ctn Mid-C_042010 2010GRC" xfId="2824"/>
    <cellStyle name="_Book2_Power Costs - Comparison bx Rbtl-Staff-Jt-PC_DEM-WP(C) ENERG10C--ctn Mid-C_042010 2010GRC" xfId="2825"/>
    <cellStyle name="_Book2_Power Costs - Comparison bx Rbtl-Staff-Jt-PC_Electric Rev Req Model (2009 GRC) Rebuttal" xfId="2826"/>
    <cellStyle name="_Book2_Power Costs - Comparison bx Rbtl-Staff-Jt-PC_Electric Rev Req Model (2009 GRC) Rebuttal 2" xfId="2827"/>
    <cellStyle name="_Book2_Power Costs - Comparison bx Rbtl-Staff-Jt-PC_Electric Rev Req Model (2009 GRC) Rebuttal REmoval of New  WH Solar AdjustMI" xfId="2828"/>
    <cellStyle name="_Book2_Power Costs - Comparison bx Rbtl-Staff-Jt-PC_Electric Rev Req Model (2009 GRC) Rebuttal REmoval of New  WH Solar AdjustMI 2" xfId="2829"/>
    <cellStyle name="_Book2_Power Costs - Comparison bx Rbtl-Staff-Jt-PC_Electric Rev Req Model (2009 GRC) Rebuttal REmoval of New  WH Solar AdjustMI 2 2" xfId="2830"/>
    <cellStyle name="_Book2_Power Costs - Comparison bx Rbtl-Staff-Jt-PC_Electric Rev Req Model (2009 GRC) Rebuttal REmoval of New  WH Solar AdjustMI 3" xfId="2831"/>
    <cellStyle name="_Book2_Power Costs - Comparison bx Rbtl-Staff-Jt-PC_Electric Rev Req Model (2009 GRC) Rebuttal REmoval of New  WH Solar AdjustMI_DEM-WP(C) ENERG10C--ctn Mid-C_042010 2010GRC" xfId="2832"/>
    <cellStyle name="_Book2_Power Costs - Comparison bx Rbtl-Staff-Jt-PC_Electric Rev Req Model (2009 GRC) Revised 01-18-2010" xfId="2833"/>
    <cellStyle name="_Book2_Power Costs - Comparison bx Rbtl-Staff-Jt-PC_Electric Rev Req Model (2009 GRC) Revised 01-18-2010 2" xfId="2834"/>
    <cellStyle name="_Book2_Power Costs - Comparison bx Rbtl-Staff-Jt-PC_Electric Rev Req Model (2009 GRC) Revised 01-18-2010 2 2" xfId="2835"/>
    <cellStyle name="_Book2_Power Costs - Comparison bx Rbtl-Staff-Jt-PC_Electric Rev Req Model (2009 GRC) Revised 01-18-2010 3" xfId="2836"/>
    <cellStyle name="_Book2_Power Costs - Comparison bx Rbtl-Staff-Jt-PC_Electric Rev Req Model (2009 GRC) Revised 01-18-2010_DEM-WP(C) ENERG10C--ctn Mid-C_042010 2010GRC" xfId="2837"/>
    <cellStyle name="_Book2_Power Costs - Comparison bx Rbtl-Staff-Jt-PC_Final Order Electric EXHIBIT A-1" xfId="2838"/>
    <cellStyle name="_Book2_Power Costs - Comparison bx Rbtl-Staff-Jt-PC_Final Order Electric EXHIBIT A-1 2" xfId="2839"/>
    <cellStyle name="_Book2_Production Adj 4.37" xfId="21244"/>
    <cellStyle name="_Book2_Purchased Power Adj 4.03" xfId="21245"/>
    <cellStyle name="_Book2_Rebuttal Power Costs" xfId="2840"/>
    <cellStyle name="_Book2_Rebuttal Power Costs 2" xfId="2841"/>
    <cellStyle name="_Book2_Rebuttal Power Costs 2 2" xfId="2842"/>
    <cellStyle name="_Book2_Rebuttal Power Costs 3" xfId="2843"/>
    <cellStyle name="_Book2_Rebuttal Power Costs_Adj Bench DR 3 for Initial Briefs (Electric)" xfId="2844"/>
    <cellStyle name="_Book2_Rebuttal Power Costs_Adj Bench DR 3 for Initial Briefs (Electric) 2" xfId="2845"/>
    <cellStyle name="_Book2_Rebuttal Power Costs_Adj Bench DR 3 for Initial Briefs (Electric) 2 2" xfId="2846"/>
    <cellStyle name="_Book2_Rebuttal Power Costs_Adj Bench DR 3 for Initial Briefs (Electric) 3" xfId="2847"/>
    <cellStyle name="_Book2_Rebuttal Power Costs_Adj Bench DR 3 for Initial Briefs (Electric)_DEM-WP(C) ENERG10C--ctn Mid-C_042010 2010GRC" xfId="2848"/>
    <cellStyle name="_Book2_Rebuttal Power Costs_DEM-WP(C) ENERG10C--ctn Mid-C_042010 2010GRC" xfId="2849"/>
    <cellStyle name="_Book2_Rebuttal Power Costs_Electric Rev Req Model (2009 GRC) Rebuttal" xfId="2850"/>
    <cellStyle name="_Book2_Rebuttal Power Costs_Electric Rev Req Model (2009 GRC) Rebuttal 2" xfId="2851"/>
    <cellStyle name="_Book2_Rebuttal Power Costs_Electric Rev Req Model (2009 GRC) Rebuttal REmoval of New  WH Solar AdjustMI" xfId="2852"/>
    <cellStyle name="_Book2_Rebuttal Power Costs_Electric Rev Req Model (2009 GRC) Rebuttal REmoval of New  WH Solar AdjustMI 2" xfId="2853"/>
    <cellStyle name="_Book2_Rebuttal Power Costs_Electric Rev Req Model (2009 GRC) Rebuttal REmoval of New  WH Solar AdjustMI 2 2" xfId="2854"/>
    <cellStyle name="_Book2_Rebuttal Power Costs_Electric Rev Req Model (2009 GRC) Rebuttal REmoval of New  WH Solar AdjustMI 3" xfId="2855"/>
    <cellStyle name="_Book2_Rebuttal Power Costs_Electric Rev Req Model (2009 GRC) Rebuttal REmoval of New  WH Solar AdjustMI_DEM-WP(C) ENERG10C--ctn Mid-C_042010 2010GRC" xfId="2856"/>
    <cellStyle name="_Book2_Rebuttal Power Costs_Electric Rev Req Model (2009 GRC) Revised 01-18-2010" xfId="2857"/>
    <cellStyle name="_Book2_Rebuttal Power Costs_Electric Rev Req Model (2009 GRC) Revised 01-18-2010 2" xfId="2858"/>
    <cellStyle name="_Book2_Rebuttal Power Costs_Electric Rev Req Model (2009 GRC) Revised 01-18-2010 2 2" xfId="2859"/>
    <cellStyle name="_Book2_Rebuttal Power Costs_Electric Rev Req Model (2009 GRC) Revised 01-18-2010 3" xfId="2860"/>
    <cellStyle name="_Book2_Rebuttal Power Costs_Electric Rev Req Model (2009 GRC) Revised 01-18-2010_DEM-WP(C) ENERG10C--ctn Mid-C_042010 2010GRC" xfId="2861"/>
    <cellStyle name="_Book2_Rebuttal Power Costs_Final Order Electric EXHIBIT A-1" xfId="2862"/>
    <cellStyle name="_Book2_Rebuttal Power Costs_Final Order Electric EXHIBIT A-1 2" xfId="2863"/>
    <cellStyle name="_Book2_ROR 5.02" xfId="21246"/>
    <cellStyle name="_Book2_Wind Integration 10GRC" xfId="2864"/>
    <cellStyle name="_Book2_Wind Integration 10GRC 2" xfId="2865"/>
    <cellStyle name="_Book2_Wind Integration 10GRC 2 2" xfId="2866"/>
    <cellStyle name="_Book2_Wind Integration 10GRC 3" xfId="2867"/>
    <cellStyle name="_Book2_Wind Integration 10GRC_DEM-WP(C) ENERG10C--ctn Mid-C_042010 2010GRC" xfId="2868"/>
    <cellStyle name="_Book3" xfId="2869"/>
    <cellStyle name="_Book5" xfId="2870"/>
    <cellStyle name="_Book5 2" xfId="2871"/>
    <cellStyle name="_Book5 2 2" xfId="2872"/>
    <cellStyle name="_Book5 3" xfId="2873"/>
    <cellStyle name="_Book5 3 2" xfId="2874"/>
    <cellStyle name="_Book5 4" xfId="2875"/>
    <cellStyle name="_Book5 4 2" xfId="2876"/>
    <cellStyle name="_Book5 5" xfId="2877"/>
    <cellStyle name="_Book5_4 31E Reg Asset  Liab and EXH D" xfId="2878"/>
    <cellStyle name="_Book5_4 31E Reg Asset  Liab and EXH D _ Aug 10 Filing (2)" xfId="2879"/>
    <cellStyle name="_Book5_Chelan PUD Power Costs (8-10)" xfId="2880"/>
    <cellStyle name="_Book5_Chelan PUD Power Costs (8-10) 2" xfId="2881"/>
    <cellStyle name="_Book5_compare wind integration" xfId="2882"/>
    <cellStyle name="_Book5_DEM-WP(C) Chelan Power Costs" xfId="2883"/>
    <cellStyle name="_Book5_DEM-WP(C) Chelan Power Costs 2" xfId="2884"/>
    <cellStyle name="_Book5_DEM-WP(C) Costs Not In AURORA 2010GRC As Filed" xfId="2885"/>
    <cellStyle name="_Book5_DEM-WP(C) Costs Not In AURORA 2010GRC As Filed 2" xfId="2886"/>
    <cellStyle name="_Book5_DEM-WP(C) Costs Not In AURORA 2010GRC As Filed 2 2" xfId="2887"/>
    <cellStyle name="_Book5_DEM-WP(C) Costs Not In AURORA 2010GRC As Filed 2 3" xfId="2888"/>
    <cellStyle name="_Book5_DEM-WP(C) Costs Not In AURORA 2010GRC As Filed 3" xfId="2889"/>
    <cellStyle name="_Book5_DEM-WP(C) Costs Not In AURORA 2010GRC As Filed 3 2" xfId="2890"/>
    <cellStyle name="_Book5_DEM-WP(C) Costs Not In AURORA 2010GRC As Filed 4" xfId="2891"/>
    <cellStyle name="_Book5_DEM-WP(C) Costs Not In AURORA 2010GRC As Filed 4 2" xfId="2892"/>
    <cellStyle name="_Book5_DEM-WP(C) Costs Not In AURORA 2010GRC As Filed 5" xfId="2893"/>
    <cellStyle name="_Book5_DEM-WP(C) Costs Not In AURORA 2010GRC As Filed 5 2" xfId="2894"/>
    <cellStyle name="_Book5_DEM-WP(C) Costs Not In AURORA 2010GRC As Filed 6" xfId="2895"/>
    <cellStyle name="_Book5_DEM-WP(C) Costs Not In AURORA 2010GRC As Filed 6 2" xfId="2896"/>
    <cellStyle name="_Book5_DEM-WP(C) Costs Not In AURORA 2010GRC As Filed_DEM-WP(C) ENERG10C--ctn Mid-C_042010 2010GRC" xfId="2897"/>
    <cellStyle name="_Book5_DEM-WP(C) Gas Transport 2010GRC" xfId="2898"/>
    <cellStyle name="_Book5_DEM-WP(C) Gas Transport 2010GRC 2" xfId="2899"/>
    <cellStyle name="_Book5_NIM Summary" xfId="2900"/>
    <cellStyle name="_Book5_NIM Summary 09GRC" xfId="2901"/>
    <cellStyle name="_Book5_NIM Summary 10" xfId="2902"/>
    <cellStyle name="_Book5_NIM Summary 11" xfId="2903"/>
    <cellStyle name="_Book5_NIM Summary 12" xfId="2904"/>
    <cellStyle name="_Book5_NIM Summary 13" xfId="2905"/>
    <cellStyle name="_Book5_NIM Summary 14" xfId="2906"/>
    <cellStyle name="_Book5_NIM Summary 15" xfId="2907"/>
    <cellStyle name="_Book5_NIM Summary 16" xfId="2908"/>
    <cellStyle name="_Book5_NIM Summary 17" xfId="2909"/>
    <cellStyle name="_Book5_NIM Summary 18" xfId="2910"/>
    <cellStyle name="_Book5_NIM Summary 19" xfId="2911"/>
    <cellStyle name="_Book5_NIM Summary 2" xfId="2912"/>
    <cellStyle name="_Book5_NIM Summary 2 2" xfId="2913"/>
    <cellStyle name="_Book5_NIM Summary 20" xfId="2914"/>
    <cellStyle name="_Book5_NIM Summary 21" xfId="2915"/>
    <cellStyle name="_Book5_NIM Summary 22" xfId="2916"/>
    <cellStyle name="_Book5_NIM Summary 23" xfId="2917"/>
    <cellStyle name="_Book5_NIM Summary 24" xfId="2918"/>
    <cellStyle name="_Book5_NIM Summary 25" xfId="2919"/>
    <cellStyle name="_Book5_NIM Summary 26" xfId="2920"/>
    <cellStyle name="_Book5_NIM Summary 27" xfId="2921"/>
    <cellStyle name="_Book5_NIM Summary 28" xfId="2922"/>
    <cellStyle name="_Book5_NIM Summary 29" xfId="2923"/>
    <cellStyle name="_Book5_NIM Summary 3" xfId="2924"/>
    <cellStyle name="_Book5_NIM Summary 30" xfId="2925"/>
    <cellStyle name="_Book5_NIM Summary 31" xfId="2926"/>
    <cellStyle name="_Book5_NIM Summary 32" xfId="2927"/>
    <cellStyle name="_Book5_NIM Summary 33" xfId="2928"/>
    <cellStyle name="_Book5_NIM Summary 34" xfId="2929"/>
    <cellStyle name="_Book5_NIM Summary 35" xfId="2930"/>
    <cellStyle name="_Book5_NIM Summary 36" xfId="2931"/>
    <cellStyle name="_Book5_NIM Summary 37" xfId="2932"/>
    <cellStyle name="_Book5_NIM Summary 38" xfId="2933"/>
    <cellStyle name="_Book5_NIM Summary 39" xfId="2934"/>
    <cellStyle name="_Book5_NIM Summary 4" xfId="2935"/>
    <cellStyle name="_Book5_NIM Summary 40" xfId="2936"/>
    <cellStyle name="_Book5_NIM Summary 41" xfId="2937"/>
    <cellStyle name="_Book5_NIM Summary 42" xfId="2938"/>
    <cellStyle name="_Book5_NIM Summary 43" xfId="2939"/>
    <cellStyle name="_Book5_NIM Summary 44" xfId="2940"/>
    <cellStyle name="_Book5_NIM Summary 45" xfId="2941"/>
    <cellStyle name="_Book5_NIM Summary 46" xfId="2942"/>
    <cellStyle name="_Book5_NIM Summary 47" xfId="2943"/>
    <cellStyle name="_Book5_NIM Summary 48" xfId="2944"/>
    <cellStyle name="_Book5_NIM Summary 49" xfId="2945"/>
    <cellStyle name="_Book5_NIM Summary 5" xfId="2946"/>
    <cellStyle name="_Book5_NIM Summary 50" xfId="2947"/>
    <cellStyle name="_Book5_NIM Summary 51" xfId="2948"/>
    <cellStyle name="_Book5_NIM Summary 52" xfId="2949"/>
    <cellStyle name="_Book5_NIM Summary 6" xfId="2950"/>
    <cellStyle name="_Book5_NIM Summary 7" xfId="2951"/>
    <cellStyle name="_Book5_NIM Summary 8" xfId="2952"/>
    <cellStyle name="_Book5_NIM Summary 9" xfId="2953"/>
    <cellStyle name="_Book5_NIM Summary_DEM-WP(C) ENERG10C--ctn Mid-C_042010 2010GRC" xfId="2954"/>
    <cellStyle name="_Book5_PCA 9 -  Exhibit D April 2010 (3)" xfId="2955"/>
    <cellStyle name="_Book5_Reconciliation" xfId="2956"/>
    <cellStyle name="_Book5_Reconciliation 2" xfId="2957"/>
    <cellStyle name="_Book5_Reconciliation 2 2" xfId="2958"/>
    <cellStyle name="_Book5_Reconciliation 2 3" xfId="2959"/>
    <cellStyle name="_Book5_Reconciliation 3" xfId="2960"/>
    <cellStyle name="_Book5_Reconciliation 3 2" xfId="2961"/>
    <cellStyle name="_Book5_Reconciliation 4" xfId="2962"/>
    <cellStyle name="_Book5_Reconciliation 4 2" xfId="2963"/>
    <cellStyle name="_Book5_Reconciliation 5" xfId="2964"/>
    <cellStyle name="_Book5_Reconciliation 5 2" xfId="2965"/>
    <cellStyle name="_Book5_Reconciliation 6" xfId="2966"/>
    <cellStyle name="_Book5_Reconciliation 6 2" xfId="2967"/>
    <cellStyle name="_Book5_Reconciliation_DEM-WP(C) ENERG10C--ctn Mid-C_042010 2010GRC" xfId="2968"/>
    <cellStyle name="_Book5_Wind Integration 10GRC" xfId="2969"/>
    <cellStyle name="_Book5_Wind Integration 10GRC 2" xfId="2970"/>
    <cellStyle name="_Book5_Wind Integration 10GRC 2 2" xfId="2971"/>
    <cellStyle name="_Book5_Wind Integration 10GRC 3" xfId="2972"/>
    <cellStyle name="_Book5_Wind Integration 10GRC_DEM-WP(C) ENERG10C--ctn Mid-C_042010 2010GRC" xfId="2973"/>
    <cellStyle name="_BPA NOS" xfId="2974"/>
    <cellStyle name="_BPA NOS 2" xfId="2975"/>
    <cellStyle name="_BPA NOS 2 2" xfId="2976"/>
    <cellStyle name="_BPA NOS 2 3" xfId="2977"/>
    <cellStyle name="_BPA NOS 3" xfId="2978"/>
    <cellStyle name="_BPA NOS 3 2" xfId="2979"/>
    <cellStyle name="_BPA NOS 4" xfId="2980"/>
    <cellStyle name="_BPA NOS 4 2" xfId="2981"/>
    <cellStyle name="_BPA NOS 5" xfId="2982"/>
    <cellStyle name="_BPA NOS 5 2" xfId="2983"/>
    <cellStyle name="_BPA NOS 6" xfId="2984"/>
    <cellStyle name="_BPA NOS 6 2" xfId="2985"/>
    <cellStyle name="_BPA NOS_DEM-WP(C) Chelan Power Costs" xfId="2986"/>
    <cellStyle name="_BPA NOS_DEM-WP(C) Chelan Power Costs 2" xfId="2987"/>
    <cellStyle name="_BPA NOS_DEM-WP(C) ENERG10C--ctn Mid-C_042010 2010GRC" xfId="2988"/>
    <cellStyle name="_BPA NOS_DEM-WP(C) Gas Transport 2010GRC" xfId="2989"/>
    <cellStyle name="_BPA NOS_DEM-WP(C) Gas Transport 2010GRC 2" xfId="2990"/>
    <cellStyle name="_BPA NOS_DEM-WP(C) Wind Integration Summary 2010GRC" xfId="2991"/>
    <cellStyle name="_BPA NOS_DEM-WP(C) Wind Integration Summary 2010GRC 2" xfId="2992"/>
    <cellStyle name="_BPA NOS_DEM-WP(C) Wind Integration Summary 2010GRC 2 2" xfId="2993"/>
    <cellStyle name="_BPA NOS_DEM-WP(C) Wind Integration Summary 2010GRC 3" xfId="2994"/>
    <cellStyle name="_BPA NOS_DEM-WP(C) Wind Integration Summary 2010GRC_DEM-WP(C) ENERG10C--ctn Mid-C_042010 2010GRC" xfId="2995"/>
    <cellStyle name="_BPA NOS_NIM Summary" xfId="2996"/>
    <cellStyle name="_BPA NOS_NIM Summary 2" xfId="2997"/>
    <cellStyle name="_BPA NOS_NIM Summary 2 2" xfId="2998"/>
    <cellStyle name="_BPA NOS_NIM Summary 3" xfId="2999"/>
    <cellStyle name="_BPA NOS_NIM Summary_DEM-WP(C) ENERG10C--ctn Mid-C_042010 2010GRC" xfId="3000"/>
    <cellStyle name="_Chelan Debt Forecast 12.19.05" xfId="3001"/>
    <cellStyle name="_Chelan Debt Forecast 12.19.05 2" xfId="3002"/>
    <cellStyle name="_Chelan Debt Forecast 12.19.05 2 2" xfId="3003"/>
    <cellStyle name="_Chelan Debt Forecast 12.19.05 2 2 2" xfId="3004"/>
    <cellStyle name="_Chelan Debt Forecast 12.19.05 2 3" xfId="3005"/>
    <cellStyle name="_Chelan Debt Forecast 12.19.05 3" xfId="3006"/>
    <cellStyle name="_Chelan Debt Forecast 12.19.05 3 2" xfId="3007"/>
    <cellStyle name="_Chelan Debt Forecast 12.19.05 4" xfId="3008"/>
    <cellStyle name="_Chelan Debt Forecast 12.19.05 4 2" xfId="3009"/>
    <cellStyle name="_Chelan Debt Forecast 12.19.05 4 3" xfId="3010"/>
    <cellStyle name="_Chelan Debt Forecast 12.19.05 5" xfId="3011"/>
    <cellStyle name="_Chelan Debt Forecast 12.19.05 5 2" xfId="3012"/>
    <cellStyle name="_Chelan Debt Forecast 12.19.05 5 3" xfId="3013"/>
    <cellStyle name="_Chelan Debt Forecast 12.19.05 6" xfId="3014"/>
    <cellStyle name="_Chelan Debt Forecast 12.19.05 6 2" xfId="3015"/>
    <cellStyle name="_Chelan Debt Forecast 12.19.05 7" xfId="3016"/>
    <cellStyle name="_Chelan Debt Forecast 12.19.05 7 2" xfId="3017"/>
    <cellStyle name="_Chelan Debt Forecast 12.19.05 8" xfId="3018"/>
    <cellStyle name="_Chelan Debt Forecast 12.19.05 8 2" xfId="3019"/>
    <cellStyle name="_Chelan Debt Forecast 12.19.05_(C) WHE Proforma with ITC cash grant 10 Yr Amort_for deferral_102809" xfId="3020"/>
    <cellStyle name="_Chelan Debt Forecast 12.19.05_(C) WHE Proforma with ITC cash grant 10 Yr Amort_for deferral_102809 2" xfId="3021"/>
    <cellStyle name="_Chelan Debt Forecast 12.19.05_(C) WHE Proforma with ITC cash grant 10 Yr Amort_for deferral_102809 2 2" xfId="3022"/>
    <cellStyle name="_Chelan Debt Forecast 12.19.05_(C) WHE Proforma with ITC cash grant 10 Yr Amort_for deferral_102809 3" xfId="3023"/>
    <cellStyle name="_Chelan Debt Forecast 12.19.05_(C) WHE Proforma with ITC cash grant 10 Yr Amort_for deferral_102809_16.07E Wild Horse Wind Expansionwrkingfile" xfId="3024"/>
    <cellStyle name="_Chelan Debt Forecast 12.19.05_(C) WHE Proforma with ITC cash grant 10 Yr Amort_for deferral_102809_16.07E Wild Horse Wind Expansionwrkingfile 2" xfId="3025"/>
    <cellStyle name="_Chelan Debt Forecast 12.19.05_(C) WHE Proforma with ITC cash grant 10 Yr Amort_for deferral_102809_16.07E Wild Horse Wind Expansionwrkingfile 2 2" xfId="3026"/>
    <cellStyle name="_Chelan Debt Forecast 12.19.05_(C) WHE Proforma with ITC cash grant 10 Yr Amort_for deferral_102809_16.07E Wild Horse Wind Expansionwrkingfile 3" xfId="3027"/>
    <cellStyle name="_Chelan Debt Forecast 12.19.05_(C) WHE Proforma with ITC cash grant 10 Yr Amort_for deferral_102809_16.07E Wild Horse Wind Expansionwrkingfile SF" xfId="3028"/>
    <cellStyle name="_Chelan Debt Forecast 12.19.05_(C) WHE Proforma with ITC cash grant 10 Yr Amort_for deferral_102809_16.07E Wild Horse Wind Expansionwrkingfile SF 2" xfId="3029"/>
    <cellStyle name="_Chelan Debt Forecast 12.19.05_(C) WHE Proforma with ITC cash grant 10 Yr Amort_for deferral_102809_16.07E Wild Horse Wind Expansionwrkingfile SF 2 2" xfId="3030"/>
    <cellStyle name="_Chelan Debt Forecast 12.19.05_(C) WHE Proforma with ITC cash grant 10 Yr Amort_for deferral_102809_16.07E Wild Horse Wind Expansionwrkingfile SF 3" xfId="3031"/>
    <cellStyle name="_Chelan Debt Forecast 12.19.05_(C) WHE Proforma with ITC cash grant 10 Yr Amort_for deferral_102809_16.07E Wild Horse Wind Expansionwrkingfile SF_DEM-WP(C) ENERG10C--ctn Mid-C_042010 2010GRC" xfId="3032"/>
    <cellStyle name="_Chelan Debt Forecast 12.19.05_(C) WHE Proforma with ITC cash grant 10 Yr Amort_for deferral_102809_16.07E Wild Horse Wind Expansionwrkingfile_DEM-WP(C) ENERG10C--ctn Mid-C_042010 2010GRC" xfId="3033"/>
    <cellStyle name="_Chelan Debt Forecast 12.19.05_(C) WHE Proforma with ITC cash grant 10 Yr Amort_for deferral_102809_16.37E Wild Horse Expansion DeferralRevwrkingfile SF" xfId="3034"/>
    <cellStyle name="_Chelan Debt Forecast 12.19.05_(C) WHE Proforma with ITC cash grant 10 Yr Amort_for deferral_102809_16.37E Wild Horse Expansion DeferralRevwrkingfile SF 2" xfId="3035"/>
    <cellStyle name="_Chelan Debt Forecast 12.19.05_(C) WHE Proforma with ITC cash grant 10 Yr Amort_for deferral_102809_16.37E Wild Horse Expansion DeferralRevwrkingfile SF 2 2" xfId="3036"/>
    <cellStyle name="_Chelan Debt Forecast 12.19.05_(C) WHE Proforma with ITC cash grant 10 Yr Amort_for deferral_102809_16.37E Wild Horse Expansion DeferralRevwrkingfile SF 3" xfId="3037"/>
    <cellStyle name="_Chelan Debt Forecast 12.19.05_(C) WHE Proforma with ITC cash grant 10 Yr Amort_for deferral_102809_16.37E Wild Horse Expansion DeferralRevwrkingfile SF_DEM-WP(C) ENERG10C--ctn Mid-C_042010 2010GRC" xfId="3038"/>
    <cellStyle name="_Chelan Debt Forecast 12.19.05_(C) WHE Proforma with ITC cash grant 10 Yr Amort_for deferral_102809_DEM-WP(C) ENERG10C--ctn Mid-C_042010 2010GRC" xfId="3039"/>
    <cellStyle name="_Chelan Debt Forecast 12.19.05_(C) WHE Proforma with ITC cash grant 10 Yr Amort_for rebuttal_120709" xfId="3040"/>
    <cellStyle name="_Chelan Debt Forecast 12.19.05_(C) WHE Proforma with ITC cash grant 10 Yr Amort_for rebuttal_120709 2" xfId="3041"/>
    <cellStyle name="_Chelan Debt Forecast 12.19.05_(C) WHE Proforma with ITC cash grant 10 Yr Amort_for rebuttal_120709 2 2" xfId="3042"/>
    <cellStyle name="_Chelan Debt Forecast 12.19.05_(C) WHE Proforma with ITC cash grant 10 Yr Amort_for rebuttal_120709 3" xfId="3043"/>
    <cellStyle name="_Chelan Debt Forecast 12.19.05_(C) WHE Proforma with ITC cash grant 10 Yr Amort_for rebuttal_120709_DEM-WP(C) ENERG10C--ctn Mid-C_042010 2010GRC" xfId="3044"/>
    <cellStyle name="_Chelan Debt Forecast 12.19.05_04.07E Wild Horse Wind Expansion" xfId="3045"/>
    <cellStyle name="_Chelan Debt Forecast 12.19.05_04.07E Wild Horse Wind Expansion 2" xfId="3046"/>
    <cellStyle name="_Chelan Debt Forecast 12.19.05_04.07E Wild Horse Wind Expansion 2 2" xfId="3047"/>
    <cellStyle name="_Chelan Debt Forecast 12.19.05_04.07E Wild Horse Wind Expansion 3" xfId="3048"/>
    <cellStyle name="_Chelan Debt Forecast 12.19.05_04.07E Wild Horse Wind Expansion_16.07E Wild Horse Wind Expansionwrkingfile" xfId="3049"/>
    <cellStyle name="_Chelan Debt Forecast 12.19.05_04.07E Wild Horse Wind Expansion_16.07E Wild Horse Wind Expansionwrkingfile 2" xfId="3050"/>
    <cellStyle name="_Chelan Debt Forecast 12.19.05_04.07E Wild Horse Wind Expansion_16.07E Wild Horse Wind Expansionwrkingfile 2 2" xfId="3051"/>
    <cellStyle name="_Chelan Debt Forecast 12.19.05_04.07E Wild Horse Wind Expansion_16.07E Wild Horse Wind Expansionwrkingfile 3" xfId="3052"/>
    <cellStyle name="_Chelan Debt Forecast 12.19.05_04.07E Wild Horse Wind Expansion_16.07E Wild Horse Wind Expansionwrkingfile SF" xfId="3053"/>
    <cellStyle name="_Chelan Debt Forecast 12.19.05_04.07E Wild Horse Wind Expansion_16.07E Wild Horse Wind Expansionwrkingfile SF 2" xfId="3054"/>
    <cellStyle name="_Chelan Debt Forecast 12.19.05_04.07E Wild Horse Wind Expansion_16.07E Wild Horse Wind Expansionwrkingfile SF 2 2" xfId="3055"/>
    <cellStyle name="_Chelan Debt Forecast 12.19.05_04.07E Wild Horse Wind Expansion_16.07E Wild Horse Wind Expansionwrkingfile SF 3" xfId="3056"/>
    <cellStyle name="_Chelan Debt Forecast 12.19.05_04.07E Wild Horse Wind Expansion_16.07E Wild Horse Wind Expansionwrkingfile SF_DEM-WP(C) ENERG10C--ctn Mid-C_042010 2010GRC" xfId="3057"/>
    <cellStyle name="_Chelan Debt Forecast 12.19.05_04.07E Wild Horse Wind Expansion_16.07E Wild Horse Wind Expansionwrkingfile_DEM-WP(C) ENERG10C--ctn Mid-C_042010 2010GRC" xfId="3058"/>
    <cellStyle name="_Chelan Debt Forecast 12.19.05_04.07E Wild Horse Wind Expansion_16.37E Wild Horse Expansion DeferralRevwrkingfile SF" xfId="3059"/>
    <cellStyle name="_Chelan Debt Forecast 12.19.05_04.07E Wild Horse Wind Expansion_16.37E Wild Horse Expansion DeferralRevwrkingfile SF 2" xfId="3060"/>
    <cellStyle name="_Chelan Debt Forecast 12.19.05_04.07E Wild Horse Wind Expansion_16.37E Wild Horse Expansion DeferralRevwrkingfile SF 2 2" xfId="3061"/>
    <cellStyle name="_Chelan Debt Forecast 12.19.05_04.07E Wild Horse Wind Expansion_16.37E Wild Horse Expansion DeferralRevwrkingfile SF 3" xfId="3062"/>
    <cellStyle name="_Chelan Debt Forecast 12.19.05_04.07E Wild Horse Wind Expansion_16.37E Wild Horse Expansion DeferralRevwrkingfile SF_DEM-WP(C) ENERG10C--ctn Mid-C_042010 2010GRC" xfId="3063"/>
    <cellStyle name="_Chelan Debt Forecast 12.19.05_04.07E Wild Horse Wind Expansion_DEM-WP(C) ENERG10C--ctn Mid-C_042010 2010GRC" xfId="3064"/>
    <cellStyle name="_Chelan Debt Forecast 12.19.05_16.07E Wild Horse Wind Expansionwrkingfile" xfId="3065"/>
    <cellStyle name="_Chelan Debt Forecast 12.19.05_16.07E Wild Horse Wind Expansionwrkingfile 2" xfId="3066"/>
    <cellStyle name="_Chelan Debt Forecast 12.19.05_16.07E Wild Horse Wind Expansionwrkingfile 2 2" xfId="3067"/>
    <cellStyle name="_Chelan Debt Forecast 12.19.05_16.07E Wild Horse Wind Expansionwrkingfile 3" xfId="3068"/>
    <cellStyle name="_Chelan Debt Forecast 12.19.05_16.07E Wild Horse Wind Expansionwrkingfile SF" xfId="3069"/>
    <cellStyle name="_Chelan Debt Forecast 12.19.05_16.07E Wild Horse Wind Expansionwrkingfile SF 2" xfId="3070"/>
    <cellStyle name="_Chelan Debt Forecast 12.19.05_16.07E Wild Horse Wind Expansionwrkingfile SF 2 2" xfId="3071"/>
    <cellStyle name="_Chelan Debt Forecast 12.19.05_16.07E Wild Horse Wind Expansionwrkingfile SF 3" xfId="3072"/>
    <cellStyle name="_Chelan Debt Forecast 12.19.05_16.07E Wild Horse Wind Expansionwrkingfile SF_DEM-WP(C) ENERG10C--ctn Mid-C_042010 2010GRC" xfId="3073"/>
    <cellStyle name="_Chelan Debt Forecast 12.19.05_16.07E Wild Horse Wind Expansionwrkingfile_DEM-WP(C) ENERG10C--ctn Mid-C_042010 2010GRC" xfId="3074"/>
    <cellStyle name="_Chelan Debt Forecast 12.19.05_16.37E Wild Horse Expansion DeferralRevwrkingfile SF" xfId="3075"/>
    <cellStyle name="_Chelan Debt Forecast 12.19.05_16.37E Wild Horse Expansion DeferralRevwrkingfile SF 2" xfId="3076"/>
    <cellStyle name="_Chelan Debt Forecast 12.19.05_16.37E Wild Horse Expansion DeferralRevwrkingfile SF 2 2" xfId="3077"/>
    <cellStyle name="_Chelan Debt Forecast 12.19.05_16.37E Wild Horse Expansion DeferralRevwrkingfile SF 3" xfId="3078"/>
    <cellStyle name="_Chelan Debt Forecast 12.19.05_16.37E Wild Horse Expansion DeferralRevwrkingfile SF_DEM-WP(C) ENERG10C--ctn Mid-C_042010 2010GRC" xfId="3079"/>
    <cellStyle name="_Chelan Debt Forecast 12.19.05_2009 Compliance Filing PCA Exhibits for GRC" xfId="3080"/>
    <cellStyle name="_Chelan Debt Forecast 12.19.05_2009 Compliance Filing PCA Exhibits for GRC 2" xfId="3081"/>
    <cellStyle name="_Chelan Debt Forecast 12.19.05_2009 GRC Compl Filing - Exhibit D" xfId="3082"/>
    <cellStyle name="_Chelan Debt Forecast 12.19.05_2009 GRC Compl Filing - Exhibit D 2" xfId="3083"/>
    <cellStyle name="_Chelan Debt Forecast 12.19.05_2009 GRC Compl Filing - Exhibit D 2 2" xfId="3084"/>
    <cellStyle name="_Chelan Debt Forecast 12.19.05_2009 GRC Compl Filing - Exhibit D 3" xfId="3085"/>
    <cellStyle name="_Chelan Debt Forecast 12.19.05_2009 GRC Compl Filing - Exhibit D_DEM-WP(C) ENERG10C--ctn Mid-C_042010 2010GRC" xfId="3086"/>
    <cellStyle name="_Chelan Debt Forecast 12.19.05_3.01 Income Statement" xfId="3087"/>
    <cellStyle name="_Chelan Debt Forecast 12.19.05_4 31 Regulatory Assets and Liabilities  7 06- Exhibit D" xfId="3088"/>
    <cellStyle name="_Chelan Debt Forecast 12.19.05_4 31 Regulatory Assets and Liabilities  7 06- Exhibit D 2" xfId="3089"/>
    <cellStyle name="_Chelan Debt Forecast 12.19.05_4 31 Regulatory Assets and Liabilities  7 06- Exhibit D 2 2" xfId="3090"/>
    <cellStyle name="_Chelan Debt Forecast 12.19.05_4 31 Regulatory Assets and Liabilities  7 06- Exhibit D 2 2 2" xfId="3091"/>
    <cellStyle name="_Chelan Debt Forecast 12.19.05_4 31 Regulatory Assets and Liabilities  7 06- Exhibit D 3" xfId="3092"/>
    <cellStyle name="_Chelan Debt Forecast 12.19.05_4 31 Regulatory Assets and Liabilities  7 06- Exhibit D_DEM-WP(C) ENERG10C--ctn Mid-C_042010 2010GRC" xfId="3093"/>
    <cellStyle name="_Chelan Debt Forecast 12.19.05_4 31 Regulatory Assets and Liabilities  7 06- Exhibit D_NIM Summary" xfId="3094"/>
    <cellStyle name="_Chelan Debt Forecast 12.19.05_4 31 Regulatory Assets and Liabilities  7 06- Exhibit D_NIM Summary 2" xfId="3095"/>
    <cellStyle name="_Chelan Debt Forecast 12.19.05_4 31 Regulatory Assets and Liabilities  7 06- Exhibit D_NIM Summary 2 2" xfId="3096"/>
    <cellStyle name="_Chelan Debt Forecast 12.19.05_4 31 Regulatory Assets and Liabilities  7 06- Exhibit D_NIM Summary 3" xfId="3097"/>
    <cellStyle name="_Chelan Debt Forecast 12.19.05_4 31 Regulatory Assets and Liabilities  7 06- Exhibit D_NIM Summary_DEM-WP(C) ENERG10C--ctn Mid-C_042010 2010GRC" xfId="3098"/>
    <cellStyle name="_Chelan Debt Forecast 12.19.05_4 31 Regulatory Assets and Liabilities  7 06- Exhibit D_NIM+O&amp;M" xfId="3099"/>
    <cellStyle name="_Chelan Debt Forecast 12.19.05_4 31 Regulatory Assets and Liabilities  7 06- Exhibit D_NIM+O&amp;M Monthly" xfId="3100"/>
    <cellStyle name="_Chelan Debt Forecast 12.19.05_4 31E Reg Asset  Liab and EXH D" xfId="3101"/>
    <cellStyle name="_Chelan Debt Forecast 12.19.05_4 31E Reg Asset  Liab and EXH D _ Aug 10 Filing (2)" xfId="3102"/>
    <cellStyle name="_Chelan Debt Forecast 12.19.05_4 31E Reg Asset  Liab and EXH D _ Aug 10 Filing (2) 2" xfId="3103"/>
    <cellStyle name="_Chelan Debt Forecast 12.19.05_4 31E Reg Asset  Liab and EXH D 2" xfId="3104"/>
    <cellStyle name="_Chelan Debt Forecast 12.19.05_4 31E Reg Asset  Liab and EXH D 3" xfId="3105"/>
    <cellStyle name="_Chelan Debt Forecast 12.19.05_4 32 Regulatory Assets and Liabilities  7 06- Exhibit D" xfId="3106"/>
    <cellStyle name="_Chelan Debt Forecast 12.19.05_4 32 Regulatory Assets and Liabilities  7 06- Exhibit D 2" xfId="3107"/>
    <cellStyle name="_Chelan Debt Forecast 12.19.05_4 32 Regulatory Assets and Liabilities  7 06- Exhibit D 2 2" xfId="3108"/>
    <cellStyle name="_Chelan Debt Forecast 12.19.05_4 32 Regulatory Assets and Liabilities  7 06- Exhibit D 2 2 2" xfId="3109"/>
    <cellStyle name="_Chelan Debt Forecast 12.19.05_4 32 Regulatory Assets and Liabilities  7 06- Exhibit D 3" xfId="3110"/>
    <cellStyle name="_Chelan Debt Forecast 12.19.05_4 32 Regulatory Assets and Liabilities  7 06- Exhibit D_DEM-WP(C) ENERG10C--ctn Mid-C_042010 2010GRC" xfId="3111"/>
    <cellStyle name="_Chelan Debt Forecast 12.19.05_4 32 Regulatory Assets and Liabilities  7 06- Exhibit D_NIM Summary" xfId="3112"/>
    <cellStyle name="_Chelan Debt Forecast 12.19.05_4 32 Regulatory Assets and Liabilities  7 06- Exhibit D_NIM Summary 2" xfId="3113"/>
    <cellStyle name="_Chelan Debt Forecast 12.19.05_4 32 Regulatory Assets and Liabilities  7 06- Exhibit D_NIM Summary 2 2" xfId="3114"/>
    <cellStyle name="_Chelan Debt Forecast 12.19.05_4 32 Regulatory Assets and Liabilities  7 06- Exhibit D_NIM Summary 3" xfId="3115"/>
    <cellStyle name="_Chelan Debt Forecast 12.19.05_4 32 Regulatory Assets and Liabilities  7 06- Exhibit D_NIM Summary_DEM-WP(C) ENERG10C--ctn Mid-C_042010 2010GRC" xfId="3116"/>
    <cellStyle name="_Chelan Debt Forecast 12.19.05_4 32 Regulatory Assets and Liabilities  7 06- Exhibit D_NIM+O&amp;M" xfId="3117"/>
    <cellStyle name="_Chelan Debt Forecast 12.19.05_4 32 Regulatory Assets and Liabilities  7 06- Exhibit D_NIM+O&amp;M Monthly" xfId="3118"/>
    <cellStyle name="_Chelan Debt Forecast 12.19.05_AURORA Total New" xfId="3119"/>
    <cellStyle name="_Chelan Debt Forecast 12.19.05_AURORA Total New 2" xfId="3120"/>
    <cellStyle name="_Chelan Debt Forecast 12.19.05_AURORA Total New 2 2" xfId="3121"/>
    <cellStyle name="_Chelan Debt Forecast 12.19.05_AURORA Total New 3" xfId="3122"/>
    <cellStyle name="_Chelan Debt Forecast 12.19.05_Book2" xfId="3123"/>
    <cellStyle name="_Chelan Debt Forecast 12.19.05_Book2 2" xfId="3124"/>
    <cellStyle name="_Chelan Debt Forecast 12.19.05_Book2 2 2" xfId="3125"/>
    <cellStyle name="_Chelan Debt Forecast 12.19.05_Book2 3" xfId="3126"/>
    <cellStyle name="_Chelan Debt Forecast 12.19.05_Book2_Adj Bench DR 3 for Initial Briefs (Electric)" xfId="3127"/>
    <cellStyle name="_Chelan Debt Forecast 12.19.05_Book2_Adj Bench DR 3 for Initial Briefs (Electric) 2" xfId="3128"/>
    <cellStyle name="_Chelan Debt Forecast 12.19.05_Book2_Adj Bench DR 3 for Initial Briefs (Electric) 2 2" xfId="3129"/>
    <cellStyle name="_Chelan Debt Forecast 12.19.05_Book2_Adj Bench DR 3 for Initial Briefs (Electric) 3" xfId="3130"/>
    <cellStyle name="_Chelan Debt Forecast 12.19.05_Book2_Adj Bench DR 3 for Initial Briefs (Electric)_DEM-WP(C) ENERG10C--ctn Mid-C_042010 2010GRC" xfId="3131"/>
    <cellStyle name="_Chelan Debt Forecast 12.19.05_Book2_DEM-WP(C) ENERG10C--ctn Mid-C_042010 2010GRC" xfId="3132"/>
    <cellStyle name="_Chelan Debt Forecast 12.19.05_Book2_Electric Rev Req Model (2009 GRC) Rebuttal" xfId="3133"/>
    <cellStyle name="_Chelan Debt Forecast 12.19.05_Book2_Electric Rev Req Model (2009 GRC) Rebuttal 2" xfId="3134"/>
    <cellStyle name="_Chelan Debt Forecast 12.19.05_Book2_Electric Rev Req Model (2009 GRC) Rebuttal REmoval of New  WH Solar AdjustMI" xfId="3135"/>
    <cellStyle name="_Chelan Debt Forecast 12.19.05_Book2_Electric Rev Req Model (2009 GRC) Rebuttal REmoval of New  WH Solar AdjustMI 2" xfId="3136"/>
    <cellStyle name="_Chelan Debt Forecast 12.19.05_Book2_Electric Rev Req Model (2009 GRC) Rebuttal REmoval of New  WH Solar AdjustMI 2 2" xfId="3137"/>
    <cellStyle name="_Chelan Debt Forecast 12.19.05_Book2_Electric Rev Req Model (2009 GRC) Rebuttal REmoval of New  WH Solar AdjustMI 3" xfId="3138"/>
    <cellStyle name="_Chelan Debt Forecast 12.19.05_Book2_Electric Rev Req Model (2009 GRC) Rebuttal REmoval of New  WH Solar AdjustMI_DEM-WP(C) ENERG10C--ctn Mid-C_042010 2010GRC" xfId="3139"/>
    <cellStyle name="_Chelan Debt Forecast 12.19.05_Book2_Electric Rev Req Model (2009 GRC) Revised 01-18-2010" xfId="3140"/>
    <cellStyle name="_Chelan Debt Forecast 12.19.05_Book2_Electric Rev Req Model (2009 GRC) Revised 01-18-2010 2" xfId="3141"/>
    <cellStyle name="_Chelan Debt Forecast 12.19.05_Book2_Electric Rev Req Model (2009 GRC) Revised 01-18-2010 2 2" xfId="3142"/>
    <cellStyle name="_Chelan Debt Forecast 12.19.05_Book2_Electric Rev Req Model (2009 GRC) Revised 01-18-2010 3" xfId="3143"/>
    <cellStyle name="_Chelan Debt Forecast 12.19.05_Book2_Electric Rev Req Model (2009 GRC) Revised 01-18-2010_DEM-WP(C) ENERG10C--ctn Mid-C_042010 2010GRC" xfId="3144"/>
    <cellStyle name="_Chelan Debt Forecast 12.19.05_Book2_Final Order Electric EXHIBIT A-1" xfId="3145"/>
    <cellStyle name="_Chelan Debt Forecast 12.19.05_Book2_Final Order Electric EXHIBIT A-1 2" xfId="3146"/>
    <cellStyle name="_Chelan Debt Forecast 12.19.05_Book4" xfId="3147"/>
    <cellStyle name="_Chelan Debt Forecast 12.19.05_Book4 2" xfId="3148"/>
    <cellStyle name="_Chelan Debt Forecast 12.19.05_Book4 2 2" xfId="3149"/>
    <cellStyle name="_Chelan Debt Forecast 12.19.05_Book4 3" xfId="3150"/>
    <cellStyle name="_Chelan Debt Forecast 12.19.05_Book4_DEM-WP(C) ENERG10C--ctn Mid-C_042010 2010GRC" xfId="3151"/>
    <cellStyle name="_Chelan Debt Forecast 12.19.05_Book9" xfId="3152"/>
    <cellStyle name="_Chelan Debt Forecast 12.19.05_Book9 2" xfId="3153"/>
    <cellStyle name="_Chelan Debt Forecast 12.19.05_Book9 2 2" xfId="3154"/>
    <cellStyle name="_Chelan Debt Forecast 12.19.05_Book9 3" xfId="3155"/>
    <cellStyle name="_Chelan Debt Forecast 12.19.05_Book9_DEM-WP(C) ENERG10C--ctn Mid-C_042010 2010GRC" xfId="3156"/>
    <cellStyle name="_Chelan Debt Forecast 12.19.05_Check the Interest Calculation" xfId="3157"/>
    <cellStyle name="_Chelan Debt Forecast 12.19.05_Check the Interest Calculation_Scenario 1 REC vs PTC Offset" xfId="3158"/>
    <cellStyle name="_Chelan Debt Forecast 12.19.05_Check the Interest Calculation_Scenario 3" xfId="3159"/>
    <cellStyle name="_Chelan Debt Forecast 12.19.05_Chelan PUD Power Costs (8-10)" xfId="3160"/>
    <cellStyle name="_Chelan Debt Forecast 12.19.05_Chelan PUD Power Costs (8-10) 2" xfId="3161"/>
    <cellStyle name="_Chelan Debt Forecast 12.19.05_DEM-WP(C) Chelan Power Costs" xfId="3162"/>
    <cellStyle name="_Chelan Debt Forecast 12.19.05_DEM-WP(C) Chelan Power Costs 2" xfId="3163"/>
    <cellStyle name="_Chelan Debt Forecast 12.19.05_DEM-WP(C) ENERG10C--ctn Mid-C_042010 2010GRC" xfId="3164"/>
    <cellStyle name="_Chelan Debt Forecast 12.19.05_DEM-WP(C) Gas Transport 2010GRC" xfId="3165"/>
    <cellStyle name="_Chelan Debt Forecast 12.19.05_DEM-WP(C) Gas Transport 2010GRC 2" xfId="3166"/>
    <cellStyle name="_Chelan Debt Forecast 12.19.05_Exh A-1 resulting from UE-112050 effective Jan 1 2012" xfId="3167"/>
    <cellStyle name="_Chelan Debt Forecast 12.19.05_Exh G - Klamath Peaker PPA fr C Locke 2-12" xfId="3168"/>
    <cellStyle name="_Chelan Debt Forecast 12.19.05_Exhibit A-1 effective 4-1-11 fr S Free 12-11" xfId="3169"/>
    <cellStyle name="_Chelan Debt Forecast 12.19.05_Exhibit D fr R Gho 12-31-08" xfId="3170"/>
    <cellStyle name="_Chelan Debt Forecast 12.19.05_Exhibit D fr R Gho 12-31-08 2" xfId="3171"/>
    <cellStyle name="_Chelan Debt Forecast 12.19.05_Exhibit D fr R Gho 12-31-08 2 2" xfId="3172"/>
    <cellStyle name="_Chelan Debt Forecast 12.19.05_Exhibit D fr R Gho 12-31-08 3" xfId="3173"/>
    <cellStyle name="_Chelan Debt Forecast 12.19.05_Exhibit D fr R Gho 12-31-08 v2" xfId="3174"/>
    <cellStyle name="_Chelan Debt Forecast 12.19.05_Exhibit D fr R Gho 12-31-08 v2 2" xfId="3175"/>
    <cellStyle name="_Chelan Debt Forecast 12.19.05_Exhibit D fr R Gho 12-31-08 v2 2 2" xfId="3176"/>
    <cellStyle name="_Chelan Debt Forecast 12.19.05_Exhibit D fr R Gho 12-31-08 v2 3" xfId="3177"/>
    <cellStyle name="_Chelan Debt Forecast 12.19.05_Exhibit D fr R Gho 12-31-08 v2_DEM-WP(C) ENERG10C--ctn Mid-C_042010 2010GRC" xfId="3178"/>
    <cellStyle name="_Chelan Debt Forecast 12.19.05_Exhibit D fr R Gho 12-31-08 v2_NIM Summary" xfId="3179"/>
    <cellStyle name="_Chelan Debt Forecast 12.19.05_Exhibit D fr R Gho 12-31-08 v2_NIM Summary 2" xfId="3180"/>
    <cellStyle name="_Chelan Debt Forecast 12.19.05_Exhibit D fr R Gho 12-31-08 v2_NIM Summary 2 2" xfId="3181"/>
    <cellStyle name="_Chelan Debt Forecast 12.19.05_Exhibit D fr R Gho 12-31-08 v2_NIM Summary 3" xfId="3182"/>
    <cellStyle name="_Chelan Debt Forecast 12.19.05_Exhibit D fr R Gho 12-31-08 v2_NIM Summary_DEM-WP(C) ENERG10C--ctn Mid-C_042010 2010GRC" xfId="3183"/>
    <cellStyle name="_Chelan Debt Forecast 12.19.05_Exhibit D fr R Gho 12-31-08_DEM-WP(C) ENERG10C--ctn Mid-C_042010 2010GRC" xfId="3184"/>
    <cellStyle name="_Chelan Debt Forecast 12.19.05_Exhibit D fr R Gho 12-31-08_NIM Summary" xfId="3185"/>
    <cellStyle name="_Chelan Debt Forecast 12.19.05_Exhibit D fr R Gho 12-31-08_NIM Summary 2" xfId="3186"/>
    <cellStyle name="_Chelan Debt Forecast 12.19.05_Exhibit D fr R Gho 12-31-08_NIM Summary 2 2" xfId="3187"/>
    <cellStyle name="_Chelan Debt Forecast 12.19.05_Exhibit D fr R Gho 12-31-08_NIM Summary 3" xfId="3188"/>
    <cellStyle name="_Chelan Debt Forecast 12.19.05_Exhibit D fr R Gho 12-31-08_NIM Summary_DEM-WP(C) ENERG10C--ctn Mid-C_042010 2010GRC" xfId="3189"/>
    <cellStyle name="_Chelan Debt Forecast 12.19.05_Hopkins Ridge Prepaid Tran - Interest Earned RY 12ME Feb  '11" xfId="3190"/>
    <cellStyle name="_Chelan Debt Forecast 12.19.05_Hopkins Ridge Prepaid Tran - Interest Earned RY 12ME Feb  '11 2" xfId="3191"/>
    <cellStyle name="_Chelan Debt Forecast 12.19.05_Hopkins Ridge Prepaid Tran - Interest Earned RY 12ME Feb  '11 2 2" xfId="3192"/>
    <cellStyle name="_Chelan Debt Forecast 12.19.05_Hopkins Ridge Prepaid Tran - Interest Earned RY 12ME Feb  '11 3" xfId="3193"/>
    <cellStyle name="_Chelan Debt Forecast 12.19.05_Hopkins Ridge Prepaid Tran - Interest Earned RY 12ME Feb  '11_DEM-WP(C) ENERG10C--ctn Mid-C_042010 2010GRC" xfId="3194"/>
    <cellStyle name="_Chelan Debt Forecast 12.19.05_Hopkins Ridge Prepaid Tran - Interest Earned RY 12ME Feb  '11_NIM Summary" xfId="3195"/>
    <cellStyle name="_Chelan Debt Forecast 12.19.05_Hopkins Ridge Prepaid Tran - Interest Earned RY 12ME Feb  '11_NIM Summary 2" xfId="3196"/>
    <cellStyle name="_Chelan Debt Forecast 12.19.05_Hopkins Ridge Prepaid Tran - Interest Earned RY 12ME Feb  '11_NIM Summary 2 2" xfId="3197"/>
    <cellStyle name="_Chelan Debt Forecast 12.19.05_Hopkins Ridge Prepaid Tran - Interest Earned RY 12ME Feb  '11_NIM Summary 3" xfId="3198"/>
    <cellStyle name="_Chelan Debt Forecast 12.19.05_Hopkins Ridge Prepaid Tran - Interest Earned RY 12ME Feb  '11_NIM Summary_DEM-WP(C) ENERG10C--ctn Mid-C_042010 2010GRC" xfId="3199"/>
    <cellStyle name="_Chelan Debt Forecast 12.19.05_Hopkins Ridge Prepaid Tran - Interest Earned RY 12ME Feb  '11_Transmission Workbook for May BOD" xfId="3200"/>
    <cellStyle name="_Chelan Debt Forecast 12.19.05_Hopkins Ridge Prepaid Tran - Interest Earned RY 12ME Feb  '11_Transmission Workbook for May BOD 2" xfId="3201"/>
    <cellStyle name="_Chelan Debt Forecast 12.19.05_Hopkins Ridge Prepaid Tran - Interest Earned RY 12ME Feb  '11_Transmission Workbook for May BOD 2 2" xfId="3202"/>
    <cellStyle name="_Chelan Debt Forecast 12.19.05_Hopkins Ridge Prepaid Tran - Interest Earned RY 12ME Feb  '11_Transmission Workbook for May BOD 3" xfId="3203"/>
    <cellStyle name="_Chelan Debt Forecast 12.19.05_Hopkins Ridge Prepaid Tran - Interest Earned RY 12ME Feb  '11_Transmission Workbook for May BOD_DEM-WP(C) ENERG10C--ctn Mid-C_042010 2010GRC" xfId="3204"/>
    <cellStyle name="_Chelan Debt Forecast 12.19.05_LSRWEP LGIA like Acctg Petition Aug 2010" xfId="3205"/>
    <cellStyle name="_Chelan Debt Forecast 12.19.05_Mint Farm Generation BPA" xfId="3206"/>
    <cellStyle name="_Chelan Debt Forecast 12.19.05_NIM Summary" xfId="3207"/>
    <cellStyle name="_Chelan Debt Forecast 12.19.05_NIM Summary 09GRC" xfId="3208"/>
    <cellStyle name="_Chelan Debt Forecast 12.19.05_NIM Summary 09GRC 2" xfId="3209"/>
    <cellStyle name="_Chelan Debt Forecast 12.19.05_NIM Summary 09GRC 2 2" xfId="3210"/>
    <cellStyle name="_Chelan Debt Forecast 12.19.05_NIM Summary 09GRC 3" xfId="3211"/>
    <cellStyle name="_Chelan Debt Forecast 12.19.05_NIM Summary 09GRC_DEM-WP(C) ENERG10C--ctn Mid-C_042010 2010GRC" xfId="3212"/>
    <cellStyle name="_Chelan Debt Forecast 12.19.05_NIM Summary 10" xfId="3213"/>
    <cellStyle name="_Chelan Debt Forecast 12.19.05_NIM Summary 11" xfId="3214"/>
    <cellStyle name="_Chelan Debt Forecast 12.19.05_NIM Summary 12" xfId="3215"/>
    <cellStyle name="_Chelan Debt Forecast 12.19.05_NIM Summary 13" xfId="3216"/>
    <cellStyle name="_Chelan Debt Forecast 12.19.05_NIM Summary 14" xfId="3217"/>
    <cellStyle name="_Chelan Debt Forecast 12.19.05_NIM Summary 15" xfId="3218"/>
    <cellStyle name="_Chelan Debt Forecast 12.19.05_NIM Summary 16" xfId="3219"/>
    <cellStyle name="_Chelan Debt Forecast 12.19.05_NIM Summary 17" xfId="3220"/>
    <cellStyle name="_Chelan Debt Forecast 12.19.05_NIM Summary 18" xfId="3221"/>
    <cellStyle name="_Chelan Debt Forecast 12.19.05_NIM Summary 19" xfId="3222"/>
    <cellStyle name="_Chelan Debt Forecast 12.19.05_NIM Summary 2" xfId="3223"/>
    <cellStyle name="_Chelan Debt Forecast 12.19.05_NIM Summary 2 2" xfId="3224"/>
    <cellStyle name="_Chelan Debt Forecast 12.19.05_NIM Summary 20" xfId="3225"/>
    <cellStyle name="_Chelan Debt Forecast 12.19.05_NIM Summary 21" xfId="3226"/>
    <cellStyle name="_Chelan Debt Forecast 12.19.05_NIM Summary 22" xfId="3227"/>
    <cellStyle name="_Chelan Debt Forecast 12.19.05_NIM Summary 23" xfId="3228"/>
    <cellStyle name="_Chelan Debt Forecast 12.19.05_NIM Summary 24" xfId="3229"/>
    <cellStyle name="_Chelan Debt Forecast 12.19.05_NIM Summary 25" xfId="3230"/>
    <cellStyle name="_Chelan Debt Forecast 12.19.05_NIM Summary 26" xfId="3231"/>
    <cellStyle name="_Chelan Debt Forecast 12.19.05_NIM Summary 27" xfId="3232"/>
    <cellStyle name="_Chelan Debt Forecast 12.19.05_NIM Summary 28" xfId="3233"/>
    <cellStyle name="_Chelan Debt Forecast 12.19.05_NIM Summary 29" xfId="3234"/>
    <cellStyle name="_Chelan Debt Forecast 12.19.05_NIM Summary 3" xfId="3235"/>
    <cellStyle name="_Chelan Debt Forecast 12.19.05_NIM Summary 30" xfId="3236"/>
    <cellStyle name="_Chelan Debt Forecast 12.19.05_NIM Summary 31" xfId="3237"/>
    <cellStyle name="_Chelan Debt Forecast 12.19.05_NIM Summary 32" xfId="3238"/>
    <cellStyle name="_Chelan Debt Forecast 12.19.05_NIM Summary 33" xfId="3239"/>
    <cellStyle name="_Chelan Debt Forecast 12.19.05_NIM Summary 34" xfId="3240"/>
    <cellStyle name="_Chelan Debt Forecast 12.19.05_NIM Summary 35" xfId="3241"/>
    <cellStyle name="_Chelan Debt Forecast 12.19.05_NIM Summary 36" xfId="3242"/>
    <cellStyle name="_Chelan Debt Forecast 12.19.05_NIM Summary 37" xfId="3243"/>
    <cellStyle name="_Chelan Debt Forecast 12.19.05_NIM Summary 38" xfId="3244"/>
    <cellStyle name="_Chelan Debt Forecast 12.19.05_NIM Summary 39" xfId="3245"/>
    <cellStyle name="_Chelan Debt Forecast 12.19.05_NIM Summary 4" xfId="3246"/>
    <cellStyle name="_Chelan Debt Forecast 12.19.05_NIM Summary 40" xfId="3247"/>
    <cellStyle name="_Chelan Debt Forecast 12.19.05_NIM Summary 41" xfId="3248"/>
    <cellStyle name="_Chelan Debt Forecast 12.19.05_NIM Summary 42" xfId="3249"/>
    <cellStyle name="_Chelan Debt Forecast 12.19.05_NIM Summary 43" xfId="3250"/>
    <cellStyle name="_Chelan Debt Forecast 12.19.05_NIM Summary 44" xfId="3251"/>
    <cellStyle name="_Chelan Debt Forecast 12.19.05_NIM Summary 45" xfId="3252"/>
    <cellStyle name="_Chelan Debt Forecast 12.19.05_NIM Summary 46" xfId="3253"/>
    <cellStyle name="_Chelan Debt Forecast 12.19.05_NIM Summary 47" xfId="3254"/>
    <cellStyle name="_Chelan Debt Forecast 12.19.05_NIM Summary 48" xfId="3255"/>
    <cellStyle name="_Chelan Debt Forecast 12.19.05_NIM Summary 49" xfId="3256"/>
    <cellStyle name="_Chelan Debt Forecast 12.19.05_NIM Summary 5" xfId="3257"/>
    <cellStyle name="_Chelan Debt Forecast 12.19.05_NIM Summary 50" xfId="3258"/>
    <cellStyle name="_Chelan Debt Forecast 12.19.05_NIM Summary 51" xfId="3259"/>
    <cellStyle name="_Chelan Debt Forecast 12.19.05_NIM Summary 52" xfId="3260"/>
    <cellStyle name="_Chelan Debt Forecast 12.19.05_NIM Summary 6" xfId="3261"/>
    <cellStyle name="_Chelan Debt Forecast 12.19.05_NIM Summary 7" xfId="3262"/>
    <cellStyle name="_Chelan Debt Forecast 12.19.05_NIM Summary 8" xfId="3263"/>
    <cellStyle name="_Chelan Debt Forecast 12.19.05_NIM Summary 9" xfId="3264"/>
    <cellStyle name="_Chelan Debt Forecast 12.19.05_NIM Summary_DEM-WP(C) ENERG10C--ctn Mid-C_042010 2010GRC" xfId="3265"/>
    <cellStyle name="_Chelan Debt Forecast 12.19.05_NIM+O&amp;M" xfId="3266"/>
    <cellStyle name="_Chelan Debt Forecast 12.19.05_NIM+O&amp;M 2" xfId="3267"/>
    <cellStyle name="_Chelan Debt Forecast 12.19.05_NIM+O&amp;M Monthly" xfId="3268"/>
    <cellStyle name="_Chelan Debt Forecast 12.19.05_NIM+O&amp;M Monthly 2" xfId="3269"/>
    <cellStyle name="_Chelan Debt Forecast 12.19.05_PCA 10 -  Exhibit D Dec 2011" xfId="3270"/>
    <cellStyle name="_Chelan Debt Forecast 12.19.05_PCA 10 -  Exhibit D from A Kellogg Jan 2011" xfId="3271"/>
    <cellStyle name="_Chelan Debt Forecast 12.19.05_PCA 10 -  Exhibit D from A Kellogg July 2011" xfId="3272"/>
    <cellStyle name="_Chelan Debt Forecast 12.19.05_PCA 10 -  Exhibit D from S Free Rcv'd 12-11" xfId="3273"/>
    <cellStyle name="_Chelan Debt Forecast 12.19.05_PCA 11 -  Exhibit D Jan 2012 fr A Kellogg" xfId="3274"/>
    <cellStyle name="_Chelan Debt Forecast 12.19.05_PCA 11 -  Exhibit D Jan 2012 WF" xfId="3275"/>
    <cellStyle name="_Chelan Debt Forecast 12.19.05_PCA 7 - Exhibit D update 11_30_08 (2)" xfId="3276"/>
    <cellStyle name="_Chelan Debt Forecast 12.19.05_PCA 7 - Exhibit D update 11_30_08 (2) 2" xfId="3277"/>
    <cellStyle name="_Chelan Debt Forecast 12.19.05_PCA 7 - Exhibit D update 11_30_08 (2) 2 2" xfId="3278"/>
    <cellStyle name="_Chelan Debt Forecast 12.19.05_PCA 7 - Exhibit D update 11_30_08 (2) 2 2 2" xfId="3279"/>
    <cellStyle name="_Chelan Debt Forecast 12.19.05_PCA 7 - Exhibit D update 11_30_08 (2) 2 3" xfId="3280"/>
    <cellStyle name="_Chelan Debt Forecast 12.19.05_PCA 7 - Exhibit D update 11_30_08 (2) 3" xfId="3281"/>
    <cellStyle name="_Chelan Debt Forecast 12.19.05_PCA 7 - Exhibit D update 11_30_08 (2) 3 2" xfId="3282"/>
    <cellStyle name="_Chelan Debt Forecast 12.19.05_PCA 7 - Exhibit D update 11_30_08 (2) 4" xfId="3283"/>
    <cellStyle name="_Chelan Debt Forecast 12.19.05_PCA 7 - Exhibit D update 11_30_08 (2)_DEM-WP(C) ENERG10C--ctn Mid-C_042010 2010GRC" xfId="3284"/>
    <cellStyle name="_Chelan Debt Forecast 12.19.05_PCA 7 - Exhibit D update 11_30_08 (2)_NIM Summary" xfId="3285"/>
    <cellStyle name="_Chelan Debt Forecast 12.19.05_PCA 7 - Exhibit D update 11_30_08 (2)_NIM Summary 2" xfId="3286"/>
    <cellStyle name="_Chelan Debt Forecast 12.19.05_PCA 7 - Exhibit D update 11_30_08 (2)_NIM Summary 2 2" xfId="3287"/>
    <cellStyle name="_Chelan Debt Forecast 12.19.05_PCA 7 - Exhibit D update 11_30_08 (2)_NIM Summary 3" xfId="3288"/>
    <cellStyle name="_Chelan Debt Forecast 12.19.05_PCA 7 - Exhibit D update 11_30_08 (2)_NIM Summary_DEM-WP(C) ENERG10C--ctn Mid-C_042010 2010GRC" xfId="3289"/>
    <cellStyle name="_Chelan Debt Forecast 12.19.05_PCA 8 - Exhibit D update 12_31_09" xfId="3290"/>
    <cellStyle name="_Chelan Debt Forecast 12.19.05_PCA 8 - Exhibit D update 12_31_09 2" xfId="3291"/>
    <cellStyle name="_Chelan Debt Forecast 12.19.05_PCA 9 -  Exhibit D April 2010" xfId="3292"/>
    <cellStyle name="_Chelan Debt Forecast 12.19.05_PCA 9 -  Exhibit D April 2010 (3)" xfId="3293"/>
    <cellStyle name="_Chelan Debt Forecast 12.19.05_PCA 9 -  Exhibit D April 2010 (3) 2" xfId="3294"/>
    <cellStyle name="_Chelan Debt Forecast 12.19.05_PCA 9 -  Exhibit D April 2010 (3) 2 2" xfId="3295"/>
    <cellStyle name="_Chelan Debt Forecast 12.19.05_PCA 9 -  Exhibit D April 2010 (3) 3" xfId="3296"/>
    <cellStyle name="_Chelan Debt Forecast 12.19.05_PCA 9 -  Exhibit D April 2010 (3)_DEM-WP(C) ENERG10C--ctn Mid-C_042010 2010GRC" xfId="3297"/>
    <cellStyle name="_Chelan Debt Forecast 12.19.05_PCA 9 -  Exhibit D April 2010 2" xfId="3298"/>
    <cellStyle name="_Chelan Debt Forecast 12.19.05_PCA 9 -  Exhibit D April 2010 3" xfId="3299"/>
    <cellStyle name="_Chelan Debt Forecast 12.19.05_PCA 9 -  Exhibit D April 2010 4" xfId="3300"/>
    <cellStyle name="_Chelan Debt Forecast 12.19.05_PCA 9 -  Exhibit D April 2010 5" xfId="3301"/>
    <cellStyle name="_Chelan Debt Forecast 12.19.05_PCA 9 -  Exhibit D April 2010 6" xfId="3302"/>
    <cellStyle name="_Chelan Debt Forecast 12.19.05_PCA 9 -  Exhibit D Feb 2010" xfId="3303"/>
    <cellStyle name="_Chelan Debt Forecast 12.19.05_PCA 9 -  Exhibit D Feb 2010 2" xfId="3304"/>
    <cellStyle name="_Chelan Debt Forecast 12.19.05_PCA 9 -  Exhibit D Feb 2010 v2" xfId="3305"/>
    <cellStyle name="_Chelan Debt Forecast 12.19.05_PCA 9 -  Exhibit D Feb 2010 v2 2" xfId="3306"/>
    <cellStyle name="_Chelan Debt Forecast 12.19.05_PCA 9 -  Exhibit D Feb 2010 WF" xfId="3307"/>
    <cellStyle name="_Chelan Debt Forecast 12.19.05_PCA 9 -  Exhibit D Feb 2010 WF 2" xfId="3308"/>
    <cellStyle name="_Chelan Debt Forecast 12.19.05_PCA 9 -  Exhibit D Jan 2010" xfId="3309"/>
    <cellStyle name="_Chelan Debt Forecast 12.19.05_PCA 9 -  Exhibit D Jan 2010 2" xfId="3310"/>
    <cellStyle name="_Chelan Debt Forecast 12.19.05_PCA 9 -  Exhibit D March 2010 (2)" xfId="3311"/>
    <cellStyle name="_Chelan Debt Forecast 12.19.05_PCA 9 -  Exhibit D March 2010 (2) 2" xfId="3312"/>
    <cellStyle name="_Chelan Debt Forecast 12.19.05_PCA 9 -  Exhibit D Nov 2010" xfId="3313"/>
    <cellStyle name="_Chelan Debt Forecast 12.19.05_PCA 9 -  Exhibit D Nov 2010 2" xfId="3314"/>
    <cellStyle name="_Chelan Debt Forecast 12.19.05_PCA 9 - Exhibit D at August 2010" xfId="3315"/>
    <cellStyle name="_Chelan Debt Forecast 12.19.05_PCA 9 - Exhibit D at August 2010 2" xfId="3316"/>
    <cellStyle name="_Chelan Debt Forecast 12.19.05_PCA 9 - Exhibit D June 2010 GRC" xfId="3317"/>
    <cellStyle name="_Chelan Debt Forecast 12.19.05_PCA 9 - Exhibit D June 2010 GRC 2" xfId="3318"/>
    <cellStyle name="_Chelan Debt Forecast 12.19.05_Power Costs - Comparison bx Rbtl-Staff-Jt-PC" xfId="3319"/>
    <cellStyle name="_Chelan Debt Forecast 12.19.05_Power Costs - Comparison bx Rbtl-Staff-Jt-PC 2" xfId="3320"/>
    <cellStyle name="_Chelan Debt Forecast 12.19.05_Power Costs - Comparison bx Rbtl-Staff-Jt-PC 2 2" xfId="3321"/>
    <cellStyle name="_Chelan Debt Forecast 12.19.05_Power Costs - Comparison bx Rbtl-Staff-Jt-PC 3" xfId="3322"/>
    <cellStyle name="_Chelan Debt Forecast 12.19.05_Power Costs - Comparison bx Rbtl-Staff-Jt-PC_Adj Bench DR 3 for Initial Briefs (Electric)" xfId="3323"/>
    <cellStyle name="_Chelan Debt Forecast 12.19.05_Power Costs - Comparison bx Rbtl-Staff-Jt-PC_Adj Bench DR 3 for Initial Briefs (Electric) 2" xfId="3324"/>
    <cellStyle name="_Chelan Debt Forecast 12.19.05_Power Costs - Comparison bx Rbtl-Staff-Jt-PC_Adj Bench DR 3 for Initial Briefs (Electric) 2 2" xfId="3325"/>
    <cellStyle name="_Chelan Debt Forecast 12.19.05_Power Costs - Comparison bx Rbtl-Staff-Jt-PC_Adj Bench DR 3 for Initial Briefs (Electric) 3" xfId="3326"/>
    <cellStyle name="_Chelan Debt Forecast 12.19.05_Power Costs - Comparison bx Rbtl-Staff-Jt-PC_Adj Bench DR 3 for Initial Briefs (Electric)_DEM-WP(C) ENERG10C--ctn Mid-C_042010 2010GRC" xfId="3327"/>
    <cellStyle name="_Chelan Debt Forecast 12.19.05_Power Costs - Comparison bx Rbtl-Staff-Jt-PC_DEM-WP(C) ENERG10C--ctn Mid-C_042010 2010GRC" xfId="3328"/>
    <cellStyle name="_Chelan Debt Forecast 12.19.05_Power Costs - Comparison bx Rbtl-Staff-Jt-PC_Electric Rev Req Model (2009 GRC) Rebuttal" xfId="3329"/>
    <cellStyle name="_Chelan Debt Forecast 12.19.05_Power Costs - Comparison bx Rbtl-Staff-Jt-PC_Electric Rev Req Model (2009 GRC) Rebuttal 2" xfId="3330"/>
    <cellStyle name="_Chelan Debt Forecast 12.19.05_Power Costs - Comparison bx Rbtl-Staff-Jt-PC_Electric Rev Req Model (2009 GRC) Rebuttal REmoval of New  WH Solar AdjustMI" xfId="3331"/>
    <cellStyle name="_Chelan Debt Forecast 12.19.05_Power Costs - Comparison bx Rbtl-Staff-Jt-PC_Electric Rev Req Model (2009 GRC) Rebuttal REmoval of New  WH Solar AdjustMI 2" xfId="3332"/>
    <cellStyle name="_Chelan Debt Forecast 12.19.05_Power Costs - Comparison bx Rbtl-Staff-Jt-PC_Electric Rev Req Model (2009 GRC) Rebuttal REmoval of New  WH Solar AdjustMI 2 2" xfId="3333"/>
    <cellStyle name="_Chelan Debt Forecast 12.19.05_Power Costs - Comparison bx Rbtl-Staff-Jt-PC_Electric Rev Req Model (2009 GRC) Rebuttal REmoval of New  WH Solar AdjustMI 3" xfId="3334"/>
    <cellStyle name="_Chelan Debt Forecast 12.19.05_Power Costs - Comparison bx Rbtl-Staff-Jt-PC_Electric Rev Req Model (2009 GRC) Rebuttal REmoval of New  WH Solar AdjustMI_DEM-WP(C) ENERG10C--ctn Mid-C_042010 2010GRC" xfId="3335"/>
    <cellStyle name="_Chelan Debt Forecast 12.19.05_Power Costs - Comparison bx Rbtl-Staff-Jt-PC_Electric Rev Req Model (2009 GRC) Revised 01-18-2010" xfId="3336"/>
    <cellStyle name="_Chelan Debt Forecast 12.19.05_Power Costs - Comparison bx Rbtl-Staff-Jt-PC_Electric Rev Req Model (2009 GRC) Revised 01-18-2010 2" xfId="3337"/>
    <cellStyle name="_Chelan Debt Forecast 12.19.05_Power Costs - Comparison bx Rbtl-Staff-Jt-PC_Electric Rev Req Model (2009 GRC) Revised 01-18-2010 2 2" xfId="3338"/>
    <cellStyle name="_Chelan Debt Forecast 12.19.05_Power Costs - Comparison bx Rbtl-Staff-Jt-PC_Electric Rev Req Model (2009 GRC) Revised 01-18-2010 3" xfId="3339"/>
    <cellStyle name="_Chelan Debt Forecast 12.19.05_Power Costs - Comparison bx Rbtl-Staff-Jt-PC_Electric Rev Req Model (2009 GRC) Revised 01-18-2010_DEM-WP(C) ENERG10C--ctn Mid-C_042010 2010GRC" xfId="3340"/>
    <cellStyle name="_Chelan Debt Forecast 12.19.05_Power Costs - Comparison bx Rbtl-Staff-Jt-PC_Final Order Electric EXHIBIT A-1" xfId="3341"/>
    <cellStyle name="_Chelan Debt Forecast 12.19.05_Power Costs - Comparison bx Rbtl-Staff-Jt-PC_Final Order Electric EXHIBIT A-1 2" xfId="3342"/>
    <cellStyle name="_Chelan Debt Forecast 12.19.05_Production Adj 4.37" xfId="21247"/>
    <cellStyle name="_Chelan Debt Forecast 12.19.05_Purchased Power Adj 4.03" xfId="21248"/>
    <cellStyle name="_Chelan Debt Forecast 12.19.05_Rebuttal Power Costs" xfId="3343"/>
    <cellStyle name="_Chelan Debt Forecast 12.19.05_Rebuttal Power Costs 2" xfId="3344"/>
    <cellStyle name="_Chelan Debt Forecast 12.19.05_Rebuttal Power Costs 2 2" xfId="3345"/>
    <cellStyle name="_Chelan Debt Forecast 12.19.05_Rebuttal Power Costs 3" xfId="3346"/>
    <cellStyle name="_Chelan Debt Forecast 12.19.05_Rebuttal Power Costs_Adj Bench DR 3 for Initial Briefs (Electric)" xfId="3347"/>
    <cellStyle name="_Chelan Debt Forecast 12.19.05_Rebuttal Power Costs_Adj Bench DR 3 for Initial Briefs (Electric) 2" xfId="3348"/>
    <cellStyle name="_Chelan Debt Forecast 12.19.05_Rebuttal Power Costs_Adj Bench DR 3 for Initial Briefs (Electric) 2 2" xfId="3349"/>
    <cellStyle name="_Chelan Debt Forecast 12.19.05_Rebuttal Power Costs_Adj Bench DR 3 for Initial Briefs (Electric) 3" xfId="3350"/>
    <cellStyle name="_Chelan Debt Forecast 12.19.05_Rebuttal Power Costs_Adj Bench DR 3 for Initial Briefs (Electric)_DEM-WP(C) ENERG10C--ctn Mid-C_042010 2010GRC" xfId="3351"/>
    <cellStyle name="_Chelan Debt Forecast 12.19.05_Rebuttal Power Costs_DEM-WP(C) ENERG10C--ctn Mid-C_042010 2010GRC" xfId="3352"/>
    <cellStyle name="_Chelan Debt Forecast 12.19.05_Rebuttal Power Costs_Electric Rev Req Model (2009 GRC) Rebuttal" xfId="3353"/>
    <cellStyle name="_Chelan Debt Forecast 12.19.05_Rebuttal Power Costs_Electric Rev Req Model (2009 GRC) Rebuttal 2" xfId="3354"/>
    <cellStyle name="_Chelan Debt Forecast 12.19.05_Rebuttal Power Costs_Electric Rev Req Model (2009 GRC) Rebuttal REmoval of New  WH Solar AdjustMI" xfId="3355"/>
    <cellStyle name="_Chelan Debt Forecast 12.19.05_Rebuttal Power Costs_Electric Rev Req Model (2009 GRC) Rebuttal REmoval of New  WH Solar AdjustMI 2" xfId="3356"/>
    <cellStyle name="_Chelan Debt Forecast 12.19.05_Rebuttal Power Costs_Electric Rev Req Model (2009 GRC) Rebuttal REmoval of New  WH Solar AdjustMI 2 2" xfId="3357"/>
    <cellStyle name="_Chelan Debt Forecast 12.19.05_Rebuttal Power Costs_Electric Rev Req Model (2009 GRC) Rebuttal REmoval of New  WH Solar AdjustMI 3" xfId="3358"/>
    <cellStyle name="_Chelan Debt Forecast 12.19.05_Rebuttal Power Costs_Electric Rev Req Model (2009 GRC) Rebuttal REmoval of New  WH Solar AdjustMI_DEM-WP(C) ENERG10C--ctn Mid-C_042010 2010GRC" xfId="3359"/>
    <cellStyle name="_Chelan Debt Forecast 12.19.05_Rebuttal Power Costs_Electric Rev Req Model (2009 GRC) Revised 01-18-2010" xfId="3360"/>
    <cellStyle name="_Chelan Debt Forecast 12.19.05_Rebuttal Power Costs_Electric Rev Req Model (2009 GRC) Revised 01-18-2010 2" xfId="3361"/>
    <cellStyle name="_Chelan Debt Forecast 12.19.05_Rebuttal Power Costs_Electric Rev Req Model (2009 GRC) Revised 01-18-2010 2 2" xfId="3362"/>
    <cellStyle name="_Chelan Debt Forecast 12.19.05_Rebuttal Power Costs_Electric Rev Req Model (2009 GRC) Revised 01-18-2010 3" xfId="3363"/>
    <cellStyle name="_Chelan Debt Forecast 12.19.05_Rebuttal Power Costs_Electric Rev Req Model (2009 GRC) Revised 01-18-2010_DEM-WP(C) ENERG10C--ctn Mid-C_042010 2010GRC" xfId="3364"/>
    <cellStyle name="_Chelan Debt Forecast 12.19.05_Rebuttal Power Costs_Final Order Electric EXHIBIT A-1" xfId="3365"/>
    <cellStyle name="_Chelan Debt Forecast 12.19.05_Rebuttal Power Costs_Final Order Electric EXHIBIT A-1 2" xfId="3366"/>
    <cellStyle name="_Chelan Debt Forecast 12.19.05_ROR 5.02" xfId="21249"/>
    <cellStyle name="_Chelan Debt Forecast 12.19.05_Transmission Workbook for May BOD" xfId="3367"/>
    <cellStyle name="_Chelan Debt Forecast 12.19.05_Transmission Workbook for May BOD 2" xfId="3368"/>
    <cellStyle name="_Chelan Debt Forecast 12.19.05_Transmission Workbook for May BOD 2 2" xfId="3369"/>
    <cellStyle name="_Chelan Debt Forecast 12.19.05_Transmission Workbook for May BOD 3" xfId="3370"/>
    <cellStyle name="_Chelan Debt Forecast 12.19.05_Transmission Workbook for May BOD_DEM-WP(C) ENERG10C--ctn Mid-C_042010 2010GRC" xfId="3371"/>
    <cellStyle name="_Chelan Debt Forecast 12.19.05_Wind Integration 10GRC" xfId="3372"/>
    <cellStyle name="_Chelan Debt Forecast 12.19.05_Wind Integration 10GRC 2" xfId="3373"/>
    <cellStyle name="_Chelan Debt Forecast 12.19.05_Wind Integration 10GRC 2 2" xfId="3374"/>
    <cellStyle name="_Chelan Debt Forecast 12.19.05_Wind Integration 10GRC 3" xfId="3375"/>
    <cellStyle name="_Chelan Debt Forecast 12.19.05_Wind Integration 10GRC_DEM-WP(C) ENERG10C--ctn Mid-C_042010 2010GRC" xfId="3376"/>
    <cellStyle name="_x0013__Colstrip 1&amp;2 Annual O&amp;M Budgets" xfId="3377"/>
    <cellStyle name="_x0013__Colstrip 1&amp;2 Annual O&amp;M Budgets 2" xfId="3378"/>
    <cellStyle name="_x0013__Colstrip 1&amp;2 Annual O&amp;M Budgets 3" xfId="3379"/>
    <cellStyle name="_Colstrip FOR - GADS 1990-2009" xfId="3380"/>
    <cellStyle name="_Colstrip FOR - GADS 1990-2009 2" xfId="3381"/>
    <cellStyle name="_Colstrip FOR - GADS 1990-2009 2 2" xfId="3382"/>
    <cellStyle name="_Colstrip FOR - GADS 1990-2009 2 3" xfId="3383"/>
    <cellStyle name="_Colstrip FOR - GADS 1990-2009 3" xfId="3384"/>
    <cellStyle name="_Colstrip FOR - GADS 1990-2009 3 2" xfId="3385"/>
    <cellStyle name="_Colstrip FOR - GADS 1990-2009 4" xfId="3386"/>
    <cellStyle name="_Colstrip FOR - GADS 1990-2009 4 2" xfId="3387"/>
    <cellStyle name="_Colstrip FOR - GADS 1990-2009 5" xfId="3388"/>
    <cellStyle name="_Colstrip FOR - GADS 1990-2009 5 2" xfId="3389"/>
    <cellStyle name="_Colstrip FOR - GADS 1990-2009 6" xfId="3390"/>
    <cellStyle name="_Colstrip FOR - GADS 1990-2009 6 2" xfId="3391"/>
    <cellStyle name="_compare wind integration" xfId="3392"/>
    <cellStyle name="_x0013__Confidential Material" xfId="3393"/>
    <cellStyle name="_x0013__Confidential Material 2" xfId="3394"/>
    <cellStyle name="_Copy 11-9 Sumas Proforma - Current" xfId="3395"/>
    <cellStyle name="_Costs not in AURORA 06GRC" xfId="3396"/>
    <cellStyle name="_Costs not in AURORA 06GRC 2" xfId="3397"/>
    <cellStyle name="_Costs not in AURORA 06GRC 2 2" xfId="3398"/>
    <cellStyle name="_Costs not in AURORA 06GRC 2 2 2" xfId="3399"/>
    <cellStyle name="_Costs not in AURORA 06GRC 2 3" xfId="3400"/>
    <cellStyle name="_Costs not in AURORA 06GRC 3" xfId="3401"/>
    <cellStyle name="_Costs not in AURORA 06GRC 3 2" xfId="3402"/>
    <cellStyle name="_Costs not in AURORA 06GRC 4" xfId="3403"/>
    <cellStyle name="_Costs not in AURORA 06GRC 4 2" xfId="3404"/>
    <cellStyle name="_Costs not in AURORA 06GRC 4 3" xfId="3405"/>
    <cellStyle name="_Costs not in AURORA 06GRC 5" xfId="3406"/>
    <cellStyle name="_Costs not in AURORA 06GRC 5 2" xfId="3407"/>
    <cellStyle name="_Costs not in AURORA 06GRC 6" xfId="3408"/>
    <cellStyle name="_Costs not in AURORA 06GRC 6 2" xfId="3409"/>
    <cellStyle name="_Costs not in AURORA 06GRC 7" xfId="3410"/>
    <cellStyle name="_Costs not in AURORA 06GRC 7 2" xfId="3411"/>
    <cellStyle name="_Costs not in AURORA 06GRC_04 07E Wild Horse Wind Expansion (C) (2)" xfId="3412"/>
    <cellStyle name="_Costs not in AURORA 06GRC_04 07E Wild Horse Wind Expansion (C) (2) 2" xfId="3413"/>
    <cellStyle name="_Costs not in AURORA 06GRC_04 07E Wild Horse Wind Expansion (C) (2) 2 2" xfId="3414"/>
    <cellStyle name="_Costs not in AURORA 06GRC_04 07E Wild Horse Wind Expansion (C) (2) 3" xfId="3415"/>
    <cellStyle name="_Costs not in AURORA 06GRC_04 07E Wild Horse Wind Expansion (C) (2)_Adj Bench DR 3 for Initial Briefs (Electric)" xfId="3416"/>
    <cellStyle name="_Costs not in AURORA 06GRC_04 07E Wild Horse Wind Expansion (C) (2)_Adj Bench DR 3 for Initial Briefs (Electric) 2" xfId="3417"/>
    <cellStyle name="_Costs not in AURORA 06GRC_04 07E Wild Horse Wind Expansion (C) (2)_Adj Bench DR 3 for Initial Briefs (Electric) 2 2" xfId="3418"/>
    <cellStyle name="_Costs not in AURORA 06GRC_04 07E Wild Horse Wind Expansion (C) (2)_Adj Bench DR 3 for Initial Briefs (Electric) 3" xfId="3419"/>
    <cellStyle name="_Costs not in AURORA 06GRC_04 07E Wild Horse Wind Expansion (C) (2)_Adj Bench DR 3 for Initial Briefs (Electric)_DEM-WP(C) ENERG10C--ctn Mid-C_042010 2010GRC" xfId="3420"/>
    <cellStyle name="_Costs not in AURORA 06GRC_04 07E Wild Horse Wind Expansion (C) (2)_Book1" xfId="3421"/>
    <cellStyle name="_Costs not in AURORA 06GRC_04 07E Wild Horse Wind Expansion (C) (2)_DEM-WP(C) ENERG10C--ctn Mid-C_042010 2010GRC" xfId="3422"/>
    <cellStyle name="_Costs not in AURORA 06GRC_04 07E Wild Horse Wind Expansion (C) (2)_Electric Rev Req Model (2009 GRC) " xfId="3423"/>
    <cellStyle name="_Costs not in AURORA 06GRC_04 07E Wild Horse Wind Expansion (C) (2)_Electric Rev Req Model (2009 GRC)  2" xfId="3424"/>
    <cellStyle name="_Costs not in AURORA 06GRC_04 07E Wild Horse Wind Expansion (C) (2)_Electric Rev Req Model (2009 GRC)  2 2" xfId="3425"/>
    <cellStyle name="_Costs not in AURORA 06GRC_04 07E Wild Horse Wind Expansion (C) (2)_Electric Rev Req Model (2009 GRC)  3" xfId="3426"/>
    <cellStyle name="_Costs not in AURORA 06GRC_04 07E Wild Horse Wind Expansion (C) (2)_Electric Rev Req Model (2009 GRC) _DEM-WP(C) ENERG10C--ctn Mid-C_042010 2010GRC" xfId="3427"/>
    <cellStyle name="_Costs not in AURORA 06GRC_04 07E Wild Horse Wind Expansion (C) (2)_Electric Rev Req Model (2009 GRC) Rebuttal" xfId="3428"/>
    <cellStyle name="_Costs not in AURORA 06GRC_04 07E Wild Horse Wind Expansion (C) (2)_Electric Rev Req Model (2009 GRC) Rebuttal 2" xfId="3429"/>
    <cellStyle name="_Costs not in AURORA 06GRC_04 07E Wild Horse Wind Expansion (C) (2)_Electric Rev Req Model (2009 GRC) Rebuttal REmoval of New  WH Solar AdjustMI" xfId="3430"/>
    <cellStyle name="_Costs not in AURORA 06GRC_04 07E Wild Horse Wind Expansion (C) (2)_Electric Rev Req Model (2009 GRC) Rebuttal REmoval of New  WH Solar AdjustMI 2" xfId="3431"/>
    <cellStyle name="_Costs not in AURORA 06GRC_04 07E Wild Horse Wind Expansion (C) (2)_Electric Rev Req Model (2009 GRC) Rebuttal REmoval of New  WH Solar AdjustMI 2 2" xfId="3432"/>
    <cellStyle name="_Costs not in AURORA 06GRC_04 07E Wild Horse Wind Expansion (C) (2)_Electric Rev Req Model (2009 GRC) Rebuttal REmoval of New  WH Solar AdjustMI 3" xfId="3433"/>
    <cellStyle name="_Costs not in AURORA 06GRC_04 07E Wild Horse Wind Expansion (C) (2)_Electric Rev Req Model (2009 GRC) Rebuttal REmoval of New  WH Solar AdjustMI_DEM-WP(C) ENERG10C--ctn Mid-C_042010 2010GRC" xfId="3434"/>
    <cellStyle name="_Costs not in AURORA 06GRC_04 07E Wild Horse Wind Expansion (C) (2)_Electric Rev Req Model (2009 GRC) Revised 01-18-2010" xfId="3435"/>
    <cellStyle name="_Costs not in AURORA 06GRC_04 07E Wild Horse Wind Expansion (C) (2)_Electric Rev Req Model (2009 GRC) Revised 01-18-2010 2" xfId="3436"/>
    <cellStyle name="_Costs not in AURORA 06GRC_04 07E Wild Horse Wind Expansion (C) (2)_Electric Rev Req Model (2009 GRC) Revised 01-18-2010 2 2" xfId="3437"/>
    <cellStyle name="_Costs not in AURORA 06GRC_04 07E Wild Horse Wind Expansion (C) (2)_Electric Rev Req Model (2009 GRC) Revised 01-18-2010 3" xfId="3438"/>
    <cellStyle name="_Costs not in AURORA 06GRC_04 07E Wild Horse Wind Expansion (C) (2)_Electric Rev Req Model (2009 GRC) Revised 01-18-2010_DEM-WP(C) ENERG10C--ctn Mid-C_042010 2010GRC" xfId="3439"/>
    <cellStyle name="_Costs not in AURORA 06GRC_04 07E Wild Horse Wind Expansion (C) (2)_Electric Rev Req Model (2010 GRC)" xfId="3440"/>
    <cellStyle name="_Costs not in AURORA 06GRC_04 07E Wild Horse Wind Expansion (C) (2)_Electric Rev Req Model (2010 GRC) SF" xfId="3441"/>
    <cellStyle name="_Costs not in AURORA 06GRC_04 07E Wild Horse Wind Expansion (C) (2)_Final Order Electric EXHIBIT A-1" xfId="3442"/>
    <cellStyle name="_Costs not in AURORA 06GRC_04 07E Wild Horse Wind Expansion (C) (2)_Final Order Electric EXHIBIT A-1 2" xfId="3443"/>
    <cellStyle name="_Costs not in AURORA 06GRC_04 07E Wild Horse Wind Expansion (C) (2)_TENASKA REGULATORY ASSET" xfId="3444"/>
    <cellStyle name="_Costs not in AURORA 06GRC_04 07E Wild Horse Wind Expansion (C) (2)_TENASKA REGULATORY ASSET 2" xfId="3445"/>
    <cellStyle name="_Costs not in AURORA 06GRC_16.37E Wild Horse Expansion DeferralRevwrkingfile SF" xfId="3446"/>
    <cellStyle name="_Costs not in AURORA 06GRC_16.37E Wild Horse Expansion DeferralRevwrkingfile SF 2" xfId="3447"/>
    <cellStyle name="_Costs not in AURORA 06GRC_16.37E Wild Horse Expansion DeferralRevwrkingfile SF 2 2" xfId="3448"/>
    <cellStyle name="_Costs not in AURORA 06GRC_16.37E Wild Horse Expansion DeferralRevwrkingfile SF 3" xfId="3449"/>
    <cellStyle name="_Costs not in AURORA 06GRC_16.37E Wild Horse Expansion DeferralRevwrkingfile SF_DEM-WP(C) ENERG10C--ctn Mid-C_042010 2010GRC" xfId="3450"/>
    <cellStyle name="_Costs not in AURORA 06GRC_2009 Compliance Filing PCA Exhibits for GRC" xfId="3451"/>
    <cellStyle name="_Costs not in AURORA 06GRC_2009 Compliance Filing PCA Exhibits for GRC 2" xfId="3452"/>
    <cellStyle name="_Costs not in AURORA 06GRC_2009 GRC Compl Filing - Exhibit D" xfId="3453"/>
    <cellStyle name="_Costs not in AURORA 06GRC_2009 GRC Compl Filing - Exhibit D 2" xfId="3454"/>
    <cellStyle name="_Costs not in AURORA 06GRC_2009 GRC Compl Filing - Exhibit D 2 2" xfId="3455"/>
    <cellStyle name="_Costs not in AURORA 06GRC_2009 GRC Compl Filing - Exhibit D 3" xfId="3456"/>
    <cellStyle name="_Costs not in AURORA 06GRC_2009 GRC Compl Filing - Exhibit D_DEM-WP(C) ENERG10C--ctn Mid-C_042010 2010GRC" xfId="3457"/>
    <cellStyle name="_Costs not in AURORA 06GRC_3.01 Income Statement" xfId="3458"/>
    <cellStyle name="_Costs not in AURORA 06GRC_4 31 Regulatory Assets and Liabilities  7 06- Exhibit D" xfId="3459"/>
    <cellStyle name="_Costs not in AURORA 06GRC_4 31 Regulatory Assets and Liabilities  7 06- Exhibit D 2" xfId="3460"/>
    <cellStyle name="_Costs not in AURORA 06GRC_4 31 Regulatory Assets and Liabilities  7 06- Exhibit D 2 2" xfId="3461"/>
    <cellStyle name="_Costs not in AURORA 06GRC_4 31 Regulatory Assets and Liabilities  7 06- Exhibit D 3" xfId="3462"/>
    <cellStyle name="_Costs not in AURORA 06GRC_4 31 Regulatory Assets and Liabilities  7 06- Exhibit D_DEM-WP(C) ENERG10C--ctn Mid-C_042010 2010GRC" xfId="3463"/>
    <cellStyle name="_Costs not in AURORA 06GRC_4 31 Regulatory Assets and Liabilities  7 06- Exhibit D_NIM Summary" xfId="3464"/>
    <cellStyle name="_Costs not in AURORA 06GRC_4 31 Regulatory Assets and Liabilities  7 06- Exhibit D_NIM Summary 2" xfId="3465"/>
    <cellStyle name="_Costs not in AURORA 06GRC_4 31 Regulatory Assets and Liabilities  7 06- Exhibit D_NIM Summary 2 2" xfId="3466"/>
    <cellStyle name="_Costs not in AURORA 06GRC_4 31 Regulatory Assets and Liabilities  7 06- Exhibit D_NIM Summary 3" xfId="3467"/>
    <cellStyle name="_Costs not in AURORA 06GRC_4 31 Regulatory Assets and Liabilities  7 06- Exhibit D_NIM Summary_DEM-WP(C) ENERG10C--ctn Mid-C_042010 2010GRC" xfId="3468"/>
    <cellStyle name="_Costs not in AURORA 06GRC_4 31E Reg Asset  Liab and EXH D" xfId="3469"/>
    <cellStyle name="_Costs not in AURORA 06GRC_4 31E Reg Asset  Liab and EXH D _ Aug 10 Filing (2)" xfId="3470"/>
    <cellStyle name="_Costs not in AURORA 06GRC_4 31E Reg Asset  Liab and EXH D _ Aug 10 Filing (2) 2" xfId="3471"/>
    <cellStyle name="_Costs not in AURORA 06GRC_4 31E Reg Asset  Liab and EXH D 2" xfId="3472"/>
    <cellStyle name="_Costs not in AURORA 06GRC_4 31E Reg Asset  Liab and EXH D 3" xfId="3473"/>
    <cellStyle name="_Costs not in AURORA 06GRC_4 32 Regulatory Assets and Liabilities  7 06- Exhibit D" xfId="3474"/>
    <cellStyle name="_Costs not in AURORA 06GRC_4 32 Regulatory Assets and Liabilities  7 06- Exhibit D 2" xfId="3475"/>
    <cellStyle name="_Costs not in AURORA 06GRC_4 32 Regulatory Assets and Liabilities  7 06- Exhibit D 2 2" xfId="3476"/>
    <cellStyle name="_Costs not in AURORA 06GRC_4 32 Regulatory Assets and Liabilities  7 06- Exhibit D 3" xfId="3477"/>
    <cellStyle name="_Costs not in AURORA 06GRC_4 32 Regulatory Assets and Liabilities  7 06- Exhibit D_DEM-WP(C) ENERG10C--ctn Mid-C_042010 2010GRC" xfId="3478"/>
    <cellStyle name="_Costs not in AURORA 06GRC_4 32 Regulatory Assets and Liabilities  7 06- Exhibit D_NIM Summary" xfId="3479"/>
    <cellStyle name="_Costs not in AURORA 06GRC_4 32 Regulatory Assets and Liabilities  7 06- Exhibit D_NIM Summary 2" xfId="3480"/>
    <cellStyle name="_Costs not in AURORA 06GRC_4 32 Regulatory Assets and Liabilities  7 06- Exhibit D_NIM Summary 2 2" xfId="3481"/>
    <cellStyle name="_Costs not in AURORA 06GRC_4 32 Regulatory Assets and Liabilities  7 06- Exhibit D_NIM Summary 3" xfId="3482"/>
    <cellStyle name="_Costs not in AURORA 06GRC_4 32 Regulatory Assets and Liabilities  7 06- Exhibit D_NIM Summary_DEM-WP(C) ENERG10C--ctn Mid-C_042010 2010GRC" xfId="3483"/>
    <cellStyle name="_Costs not in AURORA 06GRC_AURORA Total New" xfId="3484"/>
    <cellStyle name="_Costs not in AURORA 06GRC_AURORA Total New 2" xfId="3485"/>
    <cellStyle name="_Costs not in AURORA 06GRC_AURORA Total New 2 2" xfId="3486"/>
    <cellStyle name="_Costs not in AURORA 06GRC_AURORA Total New 3" xfId="3487"/>
    <cellStyle name="_Costs not in AURORA 06GRC_Book2" xfId="3488"/>
    <cellStyle name="_Costs not in AURORA 06GRC_Book2 2" xfId="3489"/>
    <cellStyle name="_Costs not in AURORA 06GRC_Book2 2 2" xfId="3490"/>
    <cellStyle name="_Costs not in AURORA 06GRC_Book2 3" xfId="3491"/>
    <cellStyle name="_Costs not in AURORA 06GRC_Book2_Adj Bench DR 3 for Initial Briefs (Electric)" xfId="3492"/>
    <cellStyle name="_Costs not in AURORA 06GRC_Book2_Adj Bench DR 3 for Initial Briefs (Electric) 2" xfId="3493"/>
    <cellStyle name="_Costs not in AURORA 06GRC_Book2_Adj Bench DR 3 for Initial Briefs (Electric) 2 2" xfId="3494"/>
    <cellStyle name="_Costs not in AURORA 06GRC_Book2_Adj Bench DR 3 for Initial Briefs (Electric) 3" xfId="3495"/>
    <cellStyle name="_Costs not in AURORA 06GRC_Book2_Adj Bench DR 3 for Initial Briefs (Electric)_DEM-WP(C) ENERG10C--ctn Mid-C_042010 2010GRC" xfId="3496"/>
    <cellStyle name="_Costs not in AURORA 06GRC_Book2_DEM-WP(C) ENERG10C--ctn Mid-C_042010 2010GRC" xfId="3497"/>
    <cellStyle name="_Costs not in AURORA 06GRC_Book2_Electric Rev Req Model (2009 GRC) Rebuttal" xfId="3498"/>
    <cellStyle name="_Costs not in AURORA 06GRC_Book2_Electric Rev Req Model (2009 GRC) Rebuttal 2" xfId="3499"/>
    <cellStyle name="_Costs not in AURORA 06GRC_Book2_Electric Rev Req Model (2009 GRC) Rebuttal REmoval of New  WH Solar AdjustMI" xfId="3500"/>
    <cellStyle name="_Costs not in AURORA 06GRC_Book2_Electric Rev Req Model (2009 GRC) Rebuttal REmoval of New  WH Solar AdjustMI 2" xfId="3501"/>
    <cellStyle name="_Costs not in AURORA 06GRC_Book2_Electric Rev Req Model (2009 GRC) Rebuttal REmoval of New  WH Solar AdjustMI 2 2" xfId="3502"/>
    <cellStyle name="_Costs not in AURORA 06GRC_Book2_Electric Rev Req Model (2009 GRC) Rebuttal REmoval of New  WH Solar AdjustMI 3" xfId="3503"/>
    <cellStyle name="_Costs not in AURORA 06GRC_Book2_Electric Rev Req Model (2009 GRC) Rebuttal REmoval of New  WH Solar AdjustMI_DEM-WP(C) ENERG10C--ctn Mid-C_042010 2010GRC" xfId="3504"/>
    <cellStyle name="_Costs not in AURORA 06GRC_Book2_Electric Rev Req Model (2009 GRC) Revised 01-18-2010" xfId="3505"/>
    <cellStyle name="_Costs not in AURORA 06GRC_Book2_Electric Rev Req Model (2009 GRC) Revised 01-18-2010 2" xfId="3506"/>
    <cellStyle name="_Costs not in AURORA 06GRC_Book2_Electric Rev Req Model (2009 GRC) Revised 01-18-2010 2 2" xfId="3507"/>
    <cellStyle name="_Costs not in AURORA 06GRC_Book2_Electric Rev Req Model (2009 GRC) Revised 01-18-2010 3" xfId="3508"/>
    <cellStyle name="_Costs not in AURORA 06GRC_Book2_Electric Rev Req Model (2009 GRC) Revised 01-18-2010_DEM-WP(C) ENERG10C--ctn Mid-C_042010 2010GRC" xfId="3509"/>
    <cellStyle name="_Costs not in AURORA 06GRC_Book2_Final Order Electric EXHIBIT A-1" xfId="3510"/>
    <cellStyle name="_Costs not in AURORA 06GRC_Book2_Final Order Electric EXHIBIT A-1 2" xfId="3511"/>
    <cellStyle name="_Costs not in AURORA 06GRC_Book4" xfId="3512"/>
    <cellStyle name="_Costs not in AURORA 06GRC_Book4 2" xfId="3513"/>
    <cellStyle name="_Costs not in AURORA 06GRC_Book4 2 2" xfId="3514"/>
    <cellStyle name="_Costs not in AURORA 06GRC_Book4 3" xfId="3515"/>
    <cellStyle name="_Costs not in AURORA 06GRC_Book4_DEM-WP(C) ENERG10C--ctn Mid-C_042010 2010GRC" xfId="3516"/>
    <cellStyle name="_Costs not in AURORA 06GRC_Book9" xfId="3517"/>
    <cellStyle name="_Costs not in AURORA 06GRC_Book9 2" xfId="3518"/>
    <cellStyle name="_Costs not in AURORA 06GRC_Book9 2 2" xfId="3519"/>
    <cellStyle name="_Costs not in AURORA 06GRC_Book9 3" xfId="3520"/>
    <cellStyle name="_Costs not in AURORA 06GRC_Book9_DEM-WP(C) ENERG10C--ctn Mid-C_042010 2010GRC" xfId="3521"/>
    <cellStyle name="_Costs not in AURORA 06GRC_Check the Interest Calculation" xfId="3522"/>
    <cellStyle name="_Costs not in AURORA 06GRC_Check the Interest Calculation_Scenario 1 REC vs PTC Offset" xfId="3523"/>
    <cellStyle name="_Costs not in AURORA 06GRC_Check the Interest Calculation_Scenario 3" xfId="3524"/>
    <cellStyle name="_Costs not in AURORA 06GRC_Chelan PUD Power Costs (8-10)" xfId="3525"/>
    <cellStyle name="_Costs not in AURORA 06GRC_Chelan PUD Power Costs (8-10) 2" xfId="3526"/>
    <cellStyle name="_Costs not in AURORA 06GRC_DEM-WP(C) Chelan Power Costs" xfId="3527"/>
    <cellStyle name="_Costs not in AURORA 06GRC_DEM-WP(C) Chelan Power Costs 2" xfId="3528"/>
    <cellStyle name="_Costs not in AURORA 06GRC_DEM-WP(C) ENERG10C--ctn Mid-C_042010 2010GRC" xfId="3529"/>
    <cellStyle name="_Costs not in AURORA 06GRC_DEM-WP(C) Gas Transport 2010GRC" xfId="3530"/>
    <cellStyle name="_Costs not in AURORA 06GRC_DEM-WP(C) Gas Transport 2010GRC 2" xfId="3531"/>
    <cellStyle name="_Costs not in AURORA 06GRC_Exh A-1 resulting from UE-112050 effective Jan 1 2012" xfId="3532"/>
    <cellStyle name="_Costs not in AURORA 06GRC_Exh G - Klamath Peaker PPA fr C Locke 2-12" xfId="3533"/>
    <cellStyle name="_Costs not in AURORA 06GRC_Exhibit A-1 effective 4-1-11 fr S Free 12-11" xfId="3534"/>
    <cellStyle name="_Costs not in AURORA 06GRC_Exhibit D fr R Gho 12-31-08" xfId="3535"/>
    <cellStyle name="_Costs not in AURORA 06GRC_Exhibit D fr R Gho 12-31-08 2" xfId="3536"/>
    <cellStyle name="_Costs not in AURORA 06GRC_Exhibit D fr R Gho 12-31-08 2 2" xfId="3537"/>
    <cellStyle name="_Costs not in AURORA 06GRC_Exhibit D fr R Gho 12-31-08 3" xfId="3538"/>
    <cellStyle name="_Costs not in AURORA 06GRC_Exhibit D fr R Gho 12-31-08 v2" xfId="3539"/>
    <cellStyle name="_Costs not in AURORA 06GRC_Exhibit D fr R Gho 12-31-08 v2 2" xfId="3540"/>
    <cellStyle name="_Costs not in AURORA 06GRC_Exhibit D fr R Gho 12-31-08 v2 2 2" xfId="3541"/>
    <cellStyle name="_Costs not in AURORA 06GRC_Exhibit D fr R Gho 12-31-08 v2 3" xfId="3542"/>
    <cellStyle name="_Costs not in AURORA 06GRC_Exhibit D fr R Gho 12-31-08 v2_DEM-WP(C) ENERG10C--ctn Mid-C_042010 2010GRC" xfId="3543"/>
    <cellStyle name="_Costs not in AURORA 06GRC_Exhibit D fr R Gho 12-31-08 v2_NIM Summary" xfId="3544"/>
    <cellStyle name="_Costs not in AURORA 06GRC_Exhibit D fr R Gho 12-31-08 v2_NIM Summary 2" xfId="3545"/>
    <cellStyle name="_Costs not in AURORA 06GRC_Exhibit D fr R Gho 12-31-08 v2_NIM Summary 2 2" xfId="3546"/>
    <cellStyle name="_Costs not in AURORA 06GRC_Exhibit D fr R Gho 12-31-08 v2_NIM Summary 3" xfId="3547"/>
    <cellStyle name="_Costs not in AURORA 06GRC_Exhibit D fr R Gho 12-31-08 v2_NIM Summary_DEM-WP(C) ENERG10C--ctn Mid-C_042010 2010GRC" xfId="3548"/>
    <cellStyle name="_Costs not in AURORA 06GRC_Exhibit D fr R Gho 12-31-08_DEM-WP(C) ENERG10C--ctn Mid-C_042010 2010GRC" xfId="3549"/>
    <cellStyle name="_Costs not in AURORA 06GRC_Exhibit D fr R Gho 12-31-08_NIM Summary" xfId="3550"/>
    <cellStyle name="_Costs not in AURORA 06GRC_Exhibit D fr R Gho 12-31-08_NIM Summary 2" xfId="3551"/>
    <cellStyle name="_Costs not in AURORA 06GRC_Exhibit D fr R Gho 12-31-08_NIM Summary 2 2" xfId="3552"/>
    <cellStyle name="_Costs not in AURORA 06GRC_Exhibit D fr R Gho 12-31-08_NIM Summary 3" xfId="3553"/>
    <cellStyle name="_Costs not in AURORA 06GRC_Exhibit D fr R Gho 12-31-08_NIM Summary_DEM-WP(C) ENERG10C--ctn Mid-C_042010 2010GRC" xfId="3554"/>
    <cellStyle name="_Costs not in AURORA 06GRC_Hopkins Ridge Prepaid Tran - Interest Earned RY 12ME Feb  '11" xfId="3555"/>
    <cellStyle name="_Costs not in AURORA 06GRC_Hopkins Ridge Prepaid Tran - Interest Earned RY 12ME Feb  '11 2" xfId="3556"/>
    <cellStyle name="_Costs not in AURORA 06GRC_Hopkins Ridge Prepaid Tran - Interest Earned RY 12ME Feb  '11 2 2" xfId="3557"/>
    <cellStyle name="_Costs not in AURORA 06GRC_Hopkins Ridge Prepaid Tran - Interest Earned RY 12ME Feb  '11 3" xfId="3558"/>
    <cellStyle name="_Costs not in AURORA 06GRC_Hopkins Ridge Prepaid Tran - Interest Earned RY 12ME Feb  '11_DEM-WP(C) ENERG10C--ctn Mid-C_042010 2010GRC" xfId="3559"/>
    <cellStyle name="_Costs not in AURORA 06GRC_Hopkins Ridge Prepaid Tran - Interest Earned RY 12ME Feb  '11_NIM Summary" xfId="3560"/>
    <cellStyle name="_Costs not in AURORA 06GRC_Hopkins Ridge Prepaid Tran - Interest Earned RY 12ME Feb  '11_NIM Summary 2" xfId="3561"/>
    <cellStyle name="_Costs not in AURORA 06GRC_Hopkins Ridge Prepaid Tran - Interest Earned RY 12ME Feb  '11_NIM Summary 2 2" xfId="3562"/>
    <cellStyle name="_Costs not in AURORA 06GRC_Hopkins Ridge Prepaid Tran - Interest Earned RY 12ME Feb  '11_NIM Summary 3" xfId="3563"/>
    <cellStyle name="_Costs not in AURORA 06GRC_Hopkins Ridge Prepaid Tran - Interest Earned RY 12ME Feb  '11_NIM Summary_DEM-WP(C) ENERG10C--ctn Mid-C_042010 2010GRC" xfId="3564"/>
    <cellStyle name="_Costs not in AURORA 06GRC_Hopkins Ridge Prepaid Tran - Interest Earned RY 12ME Feb  '11_Transmission Workbook for May BOD" xfId="3565"/>
    <cellStyle name="_Costs not in AURORA 06GRC_Hopkins Ridge Prepaid Tran - Interest Earned RY 12ME Feb  '11_Transmission Workbook for May BOD 2" xfId="3566"/>
    <cellStyle name="_Costs not in AURORA 06GRC_Hopkins Ridge Prepaid Tran - Interest Earned RY 12ME Feb  '11_Transmission Workbook for May BOD 2 2" xfId="3567"/>
    <cellStyle name="_Costs not in AURORA 06GRC_Hopkins Ridge Prepaid Tran - Interest Earned RY 12ME Feb  '11_Transmission Workbook for May BOD 3" xfId="3568"/>
    <cellStyle name="_Costs not in AURORA 06GRC_Hopkins Ridge Prepaid Tran - Interest Earned RY 12ME Feb  '11_Transmission Workbook for May BOD_DEM-WP(C) ENERG10C--ctn Mid-C_042010 2010GRC" xfId="3569"/>
    <cellStyle name="_Costs not in AURORA 06GRC_Mint Farm Generation BPA" xfId="3570"/>
    <cellStyle name="_Costs not in AURORA 06GRC_NIM Summary" xfId="3571"/>
    <cellStyle name="_Costs not in AURORA 06GRC_NIM Summary 09GRC" xfId="3572"/>
    <cellStyle name="_Costs not in AURORA 06GRC_NIM Summary 09GRC 2" xfId="3573"/>
    <cellStyle name="_Costs not in AURORA 06GRC_NIM Summary 09GRC 2 2" xfId="3574"/>
    <cellStyle name="_Costs not in AURORA 06GRC_NIM Summary 09GRC 3" xfId="3575"/>
    <cellStyle name="_Costs not in AURORA 06GRC_NIM Summary 09GRC_DEM-WP(C) ENERG10C--ctn Mid-C_042010 2010GRC" xfId="3576"/>
    <cellStyle name="_Costs not in AURORA 06GRC_NIM Summary 10" xfId="3577"/>
    <cellStyle name="_Costs not in AURORA 06GRC_NIM Summary 11" xfId="3578"/>
    <cellStyle name="_Costs not in AURORA 06GRC_NIM Summary 12" xfId="3579"/>
    <cellStyle name="_Costs not in AURORA 06GRC_NIM Summary 13" xfId="3580"/>
    <cellStyle name="_Costs not in AURORA 06GRC_NIM Summary 14" xfId="3581"/>
    <cellStyle name="_Costs not in AURORA 06GRC_NIM Summary 15" xfId="3582"/>
    <cellStyle name="_Costs not in AURORA 06GRC_NIM Summary 16" xfId="3583"/>
    <cellStyle name="_Costs not in AURORA 06GRC_NIM Summary 17" xfId="3584"/>
    <cellStyle name="_Costs not in AURORA 06GRC_NIM Summary 18" xfId="3585"/>
    <cellStyle name="_Costs not in AURORA 06GRC_NIM Summary 19" xfId="3586"/>
    <cellStyle name="_Costs not in AURORA 06GRC_NIM Summary 2" xfId="3587"/>
    <cellStyle name="_Costs not in AURORA 06GRC_NIM Summary 2 2" xfId="3588"/>
    <cellStyle name="_Costs not in AURORA 06GRC_NIM Summary 20" xfId="3589"/>
    <cellStyle name="_Costs not in AURORA 06GRC_NIM Summary 21" xfId="3590"/>
    <cellStyle name="_Costs not in AURORA 06GRC_NIM Summary 22" xfId="3591"/>
    <cellStyle name="_Costs not in AURORA 06GRC_NIM Summary 23" xfId="3592"/>
    <cellStyle name="_Costs not in AURORA 06GRC_NIM Summary 24" xfId="3593"/>
    <cellStyle name="_Costs not in AURORA 06GRC_NIM Summary 25" xfId="3594"/>
    <cellStyle name="_Costs not in AURORA 06GRC_NIM Summary 26" xfId="3595"/>
    <cellStyle name="_Costs not in AURORA 06GRC_NIM Summary 27" xfId="3596"/>
    <cellStyle name="_Costs not in AURORA 06GRC_NIM Summary 28" xfId="3597"/>
    <cellStyle name="_Costs not in AURORA 06GRC_NIM Summary 29" xfId="3598"/>
    <cellStyle name="_Costs not in AURORA 06GRC_NIM Summary 3" xfId="3599"/>
    <cellStyle name="_Costs not in AURORA 06GRC_NIM Summary 30" xfId="3600"/>
    <cellStyle name="_Costs not in AURORA 06GRC_NIM Summary 31" xfId="3601"/>
    <cellStyle name="_Costs not in AURORA 06GRC_NIM Summary 32" xfId="3602"/>
    <cellStyle name="_Costs not in AURORA 06GRC_NIM Summary 33" xfId="3603"/>
    <cellStyle name="_Costs not in AURORA 06GRC_NIM Summary 34" xfId="3604"/>
    <cellStyle name="_Costs not in AURORA 06GRC_NIM Summary 35" xfId="3605"/>
    <cellStyle name="_Costs not in AURORA 06GRC_NIM Summary 36" xfId="3606"/>
    <cellStyle name="_Costs not in AURORA 06GRC_NIM Summary 37" xfId="3607"/>
    <cellStyle name="_Costs not in AURORA 06GRC_NIM Summary 38" xfId="3608"/>
    <cellStyle name="_Costs not in AURORA 06GRC_NIM Summary 39" xfId="3609"/>
    <cellStyle name="_Costs not in AURORA 06GRC_NIM Summary 4" xfId="3610"/>
    <cellStyle name="_Costs not in AURORA 06GRC_NIM Summary 40" xfId="3611"/>
    <cellStyle name="_Costs not in AURORA 06GRC_NIM Summary 41" xfId="3612"/>
    <cellStyle name="_Costs not in AURORA 06GRC_NIM Summary 42" xfId="3613"/>
    <cellStyle name="_Costs not in AURORA 06GRC_NIM Summary 43" xfId="3614"/>
    <cellStyle name="_Costs not in AURORA 06GRC_NIM Summary 44" xfId="3615"/>
    <cellStyle name="_Costs not in AURORA 06GRC_NIM Summary 45" xfId="3616"/>
    <cellStyle name="_Costs not in AURORA 06GRC_NIM Summary 46" xfId="3617"/>
    <cellStyle name="_Costs not in AURORA 06GRC_NIM Summary 47" xfId="3618"/>
    <cellStyle name="_Costs not in AURORA 06GRC_NIM Summary 48" xfId="3619"/>
    <cellStyle name="_Costs not in AURORA 06GRC_NIM Summary 49" xfId="3620"/>
    <cellStyle name="_Costs not in AURORA 06GRC_NIM Summary 5" xfId="3621"/>
    <cellStyle name="_Costs not in AURORA 06GRC_NIM Summary 50" xfId="3622"/>
    <cellStyle name="_Costs not in AURORA 06GRC_NIM Summary 51" xfId="3623"/>
    <cellStyle name="_Costs not in AURORA 06GRC_NIM Summary 52" xfId="3624"/>
    <cellStyle name="_Costs not in AURORA 06GRC_NIM Summary 6" xfId="3625"/>
    <cellStyle name="_Costs not in AURORA 06GRC_NIM Summary 7" xfId="3626"/>
    <cellStyle name="_Costs not in AURORA 06GRC_NIM Summary 8" xfId="3627"/>
    <cellStyle name="_Costs not in AURORA 06GRC_NIM Summary 9" xfId="3628"/>
    <cellStyle name="_Costs not in AURORA 06GRC_NIM Summary_DEM-WP(C) ENERG10C--ctn Mid-C_042010 2010GRC" xfId="3629"/>
    <cellStyle name="_Costs not in AURORA 06GRC_PCA 10 -  Exhibit D Dec 2011" xfId="3630"/>
    <cellStyle name="_Costs not in AURORA 06GRC_PCA 10 -  Exhibit D from A Kellogg Jan 2011" xfId="3631"/>
    <cellStyle name="_Costs not in AURORA 06GRC_PCA 10 -  Exhibit D from A Kellogg July 2011" xfId="3632"/>
    <cellStyle name="_Costs not in AURORA 06GRC_PCA 10 -  Exhibit D from S Free Rcv'd 12-11" xfId="3633"/>
    <cellStyle name="_Costs not in AURORA 06GRC_PCA 11 -  Exhibit D Jan 2012 fr A Kellogg" xfId="3634"/>
    <cellStyle name="_Costs not in AURORA 06GRC_PCA 11 -  Exhibit D Jan 2012 WF" xfId="3635"/>
    <cellStyle name="_Costs not in AURORA 06GRC_PCA 7 - Exhibit D update 11_30_08 (2)" xfId="3636"/>
    <cellStyle name="_Costs not in AURORA 06GRC_PCA 7 - Exhibit D update 11_30_08 (2) 2" xfId="3637"/>
    <cellStyle name="_Costs not in AURORA 06GRC_PCA 7 - Exhibit D update 11_30_08 (2) 2 2" xfId="3638"/>
    <cellStyle name="_Costs not in AURORA 06GRC_PCA 7 - Exhibit D update 11_30_08 (2) 2 2 2" xfId="3639"/>
    <cellStyle name="_Costs not in AURORA 06GRC_PCA 7 - Exhibit D update 11_30_08 (2) 2 3" xfId="3640"/>
    <cellStyle name="_Costs not in AURORA 06GRC_PCA 7 - Exhibit D update 11_30_08 (2) 3" xfId="3641"/>
    <cellStyle name="_Costs not in AURORA 06GRC_PCA 7 - Exhibit D update 11_30_08 (2) 3 2" xfId="3642"/>
    <cellStyle name="_Costs not in AURORA 06GRC_PCA 7 - Exhibit D update 11_30_08 (2) 4" xfId="3643"/>
    <cellStyle name="_Costs not in AURORA 06GRC_PCA 7 - Exhibit D update 11_30_08 (2)_DEM-WP(C) ENERG10C--ctn Mid-C_042010 2010GRC" xfId="3644"/>
    <cellStyle name="_Costs not in AURORA 06GRC_PCA 7 - Exhibit D update 11_30_08 (2)_NIM Summary" xfId="3645"/>
    <cellStyle name="_Costs not in AURORA 06GRC_PCA 7 - Exhibit D update 11_30_08 (2)_NIM Summary 2" xfId="3646"/>
    <cellStyle name="_Costs not in AURORA 06GRC_PCA 7 - Exhibit D update 11_30_08 (2)_NIM Summary 2 2" xfId="3647"/>
    <cellStyle name="_Costs not in AURORA 06GRC_PCA 7 - Exhibit D update 11_30_08 (2)_NIM Summary 3" xfId="3648"/>
    <cellStyle name="_Costs not in AURORA 06GRC_PCA 7 - Exhibit D update 11_30_08 (2)_NIM Summary_DEM-WP(C) ENERG10C--ctn Mid-C_042010 2010GRC" xfId="3649"/>
    <cellStyle name="_Costs not in AURORA 06GRC_PCA 8 - Exhibit D update 12_31_09" xfId="3650"/>
    <cellStyle name="_Costs not in AURORA 06GRC_PCA 8 - Exhibit D update 12_31_09 2" xfId="3651"/>
    <cellStyle name="_Costs not in AURORA 06GRC_PCA 9 -  Exhibit D April 2010" xfId="3652"/>
    <cellStyle name="_Costs not in AURORA 06GRC_PCA 9 -  Exhibit D April 2010 (3)" xfId="3653"/>
    <cellStyle name="_Costs not in AURORA 06GRC_PCA 9 -  Exhibit D April 2010 (3) 2" xfId="3654"/>
    <cellStyle name="_Costs not in AURORA 06GRC_PCA 9 -  Exhibit D April 2010 (3) 2 2" xfId="3655"/>
    <cellStyle name="_Costs not in AURORA 06GRC_PCA 9 -  Exhibit D April 2010 (3) 3" xfId="3656"/>
    <cellStyle name="_Costs not in AURORA 06GRC_PCA 9 -  Exhibit D April 2010 (3)_DEM-WP(C) ENERG10C--ctn Mid-C_042010 2010GRC" xfId="3657"/>
    <cellStyle name="_Costs not in AURORA 06GRC_PCA 9 -  Exhibit D April 2010 2" xfId="3658"/>
    <cellStyle name="_Costs not in AURORA 06GRC_PCA 9 -  Exhibit D April 2010 3" xfId="3659"/>
    <cellStyle name="_Costs not in AURORA 06GRC_PCA 9 -  Exhibit D April 2010 4" xfId="3660"/>
    <cellStyle name="_Costs not in AURORA 06GRC_PCA 9 -  Exhibit D April 2010 5" xfId="3661"/>
    <cellStyle name="_Costs not in AURORA 06GRC_PCA 9 -  Exhibit D April 2010 6" xfId="3662"/>
    <cellStyle name="_Costs not in AURORA 06GRC_PCA 9 -  Exhibit D Feb 2010" xfId="3663"/>
    <cellStyle name="_Costs not in AURORA 06GRC_PCA 9 -  Exhibit D Feb 2010 2" xfId="3664"/>
    <cellStyle name="_Costs not in AURORA 06GRC_PCA 9 -  Exhibit D Feb 2010 v2" xfId="3665"/>
    <cellStyle name="_Costs not in AURORA 06GRC_PCA 9 -  Exhibit D Feb 2010 v2 2" xfId="3666"/>
    <cellStyle name="_Costs not in AURORA 06GRC_PCA 9 -  Exhibit D Feb 2010 WF" xfId="3667"/>
    <cellStyle name="_Costs not in AURORA 06GRC_PCA 9 -  Exhibit D Feb 2010 WF 2" xfId="3668"/>
    <cellStyle name="_Costs not in AURORA 06GRC_PCA 9 -  Exhibit D Jan 2010" xfId="3669"/>
    <cellStyle name="_Costs not in AURORA 06GRC_PCA 9 -  Exhibit D Jan 2010 2" xfId="3670"/>
    <cellStyle name="_Costs not in AURORA 06GRC_PCA 9 -  Exhibit D March 2010 (2)" xfId="3671"/>
    <cellStyle name="_Costs not in AURORA 06GRC_PCA 9 -  Exhibit D March 2010 (2) 2" xfId="3672"/>
    <cellStyle name="_Costs not in AURORA 06GRC_PCA 9 -  Exhibit D Nov 2010" xfId="3673"/>
    <cellStyle name="_Costs not in AURORA 06GRC_PCA 9 -  Exhibit D Nov 2010 2" xfId="3674"/>
    <cellStyle name="_Costs not in AURORA 06GRC_PCA 9 - Exhibit D at August 2010" xfId="3675"/>
    <cellStyle name="_Costs not in AURORA 06GRC_PCA 9 - Exhibit D at August 2010 2" xfId="3676"/>
    <cellStyle name="_Costs not in AURORA 06GRC_PCA 9 - Exhibit D June 2010 GRC" xfId="3677"/>
    <cellStyle name="_Costs not in AURORA 06GRC_PCA 9 - Exhibit D June 2010 GRC 2" xfId="3678"/>
    <cellStyle name="_Costs not in AURORA 06GRC_Power Costs - Comparison bx Rbtl-Staff-Jt-PC" xfId="3679"/>
    <cellStyle name="_Costs not in AURORA 06GRC_Power Costs - Comparison bx Rbtl-Staff-Jt-PC 2" xfId="3680"/>
    <cellStyle name="_Costs not in AURORA 06GRC_Power Costs - Comparison bx Rbtl-Staff-Jt-PC 2 2" xfId="3681"/>
    <cellStyle name="_Costs not in AURORA 06GRC_Power Costs - Comparison bx Rbtl-Staff-Jt-PC 3" xfId="3682"/>
    <cellStyle name="_Costs not in AURORA 06GRC_Power Costs - Comparison bx Rbtl-Staff-Jt-PC_Adj Bench DR 3 for Initial Briefs (Electric)" xfId="3683"/>
    <cellStyle name="_Costs not in AURORA 06GRC_Power Costs - Comparison bx Rbtl-Staff-Jt-PC_Adj Bench DR 3 for Initial Briefs (Electric) 2" xfId="3684"/>
    <cellStyle name="_Costs not in AURORA 06GRC_Power Costs - Comparison bx Rbtl-Staff-Jt-PC_Adj Bench DR 3 for Initial Briefs (Electric) 2 2" xfId="3685"/>
    <cellStyle name="_Costs not in AURORA 06GRC_Power Costs - Comparison bx Rbtl-Staff-Jt-PC_Adj Bench DR 3 for Initial Briefs (Electric) 3" xfId="3686"/>
    <cellStyle name="_Costs not in AURORA 06GRC_Power Costs - Comparison bx Rbtl-Staff-Jt-PC_Adj Bench DR 3 for Initial Briefs (Electric)_DEM-WP(C) ENERG10C--ctn Mid-C_042010 2010GRC" xfId="3687"/>
    <cellStyle name="_Costs not in AURORA 06GRC_Power Costs - Comparison bx Rbtl-Staff-Jt-PC_DEM-WP(C) ENERG10C--ctn Mid-C_042010 2010GRC" xfId="3688"/>
    <cellStyle name="_Costs not in AURORA 06GRC_Power Costs - Comparison bx Rbtl-Staff-Jt-PC_Electric Rev Req Model (2009 GRC) Rebuttal" xfId="3689"/>
    <cellStyle name="_Costs not in AURORA 06GRC_Power Costs - Comparison bx Rbtl-Staff-Jt-PC_Electric Rev Req Model (2009 GRC) Rebuttal 2" xfId="3690"/>
    <cellStyle name="_Costs not in AURORA 06GRC_Power Costs - Comparison bx Rbtl-Staff-Jt-PC_Electric Rev Req Model (2009 GRC) Rebuttal REmoval of New  WH Solar AdjustMI" xfId="3691"/>
    <cellStyle name="_Costs not in AURORA 06GRC_Power Costs - Comparison bx Rbtl-Staff-Jt-PC_Electric Rev Req Model (2009 GRC) Rebuttal REmoval of New  WH Solar AdjustMI 2" xfId="3692"/>
    <cellStyle name="_Costs not in AURORA 06GRC_Power Costs - Comparison bx Rbtl-Staff-Jt-PC_Electric Rev Req Model (2009 GRC) Rebuttal REmoval of New  WH Solar AdjustMI 2 2" xfId="3693"/>
    <cellStyle name="_Costs not in AURORA 06GRC_Power Costs - Comparison bx Rbtl-Staff-Jt-PC_Electric Rev Req Model (2009 GRC) Rebuttal REmoval of New  WH Solar AdjustMI 3" xfId="3694"/>
    <cellStyle name="_Costs not in AURORA 06GRC_Power Costs - Comparison bx Rbtl-Staff-Jt-PC_Electric Rev Req Model (2009 GRC) Rebuttal REmoval of New  WH Solar AdjustMI_DEM-WP(C) ENERG10C--ctn Mid-C_042010 2010GRC" xfId="3695"/>
    <cellStyle name="_Costs not in AURORA 06GRC_Power Costs - Comparison bx Rbtl-Staff-Jt-PC_Electric Rev Req Model (2009 GRC) Revised 01-18-2010" xfId="3696"/>
    <cellStyle name="_Costs not in AURORA 06GRC_Power Costs - Comparison bx Rbtl-Staff-Jt-PC_Electric Rev Req Model (2009 GRC) Revised 01-18-2010 2" xfId="3697"/>
    <cellStyle name="_Costs not in AURORA 06GRC_Power Costs - Comparison bx Rbtl-Staff-Jt-PC_Electric Rev Req Model (2009 GRC) Revised 01-18-2010 2 2" xfId="3698"/>
    <cellStyle name="_Costs not in AURORA 06GRC_Power Costs - Comparison bx Rbtl-Staff-Jt-PC_Electric Rev Req Model (2009 GRC) Revised 01-18-2010 3" xfId="3699"/>
    <cellStyle name="_Costs not in AURORA 06GRC_Power Costs - Comparison bx Rbtl-Staff-Jt-PC_Electric Rev Req Model (2009 GRC) Revised 01-18-2010_DEM-WP(C) ENERG10C--ctn Mid-C_042010 2010GRC" xfId="3700"/>
    <cellStyle name="_Costs not in AURORA 06GRC_Power Costs - Comparison bx Rbtl-Staff-Jt-PC_Final Order Electric EXHIBIT A-1" xfId="3701"/>
    <cellStyle name="_Costs not in AURORA 06GRC_Power Costs - Comparison bx Rbtl-Staff-Jt-PC_Final Order Electric EXHIBIT A-1 2" xfId="3702"/>
    <cellStyle name="_Costs not in AURORA 06GRC_Production Adj 4.37" xfId="21250"/>
    <cellStyle name="_Costs not in AURORA 06GRC_Purchased Power Adj 4.03" xfId="21251"/>
    <cellStyle name="_Costs not in AURORA 06GRC_Rebuttal Power Costs" xfId="3703"/>
    <cellStyle name="_Costs not in AURORA 06GRC_Rebuttal Power Costs 2" xfId="3704"/>
    <cellStyle name="_Costs not in AURORA 06GRC_Rebuttal Power Costs 2 2" xfId="3705"/>
    <cellStyle name="_Costs not in AURORA 06GRC_Rebuttal Power Costs 3" xfId="3706"/>
    <cellStyle name="_Costs not in AURORA 06GRC_Rebuttal Power Costs_Adj Bench DR 3 for Initial Briefs (Electric)" xfId="3707"/>
    <cellStyle name="_Costs not in AURORA 06GRC_Rebuttal Power Costs_Adj Bench DR 3 for Initial Briefs (Electric) 2" xfId="3708"/>
    <cellStyle name="_Costs not in AURORA 06GRC_Rebuttal Power Costs_Adj Bench DR 3 for Initial Briefs (Electric) 2 2" xfId="3709"/>
    <cellStyle name="_Costs not in AURORA 06GRC_Rebuttal Power Costs_Adj Bench DR 3 for Initial Briefs (Electric) 3" xfId="3710"/>
    <cellStyle name="_Costs not in AURORA 06GRC_Rebuttal Power Costs_Adj Bench DR 3 for Initial Briefs (Electric)_DEM-WP(C) ENERG10C--ctn Mid-C_042010 2010GRC" xfId="3711"/>
    <cellStyle name="_Costs not in AURORA 06GRC_Rebuttal Power Costs_DEM-WP(C) ENERG10C--ctn Mid-C_042010 2010GRC" xfId="3712"/>
    <cellStyle name="_Costs not in AURORA 06GRC_Rebuttal Power Costs_Electric Rev Req Model (2009 GRC) Rebuttal" xfId="3713"/>
    <cellStyle name="_Costs not in AURORA 06GRC_Rebuttal Power Costs_Electric Rev Req Model (2009 GRC) Rebuttal 2" xfId="3714"/>
    <cellStyle name="_Costs not in AURORA 06GRC_Rebuttal Power Costs_Electric Rev Req Model (2009 GRC) Rebuttal REmoval of New  WH Solar AdjustMI" xfId="3715"/>
    <cellStyle name="_Costs not in AURORA 06GRC_Rebuttal Power Costs_Electric Rev Req Model (2009 GRC) Rebuttal REmoval of New  WH Solar AdjustMI 2" xfId="3716"/>
    <cellStyle name="_Costs not in AURORA 06GRC_Rebuttal Power Costs_Electric Rev Req Model (2009 GRC) Rebuttal REmoval of New  WH Solar AdjustMI 2 2" xfId="3717"/>
    <cellStyle name="_Costs not in AURORA 06GRC_Rebuttal Power Costs_Electric Rev Req Model (2009 GRC) Rebuttal REmoval of New  WH Solar AdjustMI 3" xfId="3718"/>
    <cellStyle name="_Costs not in AURORA 06GRC_Rebuttal Power Costs_Electric Rev Req Model (2009 GRC) Rebuttal REmoval of New  WH Solar AdjustMI_DEM-WP(C) ENERG10C--ctn Mid-C_042010 2010GRC" xfId="3719"/>
    <cellStyle name="_Costs not in AURORA 06GRC_Rebuttal Power Costs_Electric Rev Req Model (2009 GRC) Revised 01-18-2010" xfId="3720"/>
    <cellStyle name="_Costs not in AURORA 06GRC_Rebuttal Power Costs_Electric Rev Req Model (2009 GRC) Revised 01-18-2010 2" xfId="3721"/>
    <cellStyle name="_Costs not in AURORA 06GRC_Rebuttal Power Costs_Electric Rev Req Model (2009 GRC) Revised 01-18-2010 2 2" xfId="3722"/>
    <cellStyle name="_Costs not in AURORA 06GRC_Rebuttal Power Costs_Electric Rev Req Model (2009 GRC) Revised 01-18-2010 3" xfId="3723"/>
    <cellStyle name="_Costs not in AURORA 06GRC_Rebuttal Power Costs_Electric Rev Req Model (2009 GRC) Revised 01-18-2010_DEM-WP(C) ENERG10C--ctn Mid-C_042010 2010GRC" xfId="3724"/>
    <cellStyle name="_Costs not in AURORA 06GRC_Rebuttal Power Costs_Final Order Electric EXHIBIT A-1" xfId="3725"/>
    <cellStyle name="_Costs not in AURORA 06GRC_Rebuttal Power Costs_Final Order Electric EXHIBIT A-1 2" xfId="3726"/>
    <cellStyle name="_Costs not in AURORA 06GRC_ROR 5.02" xfId="21252"/>
    <cellStyle name="_Costs not in AURORA 06GRC_Transmission Workbook for May BOD" xfId="3727"/>
    <cellStyle name="_Costs not in AURORA 06GRC_Transmission Workbook for May BOD 2" xfId="3728"/>
    <cellStyle name="_Costs not in AURORA 06GRC_Transmission Workbook for May BOD 2 2" xfId="3729"/>
    <cellStyle name="_Costs not in AURORA 06GRC_Transmission Workbook for May BOD 3" xfId="3730"/>
    <cellStyle name="_Costs not in AURORA 06GRC_Transmission Workbook for May BOD_DEM-WP(C) ENERG10C--ctn Mid-C_042010 2010GRC" xfId="3731"/>
    <cellStyle name="_Costs not in AURORA 06GRC_Wind Integration 10GRC" xfId="3732"/>
    <cellStyle name="_Costs not in AURORA 06GRC_Wind Integration 10GRC 2" xfId="3733"/>
    <cellStyle name="_Costs not in AURORA 06GRC_Wind Integration 10GRC 2 2" xfId="3734"/>
    <cellStyle name="_Costs not in AURORA 06GRC_Wind Integration 10GRC 3" xfId="3735"/>
    <cellStyle name="_Costs not in AURORA 06GRC_Wind Integration 10GRC_DEM-WP(C) ENERG10C--ctn Mid-C_042010 2010GRC" xfId="3736"/>
    <cellStyle name="_Costs not in AURORA 2006GRC 6.15.06" xfId="3737"/>
    <cellStyle name="_Costs not in AURORA 2006GRC 6.15.06 2" xfId="3738"/>
    <cellStyle name="_Costs not in AURORA 2006GRC 6.15.06 2 2" xfId="3739"/>
    <cellStyle name="_Costs not in AURORA 2006GRC 6.15.06 2 2 2" xfId="3740"/>
    <cellStyle name="_Costs not in AURORA 2006GRC 6.15.06 2 3" xfId="3741"/>
    <cellStyle name="_Costs not in AURORA 2006GRC 6.15.06 3" xfId="3742"/>
    <cellStyle name="_Costs not in AURORA 2006GRC 6.15.06 3 2" xfId="3743"/>
    <cellStyle name="_Costs not in AURORA 2006GRC 6.15.06 4" xfId="3744"/>
    <cellStyle name="_Costs not in AURORA 2006GRC 6.15.06 4 2" xfId="3745"/>
    <cellStyle name="_Costs not in AURORA 2006GRC 6.15.06 4 3" xfId="3746"/>
    <cellStyle name="_Costs not in AURORA 2006GRC 6.15.06 5" xfId="3747"/>
    <cellStyle name="_Costs not in AURORA 2006GRC 6.15.06 5 2" xfId="3748"/>
    <cellStyle name="_Costs not in AURORA 2006GRC 6.15.06 6" xfId="3749"/>
    <cellStyle name="_Costs not in AURORA 2006GRC 6.15.06 6 2" xfId="3750"/>
    <cellStyle name="_Costs not in AURORA 2006GRC 6.15.06 7" xfId="3751"/>
    <cellStyle name="_Costs not in AURORA 2006GRC 6.15.06 7 2" xfId="3752"/>
    <cellStyle name="_Costs not in AURORA 2006GRC 6.15.06_04 07E Wild Horse Wind Expansion (C) (2)" xfId="3753"/>
    <cellStyle name="_Costs not in AURORA 2006GRC 6.15.06_04 07E Wild Horse Wind Expansion (C) (2) 2" xfId="3754"/>
    <cellStyle name="_Costs not in AURORA 2006GRC 6.15.06_04 07E Wild Horse Wind Expansion (C) (2) 2 2" xfId="3755"/>
    <cellStyle name="_Costs not in AURORA 2006GRC 6.15.06_04 07E Wild Horse Wind Expansion (C) (2) 3" xfId="3756"/>
    <cellStyle name="_Costs not in AURORA 2006GRC 6.15.06_04 07E Wild Horse Wind Expansion (C) (2)_Adj Bench DR 3 for Initial Briefs (Electric)" xfId="3757"/>
    <cellStyle name="_Costs not in AURORA 2006GRC 6.15.06_04 07E Wild Horse Wind Expansion (C) (2)_Adj Bench DR 3 for Initial Briefs (Electric) 2" xfId="3758"/>
    <cellStyle name="_Costs not in AURORA 2006GRC 6.15.06_04 07E Wild Horse Wind Expansion (C) (2)_Adj Bench DR 3 for Initial Briefs (Electric) 2 2" xfId="3759"/>
    <cellStyle name="_Costs not in AURORA 2006GRC 6.15.06_04 07E Wild Horse Wind Expansion (C) (2)_Adj Bench DR 3 for Initial Briefs (Electric) 3" xfId="3760"/>
    <cellStyle name="_Costs not in AURORA 2006GRC 6.15.06_04 07E Wild Horse Wind Expansion (C) (2)_Adj Bench DR 3 for Initial Briefs (Electric)_DEM-WP(C) ENERG10C--ctn Mid-C_042010 2010GRC" xfId="3761"/>
    <cellStyle name="_Costs not in AURORA 2006GRC 6.15.06_04 07E Wild Horse Wind Expansion (C) (2)_Book1" xfId="3762"/>
    <cellStyle name="_Costs not in AURORA 2006GRC 6.15.06_04 07E Wild Horse Wind Expansion (C) (2)_DEM-WP(C) ENERG10C--ctn Mid-C_042010 2010GRC" xfId="3763"/>
    <cellStyle name="_Costs not in AURORA 2006GRC 6.15.06_04 07E Wild Horse Wind Expansion (C) (2)_Electric Rev Req Model (2009 GRC) " xfId="3764"/>
    <cellStyle name="_Costs not in AURORA 2006GRC 6.15.06_04 07E Wild Horse Wind Expansion (C) (2)_Electric Rev Req Model (2009 GRC)  2" xfId="3765"/>
    <cellStyle name="_Costs not in AURORA 2006GRC 6.15.06_04 07E Wild Horse Wind Expansion (C) (2)_Electric Rev Req Model (2009 GRC)  2 2" xfId="3766"/>
    <cellStyle name="_Costs not in AURORA 2006GRC 6.15.06_04 07E Wild Horse Wind Expansion (C) (2)_Electric Rev Req Model (2009 GRC)  3" xfId="3767"/>
    <cellStyle name="_Costs not in AURORA 2006GRC 6.15.06_04 07E Wild Horse Wind Expansion (C) (2)_Electric Rev Req Model (2009 GRC) _DEM-WP(C) ENERG10C--ctn Mid-C_042010 2010GRC" xfId="3768"/>
    <cellStyle name="_Costs not in AURORA 2006GRC 6.15.06_04 07E Wild Horse Wind Expansion (C) (2)_Electric Rev Req Model (2009 GRC) Rebuttal" xfId="3769"/>
    <cellStyle name="_Costs not in AURORA 2006GRC 6.15.06_04 07E Wild Horse Wind Expansion (C) (2)_Electric Rev Req Model (2009 GRC) Rebuttal 2" xfId="3770"/>
    <cellStyle name="_Costs not in AURORA 2006GRC 6.15.06_04 07E Wild Horse Wind Expansion (C) (2)_Electric Rev Req Model (2009 GRC) Rebuttal REmoval of New  WH Solar AdjustMI" xfId="3771"/>
    <cellStyle name="_Costs not in AURORA 2006GRC 6.15.06_04 07E Wild Horse Wind Expansion (C) (2)_Electric Rev Req Model (2009 GRC) Rebuttal REmoval of New  WH Solar AdjustMI 2" xfId="3772"/>
    <cellStyle name="_Costs not in AURORA 2006GRC 6.15.06_04 07E Wild Horse Wind Expansion (C) (2)_Electric Rev Req Model (2009 GRC) Rebuttal REmoval of New  WH Solar AdjustMI 2 2" xfId="3773"/>
    <cellStyle name="_Costs not in AURORA 2006GRC 6.15.06_04 07E Wild Horse Wind Expansion (C) (2)_Electric Rev Req Model (2009 GRC) Rebuttal REmoval of New  WH Solar AdjustMI 3" xfId="3774"/>
    <cellStyle name="_Costs not in AURORA 2006GRC 6.15.06_04 07E Wild Horse Wind Expansion (C) (2)_Electric Rev Req Model (2009 GRC) Rebuttal REmoval of New  WH Solar AdjustMI_DEM-WP(C) ENERG10C--ctn Mid-C_042010 2010GRC" xfId="3775"/>
    <cellStyle name="_Costs not in AURORA 2006GRC 6.15.06_04 07E Wild Horse Wind Expansion (C) (2)_Electric Rev Req Model (2009 GRC) Revised 01-18-2010" xfId="3776"/>
    <cellStyle name="_Costs not in AURORA 2006GRC 6.15.06_04 07E Wild Horse Wind Expansion (C) (2)_Electric Rev Req Model (2009 GRC) Revised 01-18-2010 2" xfId="3777"/>
    <cellStyle name="_Costs not in AURORA 2006GRC 6.15.06_04 07E Wild Horse Wind Expansion (C) (2)_Electric Rev Req Model (2009 GRC) Revised 01-18-2010 2 2" xfId="3778"/>
    <cellStyle name="_Costs not in AURORA 2006GRC 6.15.06_04 07E Wild Horse Wind Expansion (C) (2)_Electric Rev Req Model (2009 GRC) Revised 01-18-2010 3" xfId="3779"/>
    <cellStyle name="_Costs not in AURORA 2006GRC 6.15.06_04 07E Wild Horse Wind Expansion (C) (2)_Electric Rev Req Model (2009 GRC) Revised 01-18-2010_DEM-WP(C) ENERG10C--ctn Mid-C_042010 2010GRC" xfId="3780"/>
    <cellStyle name="_Costs not in AURORA 2006GRC 6.15.06_04 07E Wild Horse Wind Expansion (C) (2)_Electric Rev Req Model (2010 GRC)" xfId="3781"/>
    <cellStyle name="_Costs not in AURORA 2006GRC 6.15.06_04 07E Wild Horse Wind Expansion (C) (2)_Electric Rev Req Model (2010 GRC) SF" xfId="3782"/>
    <cellStyle name="_Costs not in AURORA 2006GRC 6.15.06_04 07E Wild Horse Wind Expansion (C) (2)_Final Order Electric EXHIBIT A-1" xfId="3783"/>
    <cellStyle name="_Costs not in AURORA 2006GRC 6.15.06_04 07E Wild Horse Wind Expansion (C) (2)_Final Order Electric EXHIBIT A-1 2" xfId="3784"/>
    <cellStyle name="_Costs not in AURORA 2006GRC 6.15.06_04 07E Wild Horse Wind Expansion (C) (2)_TENASKA REGULATORY ASSET" xfId="3785"/>
    <cellStyle name="_Costs not in AURORA 2006GRC 6.15.06_04 07E Wild Horse Wind Expansion (C) (2)_TENASKA REGULATORY ASSET 2" xfId="3786"/>
    <cellStyle name="_Costs not in AURORA 2006GRC 6.15.06_16.37E Wild Horse Expansion DeferralRevwrkingfile SF" xfId="3787"/>
    <cellStyle name="_Costs not in AURORA 2006GRC 6.15.06_16.37E Wild Horse Expansion DeferralRevwrkingfile SF 2" xfId="3788"/>
    <cellStyle name="_Costs not in AURORA 2006GRC 6.15.06_16.37E Wild Horse Expansion DeferralRevwrkingfile SF 2 2" xfId="3789"/>
    <cellStyle name="_Costs not in AURORA 2006GRC 6.15.06_16.37E Wild Horse Expansion DeferralRevwrkingfile SF 3" xfId="3790"/>
    <cellStyle name="_Costs not in AURORA 2006GRC 6.15.06_16.37E Wild Horse Expansion DeferralRevwrkingfile SF_DEM-WP(C) ENERG10C--ctn Mid-C_042010 2010GRC" xfId="3791"/>
    <cellStyle name="_Costs not in AURORA 2006GRC 6.15.06_2009 Compliance Filing PCA Exhibits for GRC" xfId="3792"/>
    <cellStyle name="_Costs not in AURORA 2006GRC 6.15.06_2009 Compliance Filing PCA Exhibits for GRC 2" xfId="3793"/>
    <cellStyle name="_Costs not in AURORA 2006GRC 6.15.06_2009 GRC Compl Filing - Exhibit D" xfId="3794"/>
    <cellStyle name="_Costs not in AURORA 2006GRC 6.15.06_2009 GRC Compl Filing - Exhibit D 2" xfId="3795"/>
    <cellStyle name="_Costs not in AURORA 2006GRC 6.15.06_2009 GRC Compl Filing - Exhibit D 2 2" xfId="3796"/>
    <cellStyle name="_Costs not in AURORA 2006GRC 6.15.06_2009 GRC Compl Filing - Exhibit D 3" xfId="3797"/>
    <cellStyle name="_Costs not in AURORA 2006GRC 6.15.06_2009 GRC Compl Filing - Exhibit D_DEM-WP(C) ENERG10C--ctn Mid-C_042010 2010GRC" xfId="3798"/>
    <cellStyle name="_Costs not in AURORA 2006GRC 6.15.06_3.01 Income Statement" xfId="3799"/>
    <cellStyle name="_Costs not in AURORA 2006GRC 6.15.06_4 31 Regulatory Assets and Liabilities  7 06- Exhibit D" xfId="3800"/>
    <cellStyle name="_Costs not in AURORA 2006GRC 6.15.06_4 31 Regulatory Assets and Liabilities  7 06- Exhibit D 2" xfId="3801"/>
    <cellStyle name="_Costs not in AURORA 2006GRC 6.15.06_4 31 Regulatory Assets and Liabilities  7 06- Exhibit D 2 2" xfId="3802"/>
    <cellStyle name="_Costs not in AURORA 2006GRC 6.15.06_4 31 Regulatory Assets and Liabilities  7 06- Exhibit D 3" xfId="3803"/>
    <cellStyle name="_Costs not in AURORA 2006GRC 6.15.06_4 31 Regulatory Assets and Liabilities  7 06- Exhibit D_DEM-WP(C) ENERG10C--ctn Mid-C_042010 2010GRC" xfId="3804"/>
    <cellStyle name="_Costs not in AURORA 2006GRC 6.15.06_4 31 Regulatory Assets and Liabilities  7 06- Exhibit D_NIM Summary" xfId="3805"/>
    <cellStyle name="_Costs not in AURORA 2006GRC 6.15.06_4 31 Regulatory Assets and Liabilities  7 06- Exhibit D_NIM Summary 2" xfId="3806"/>
    <cellStyle name="_Costs not in AURORA 2006GRC 6.15.06_4 31 Regulatory Assets and Liabilities  7 06- Exhibit D_NIM Summary 2 2" xfId="3807"/>
    <cellStyle name="_Costs not in AURORA 2006GRC 6.15.06_4 31 Regulatory Assets and Liabilities  7 06- Exhibit D_NIM Summary 3" xfId="3808"/>
    <cellStyle name="_Costs not in AURORA 2006GRC 6.15.06_4 31 Regulatory Assets and Liabilities  7 06- Exhibit D_NIM Summary_DEM-WP(C) ENERG10C--ctn Mid-C_042010 2010GRC" xfId="3809"/>
    <cellStyle name="_Costs not in AURORA 2006GRC 6.15.06_4 31E Reg Asset  Liab and EXH D" xfId="3810"/>
    <cellStyle name="_Costs not in AURORA 2006GRC 6.15.06_4 31E Reg Asset  Liab and EXH D _ Aug 10 Filing (2)" xfId="3811"/>
    <cellStyle name="_Costs not in AURORA 2006GRC 6.15.06_4 31E Reg Asset  Liab and EXH D _ Aug 10 Filing (2) 2" xfId="3812"/>
    <cellStyle name="_Costs not in AURORA 2006GRC 6.15.06_4 31E Reg Asset  Liab and EXH D 2" xfId="3813"/>
    <cellStyle name="_Costs not in AURORA 2006GRC 6.15.06_4 31E Reg Asset  Liab and EXH D 3" xfId="3814"/>
    <cellStyle name="_Costs not in AURORA 2006GRC 6.15.06_4 32 Regulatory Assets and Liabilities  7 06- Exhibit D" xfId="3815"/>
    <cellStyle name="_Costs not in AURORA 2006GRC 6.15.06_4 32 Regulatory Assets and Liabilities  7 06- Exhibit D 2" xfId="3816"/>
    <cellStyle name="_Costs not in AURORA 2006GRC 6.15.06_4 32 Regulatory Assets and Liabilities  7 06- Exhibit D 2 2" xfId="3817"/>
    <cellStyle name="_Costs not in AURORA 2006GRC 6.15.06_4 32 Regulatory Assets and Liabilities  7 06- Exhibit D 3" xfId="3818"/>
    <cellStyle name="_Costs not in AURORA 2006GRC 6.15.06_4 32 Regulatory Assets and Liabilities  7 06- Exhibit D_DEM-WP(C) ENERG10C--ctn Mid-C_042010 2010GRC" xfId="3819"/>
    <cellStyle name="_Costs not in AURORA 2006GRC 6.15.06_4 32 Regulatory Assets and Liabilities  7 06- Exhibit D_NIM Summary" xfId="3820"/>
    <cellStyle name="_Costs not in AURORA 2006GRC 6.15.06_4 32 Regulatory Assets and Liabilities  7 06- Exhibit D_NIM Summary 2" xfId="3821"/>
    <cellStyle name="_Costs not in AURORA 2006GRC 6.15.06_4 32 Regulatory Assets and Liabilities  7 06- Exhibit D_NIM Summary 2 2" xfId="3822"/>
    <cellStyle name="_Costs not in AURORA 2006GRC 6.15.06_4 32 Regulatory Assets and Liabilities  7 06- Exhibit D_NIM Summary 3" xfId="3823"/>
    <cellStyle name="_Costs not in AURORA 2006GRC 6.15.06_4 32 Regulatory Assets and Liabilities  7 06- Exhibit D_NIM Summary_DEM-WP(C) ENERG10C--ctn Mid-C_042010 2010GRC" xfId="3824"/>
    <cellStyle name="_Costs not in AURORA 2006GRC 6.15.06_AURORA Total New" xfId="3825"/>
    <cellStyle name="_Costs not in AURORA 2006GRC 6.15.06_AURORA Total New 2" xfId="3826"/>
    <cellStyle name="_Costs not in AURORA 2006GRC 6.15.06_AURORA Total New 2 2" xfId="3827"/>
    <cellStyle name="_Costs not in AURORA 2006GRC 6.15.06_AURORA Total New 3" xfId="3828"/>
    <cellStyle name="_Costs not in AURORA 2006GRC 6.15.06_Book2" xfId="3829"/>
    <cellStyle name="_Costs not in AURORA 2006GRC 6.15.06_Book2 2" xfId="3830"/>
    <cellStyle name="_Costs not in AURORA 2006GRC 6.15.06_Book2 2 2" xfId="3831"/>
    <cellStyle name="_Costs not in AURORA 2006GRC 6.15.06_Book2 3" xfId="3832"/>
    <cellStyle name="_Costs not in AURORA 2006GRC 6.15.06_Book2_Adj Bench DR 3 for Initial Briefs (Electric)" xfId="3833"/>
    <cellStyle name="_Costs not in AURORA 2006GRC 6.15.06_Book2_Adj Bench DR 3 for Initial Briefs (Electric) 2" xfId="3834"/>
    <cellStyle name="_Costs not in AURORA 2006GRC 6.15.06_Book2_Adj Bench DR 3 for Initial Briefs (Electric) 2 2" xfId="3835"/>
    <cellStyle name="_Costs not in AURORA 2006GRC 6.15.06_Book2_Adj Bench DR 3 for Initial Briefs (Electric) 3" xfId="3836"/>
    <cellStyle name="_Costs not in AURORA 2006GRC 6.15.06_Book2_Adj Bench DR 3 for Initial Briefs (Electric)_DEM-WP(C) ENERG10C--ctn Mid-C_042010 2010GRC" xfId="3837"/>
    <cellStyle name="_Costs not in AURORA 2006GRC 6.15.06_Book2_DEM-WP(C) ENERG10C--ctn Mid-C_042010 2010GRC" xfId="3838"/>
    <cellStyle name="_Costs not in AURORA 2006GRC 6.15.06_Book2_Electric Rev Req Model (2009 GRC) Rebuttal" xfId="3839"/>
    <cellStyle name="_Costs not in AURORA 2006GRC 6.15.06_Book2_Electric Rev Req Model (2009 GRC) Rebuttal 2" xfId="3840"/>
    <cellStyle name="_Costs not in AURORA 2006GRC 6.15.06_Book2_Electric Rev Req Model (2009 GRC) Rebuttal REmoval of New  WH Solar AdjustMI" xfId="3841"/>
    <cellStyle name="_Costs not in AURORA 2006GRC 6.15.06_Book2_Electric Rev Req Model (2009 GRC) Rebuttal REmoval of New  WH Solar AdjustMI 2" xfId="3842"/>
    <cellStyle name="_Costs not in AURORA 2006GRC 6.15.06_Book2_Electric Rev Req Model (2009 GRC) Rebuttal REmoval of New  WH Solar AdjustMI 2 2" xfId="3843"/>
    <cellStyle name="_Costs not in AURORA 2006GRC 6.15.06_Book2_Electric Rev Req Model (2009 GRC) Rebuttal REmoval of New  WH Solar AdjustMI 3" xfId="3844"/>
    <cellStyle name="_Costs not in AURORA 2006GRC 6.15.06_Book2_Electric Rev Req Model (2009 GRC) Rebuttal REmoval of New  WH Solar AdjustMI_DEM-WP(C) ENERG10C--ctn Mid-C_042010 2010GRC" xfId="3845"/>
    <cellStyle name="_Costs not in AURORA 2006GRC 6.15.06_Book2_Electric Rev Req Model (2009 GRC) Revised 01-18-2010" xfId="3846"/>
    <cellStyle name="_Costs not in AURORA 2006GRC 6.15.06_Book2_Electric Rev Req Model (2009 GRC) Revised 01-18-2010 2" xfId="3847"/>
    <cellStyle name="_Costs not in AURORA 2006GRC 6.15.06_Book2_Electric Rev Req Model (2009 GRC) Revised 01-18-2010 2 2" xfId="3848"/>
    <cellStyle name="_Costs not in AURORA 2006GRC 6.15.06_Book2_Electric Rev Req Model (2009 GRC) Revised 01-18-2010 3" xfId="3849"/>
    <cellStyle name="_Costs not in AURORA 2006GRC 6.15.06_Book2_Electric Rev Req Model (2009 GRC) Revised 01-18-2010_DEM-WP(C) ENERG10C--ctn Mid-C_042010 2010GRC" xfId="3850"/>
    <cellStyle name="_Costs not in AURORA 2006GRC 6.15.06_Book2_Final Order Electric EXHIBIT A-1" xfId="3851"/>
    <cellStyle name="_Costs not in AURORA 2006GRC 6.15.06_Book2_Final Order Electric EXHIBIT A-1 2" xfId="3852"/>
    <cellStyle name="_Costs not in AURORA 2006GRC 6.15.06_Book4" xfId="3853"/>
    <cellStyle name="_Costs not in AURORA 2006GRC 6.15.06_Book4 2" xfId="3854"/>
    <cellStyle name="_Costs not in AURORA 2006GRC 6.15.06_Book4 2 2" xfId="3855"/>
    <cellStyle name="_Costs not in AURORA 2006GRC 6.15.06_Book4 3" xfId="3856"/>
    <cellStyle name="_Costs not in AURORA 2006GRC 6.15.06_Book4_DEM-WP(C) ENERG10C--ctn Mid-C_042010 2010GRC" xfId="3857"/>
    <cellStyle name="_Costs not in AURORA 2006GRC 6.15.06_Book9" xfId="3858"/>
    <cellStyle name="_Costs not in AURORA 2006GRC 6.15.06_Book9 2" xfId="3859"/>
    <cellStyle name="_Costs not in AURORA 2006GRC 6.15.06_Book9 2 2" xfId="3860"/>
    <cellStyle name="_Costs not in AURORA 2006GRC 6.15.06_Book9 3" xfId="3861"/>
    <cellStyle name="_Costs not in AURORA 2006GRC 6.15.06_Book9_DEM-WP(C) ENERG10C--ctn Mid-C_042010 2010GRC" xfId="3862"/>
    <cellStyle name="_Costs not in AURORA 2006GRC 6.15.06_Chelan PUD Power Costs (8-10)" xfId="3863"/>
    <cellStyle name="_Costs not in AURORA 2006GRC 6.15.06_Chelan PUD Power Costs (8-10) 2" xfId="3864"/>
    <cellStyle name="_Costs not in AURORA 2006GRC 6.15.06_DEM-WP(C) Chelan Power Costs" xfId="3865"/>
    <cellStyle name="_Costs not in AURORA 2006GRC 6.15.06_DEM-WP(C) Chelan Power Costs 2" xfId="3866"/>
    <cellStyle name="_Costs not in AURORA 2006GRC 6.15.06_DEM-WP(C) ENERG10C--ctn Mid-C_042010 2010GRC" xfId="3867"/>
    <cellStyle name="_Costs not in AURORA 2006GRC 6.15.06_DEM-WP(C) Gas Transport 2010GRC" xfId="3868"/>
    <cellStyle name="_Costs not in AURORA 2006GRC 6.15.06_DEM-WP(C) Gas Transport 2010GRC 2" xfId="3869"/>
    <cellStyle name="_Costs not in AURORA 2006GRC 6.15.06_Exh A-1 resulting from UE-112050 effective Jan 1 2012" xfId="3870"/>
    <cellStyle name="_Costs not in AURORA 2006GRC 6.15.06_Exh G - Klamath Peaker PPA fr C Locke 2-12" xfId="3871"/>
    <cellStyle name="_Costs not in AURORA 2006GRC 6.15.06_Exhibit A-1 effective 4-1-11 fr S Free 12-11" xfId="3872"/>
    <cellStyle name="_Costs not in AURORA 2006GRC 6.15.06_Mint Farm Generation BPA" xfId="3873"/>
    <cellStyle name="_Costs not in AURORA 2006GRC 6.15.06_NIM Summary" xfId="3874"/>
    <cellStyle name="_Costs not in AURORA 2006GRC 6.15.06_NIM Summary 09GRC" xfId="3875"/>
    <cellStyle name="_Costs not in AURORA 2006GRC 6.15.06_NIM Summary 09GRC 2" xfId="3876"/>
    <cellStyle name="_Costs not in AURORA 2006GRC 6.15.06_NIM Summary 09GRC 2 2" xfId="3877"/>
    <cellStyle name="_Costs not in AURORA 2006GRC 6.15.06_NIM Summary 09GRC 3" xfId="3878"/>
    <cellStyle name="_Costs not in AURORA 2006GRC 6.15.06_NIM Summary 09GRC_DEM-WP(C) ENERG10C--ctn Mid-C_042010 2010GRC" xfId="3879"/>
    <cellStyle name="_Costs not in AURORA 2006GRC 6.15.06_NIM Summary 10" xfId="3880"/>
    <cellStyle name="_Costs not in AURORA 2006GRC 6.15.06_NIM Summary 11" xfId="3881"/>
    <cellStyle name="_Costs not in AURORA 2006GRC 6.15.06_NIM Summary 12" xfId="3882"/>
    <cellStyle name="_Costs not in AURORA 2006GRC 6.15.06_NIM Summary 13" xfId="3883"/>
    <cellStyle name="_Costs not in AURORA 2006GRC 6.15.06_NIM Summary 14" xfId="3884"/>
    <cellStyle name="_Costs not in AURORA 2006GRC 6.15.06_NIM Summary 15" xfId="3885"/>
    <cellStyle name="_Costs not in AURORA 2006GRC 6.15.06_NIM Summary 16" xfId="3886"/>
    <cellStyle name="_Costs not in AURORA 2006GRC 6.15.06_NIM Summary 17" xfId="3887"/>
    <cellStyle name="_Costs not in AURORA 2006GRC 6.15.06_NIM Summary 18" xfId="3888"/>
    <cellStyle name="_Costs not in AURORA 2006GRC 6.15.06_NIM Summary 19" xfId="3889"/>
    <cellStyle name="_Costs not in AURORA 2006GRC 6.15.06_NIM Summary 2" xfId="3890"/>
    <cellStyle name="_Costs not in AURORA 2006GRC 6.15.06_NIM Summary 2 2" xfId="3891"/>
    <cellStyle name="_Costs not in AURORA 2006GRC 6.15.06_NIM Summary 20" xfId="3892"/>
    <cellStyle name="_Costs not in AURORA 2006GRC 6.15.06_NIM Summary 21" xfId="3893"/>
    <cellStyle name="_Costs not in AURORA 2006GRC 6.15.06_NIM Summary 22" xfId="3894"/>
    <cellStyle name="_Costs not in AURORA 2006GRC 6.15.06_NIM Summary 23" xfId="3895"/>
    <cellStyle name="_Costs not in AURORA 2006GRC 6.15.06_NIM Summary 24" xfId="3896"/>
    <cellStyle name="_Costs not in AURORA 2006GRC 6.15.06_NIM Summary 25" xfId="3897"/>
    <cellStyle name="_Costs not in AURORA 2006GRC 6.15.06_NIM Summary 26" xfId="3898"/>
    <cellStyle name="_Costs not in AURORA 2006GRC 6.15.06_NIM Summary 27" xfId="3899"/>
    <cellStyle name="_Costs not in AURORA 2006GRC 6.15.06_NIM Summary 28" xfId="3900"/>
    <cellStyle name="_Costs not in AURORA 2006GRC 6.15.06_NIM Summary 29" xfId="3901"/>
    <cellStyle name="_Costs not in AURORA 2006GRC 6.15.06_NIM Summary 3" xfId="3902"/>
    <cellStyle name="_Costs not in AURORA 2006GRC 6.15.06_NIM Summary 30" xfId="3903"/>
    <cellStyle name="_Costs not in AURORA 2006GRC 6.15.06_NIM Summary 31" xfId="3904"/>
    <cellStyle name="_Costs not in AURORA 2006GRC 6.15.06_NIM Summary 32" xfId="3905"/>
    <cellStyle name="_Costs not in AURORA 2006GRC 6.15.06_NIM Summary 33" xfId="3906"/>
    <cellStyle name="_Costs not in AURORA 2006GRC 6.15.06_NIM Summary 34" xfId="3907"/>
    <cellStyle name="_Costs not in AURORA 2006GRC 6.15.06_NIM Summary 35" xfId="3908"/>
    <cellStyle name="_Costs not in AURORA 2006GRC 6.15.06_NIM Summary 36" xfId="3909"/>
    <cellStyle name="_Costs not in AURORA 2006GRC 6.15.06_NIM Summary 37" xfId="3910"/>
    <cellStyle name="_Costs not in AURORA 2006GRC 6.15.06_NIM Summary 38" xfId="3911"/>
    <cellStyle name="_Costs not in AURORA 2006GRC 6.15.06_NIM Summary 39" xfId="3912"/>
    <cellStyle name="_Costs not in AURORA 2006GRC 6.15.06_NIM Summary 4" xfId="3913"/>
    <cellStyle name="_Costs not in AURORA 2006GRC 6.15.06_NIM Summary 40" xfId="3914"/>
    <cellStyle name="_Costs not in AURORA 2006GRC 6.15.06_NIM Summary 41" xfId="3915"/>
    <cellStyle name="_Costs not in AURORA 2006GRC 6.15.06_NIM Summary 42" xfId="3916"/>
    <cellStyle name="_Costs not in AURORA 2006GRC 6.15.06_NIM Summary 43" xfId="3917"/>
    <cellStyle name="_Costs not in AURORA 2006GRC 6.15.06_NIM Summary 44" xfId="3918"/>
    <cellStyle name="_Costs not in AURORA 2006GRC 6.15.06_NIM Summary 45" xfId="3919"/>
    <cellStyle name="_Costs not in AURORA 2006GRC 6.15.06_NIM Summary 46" xfId="3920"/>
    <cellStyle name="_Costs not in AURORA 2006GRC 6.15.06_NIM Summary 47" xfId="3921"/>
    <cellStyle name="_Costs not in AURORA 2006GRC 6.15.06_NIM Summary 48" xfId="3922"/>
    <cellStyle name="_Costs not in AURORA 2006GRC 6.15.06_NIM Summary 49" xfId="3923"/>
    <cellStyle name="_Costs not in AURORA 2006GRC 6.15.06_NIM Summary 5" xfId="3924"/>
    <cellStyle name="_Costs not in AURORA 2006GRC 6.15.06_NIM Summary 50" xfId="3925"/>
    <cellStyle name="_Costs not in AURORA 2006GRC 6.15.06_NIM Summary 51" xfId="3926"/>
    <cellStyle name="_Costs not in AURORA 2006GRC 6.15.06_NIM Summary 52" xfId="3927"/>
    <cellStyle name="_Costs not in AURORA 2006GRC 6.15.06_NIM Summary 6" xfId="3928"/>
    <cellStyle name="_Costs not in AURORA 2006GRC 6.15.06_NIM Summary 7" xfId="3929"/>
    <cellStyle name="_Costs not in AURORA 2006GRC 6.15.06_NIM Summary 8" xfId="3930"/>
    <cellStyle name="_Costs not in AURORA 2006GRC 6.15.06_NIM Summary 9" xfId="3931"/>
    <cellStyle name="_Costs not in AURORA 2006GRC 6.15.06_NIM Summary_DEM-WP(C) ENERG10C--ctn Mid-C_042010 2010GRC" xfId="3932"/>
    <cellStyle name="_Costs not in AURORA 2006GRC 6.15.06_PCA 10 -  Exhibit D Dec 2011" xfId="3933"/>
    <cellStyle name="_Costs not in AURORA 2006GRC 6.15.06_PCA 10 -  Exhibit D from A Kellogg Jan 2011" xfId="3934"/>
    <cellStyle name="_Costs not in AURORA 2006GRC 6.15.06_PCA 10 -  Exhibit D from A Kellogg July 2011" xfId="3935"/>
    <cellStyle name="_Costs not in AURORA 2006GRC 6.15.06_PCA 10 -  Exhibit D from S Free Rcv'd 12-11" xfId="3936"/>
    <cellStyle name="_Costs not in AURORA 2006GRC 6.15.06_PCA 11 -  Exhibit D Jan 2012 fr A Kellogg" xfId="3937"/>
    <cellStyle name="_Costs not in AURORA 2006GRC 6.15.06_PCA 11 -  Exhibit D Jan 2012 WF" xfId="3938"/>
    <cellStyle name="_Costs not in AURORA 2006GRC 6.15.06_PCA 9 -  Exhibit D April 2010" xfId="3939"/>
    <cellStyle name="_Costs not in AURORA 2006GRC 6.15.06_PCA 9 -  Exhibit D April 2010 (3)" xfId="3940"/>
    <cellStyle name="_Costs not in AURORA 2006GRC 6.15.06_PCA 9 -  Exhibit D April 2010 (3) 2" xfId="3941"/>
    <cellStyle name="_Costs not in AURORA 2006GRC 6.15.06_PCA 9 -  Exhibit D April 2010 (3) 2 2" xfId="3942"/>
    <cellStyle name="_Costs not in AURORA 2006GRC 6.15.06_PCA 9 -  Exhibit D April 2010 (3) 3" xfId="3943"/>
    <cellStyle name="_Costs not in AURORA 2006GRC 6.15.06_PCA 9 -  Exhibit D April 2010 (3)_DEM-WP(C) ENERG10C--ctn Mid-C_042010 2010GRC" xfId="3944"/>
    <cellStyle name="_Costs not in AURORA 2006GRC 6.15.06_PCA 9 -  Exhibit D April 2010 2" xfId="3945"/>
    <cellStyle name="_Costs not in AURORA 2006GRC 6.15.06_PCA 9 -  Exhibit D April 2010 3" xfId="3946"/>
    <cellStyle name="_Costs not in AURORA 2006GRC 6.15.06_PCA 9 -  Exhibit D April 2010 4" xfId="3947"/>
    <cellStyle name="_Costs not in AURORA 2006GRC 6.15.06_PCA 9 -  Exhibit D April 2010 5" xfId="3948"/>
    <cellStyle name="_Costs not in AURORA 2006GRC 6.15.06_PCA 9 -  Exhibit D April 2010 6" xfId="3949"/>
    <cellStyle name="_Costs not in AURORA 2006GRC 6.15.06_PCA 9 -  Exhibit D Nov 2010" xfId="3950"/>
    <cellStyle name="_Costs not in AURORA 2006GRC 6.15.06_PCA 9 -  Exhibit D Nov 2010 2" xfId="3951"/>
    <cellStyle name="_Costs not in AURORA 2006GRC 6.15.06_PCA 9 - Exhibit D at August 2010" xfId="3952"/>
    <cellStyle name="_Costs not in AURORA 2006GRC 6.15.06_PCA 9 - Exhibit D at August 2010 2" xfId="3953"/>
    <cellStyle name="_Costs not in AURORA 2006GRC 6.15.06_PCA 9 - Exhibit D June 2010 GRC" xfId="3954"/>
    <cellStyle name="_Costs not in AURORA 2006GRC 6.15.06_PCA 9 - Exhibit D June 2010 GRC 2" xfId="3955"/>
    <cellStyle name="_Costs not in AURORA 2006GRC 6.15.06_Power Costs - Comparison bx Rbtl-Staff-Jt-PC" xfId="3956"/>
    <cellStyle name="_Costs not in AURORA 2006GRC 6.15.06_Power Costs - Comparison bx Rbtl-Staff-Jt-PC 2" xfId="3957"/>
    <cellStyle name="_Costs not in AURORA 2006GRC 6.15.06_Power Costs - Comparison bx Rbtl-Staff-Jt-PC 2 2" xfId="3958"/>
    <cellStyle name="_Costs not in AURORA 2006GRC 6.15.06_Power Costs - Comparison bx Rbtl-Staff-Jt-PC 3" xfId="3959"/>
    <cellStyle name="_Costs not in AURORA 2006GRC 6.15.06_Power Costs - Comparison bx Rbtl-Staff-Jt-PC_Adj Bench DR 3 for Initial Briefs (Electric)" xfId="3960"/>
    <cellStyle name="_Costs not in AURORA 2006GRC 6.15.06_Power Costs - Comparison bx Rbtl-Staff-Jt-PC_Adj Bench DR 3 for Initial Briefs (Electric) 2" xfId="3961"/>
    <cellStyle name="_Costs not in AURORA 2006GRC 6.15.06_Power Costs - Comparison bx Rbtl-Staff-Jt-PC_Adj Bench DR 3 for Initial Briefs (Electric) 2 2" xfId="3962"/>
    <cellStyle name="_Costs not in AURORA 2006GRC 6.15.06_Power Costs - Comparison bx Rbtl-Staff-Jt-PC_Adj Bench DR 3 for Initial Briefs (Electric) 3" xfId="3963"/>
    <cellStyle name="_Costs not in AURORA 2006GRC 6.15.06_Power Costs - Comparison bx Rbtl-Staff-Jt-PC_Adj Bench DR 3 for Initial Briefs (Electric)_DEM-WP(C) ENERG10C--ctn Mid-C_042010 2010GRC" xfId="3964"/>
    <cellStyle name="_Costs not in AURORA 2006GRC 6.15.06_Power Costs - Comparison bx Rbtl-Staff-Jt-PC_DEM-WP(C) ENERG10C--ctn Mid-C_042010 2010GRC" xfId="3965"/>
    <cellStyle name="_Costs not in AURORA 2006GRC 6.15.06_Power Costs - Comparison bx Rbtl-Staff-Jt-PC_Electric Rev Req Model (2009 GRC) Rebuttal" xfId="3966"/>
    <cellStyle name="_Costs not in AURORA 2006GRC 6.15.06_Power Costs - Comparison bx Rbtl-Staff-Jt-PC_Electric Rev Req Model (2009 GRC) Rebuttal 2" xfId="3967"/>
    <cellStyle name="_Costs not in AURORA 2006GRC 6.15.06_Power Costs - Comparison bx Rbtl-Staff-Jt-PC_Electric Rev Req Model (2009 GRC) Rebuttal REmoval of New  WH Solar AdjustMI" xfId="3968"/>
    <cellStyle name="_Costs not in AURORA 2006GRC 6.15.06_Power Costs - Comparison bx Rbtl-Staff-Jt-PC_Electric Rev Req Model (2009 GRC) Rebuttal REmoval of New  WH Solar AdjustMI 2" xfId="3969"/>
    <cellStyle name="_Costs not in AURORA 2006GRC 6.15.06_Power Costs - Comparison bx Rbtl-Staff-Jt-PC_Electric Rev Req Model (2009 GRC) Rebuttal REmoval of New  WH Solar AdjustMI 2 2" xfId="3970"/>
    <cellStyle name="_Costs not in AURORA 2006GRC 6.15.06_Power Costs - Comparison bx Rbtl-Staff-Jt-PC_Electric Rev Req Model (2009 GRC) Rebuttal REmoval of New  WH Solar AdjustMI 3" xfId="3971"/>
    <cellStyle name="_Costs not in AURORA 2006GRC 6.15.06_Power Costs - Comparison bx Rbtl-Staff-Jt-PC_Electric Rev Req Model (2009 GRC) Rebuttal REmoval of New  WH Solar AdjustMI_DEM-WP(C) ENERG10C--ctn Mid-C_042010 2010GRC" xfId="3972"/>
    <cellStyle name="_Costs not in AURORA 2006GRC 6.15.06_Power Costs - Comparison bx Rbtl-Staff-Jt-PC_Electric Rev Req Model (2009 GRC) Revised 01-18-2010" xfId="3973"/>
    <cellStyle name="_Costs not in AURORA 2006GRC 6.15.06_Power Costs - Comparison bx Rbtl-Staff-Jt-PC_Electric Rev Req Model (2009 GRC) Revised 01-18-2010 2" xfId="3974"/>
    <cellStyle name="_Costs not in AURORA 2006GRC 6.15.06_Power Costs - Comparison bx Rbtl-Staff-Jt-PC_Electric Rev Req Model (2009 GRC) Revised 01-18-2010 2 2" xfId="3975"/>
    <cellStyle name="_Costs not in AURORA 2006GRC 6.15.06_Power Costs - Comparison bx Rbtl-Staff-Jt-PC_Electric Rev Req Model (2009 GRC) Revised 01-18-2010 3" xfId="3976"/>
    <cellStyle name="_Costs not in AURORA 2006GRC 6.15.06_Power Costs - Comparison bx Rbtl-Staff-Jt-PC_Electric Rev Req Model (2009 GRC) Revised 01-18-2010_DEM-WP(C) ENERG10C--ctn Mid-C_042010 2010GRC" xfId="3977"/>
    <cellStyle name="_Costs not in AURORA 2006GRC 6.15.06_Power Costs - Comparison bx Rbtl-Staff-Jt-PC_Final Order Electric EXHIBIT A-1" xfId="3978"/>
    <cellStyle name="_Costs not in AURORA 2006GRC 6.15.06_Power Costs - Comparison bx Rbtl-Staff-Jt-PC_Final Order Electric EXHIBIT A-1 2" xfId="3979"/>
    <cellStyle name="_Costs not in AURORA 2006GRC 6.15.06_Production Adj 4.37" xfId="21253"/>
    <cellStyle name="_Costs not in AURORA 2006GRC 6.15.06_Purchased Power Adj 4.03" xfId="21254"/>
    <cellStyle name="_Costs not in AURORA 2006GRC 6.15.06_Rebuttal Power Costs" xfId="3980"/>
    <cellStyle name="_Costs not in AURORA 2006GRC 6.15.06_Rebuttal Power Costs 2" xfId="3981"/>
    <cellStyle name="_Costs not in AURORA 2006GRC 6.15.06_Rebuttal Power Costs 2 2" xfId="3982"/>
    <cellStyle name="_Costs not in AURORA 2006GRC 6.15.06_Rebuttal Power Costs 3" xfId="3983"/>
    <cellStyle name="_Costs not in AURORA 2006GRC 6.15.06_Rebuttal Power Costs_Adj Bench DR 3 for Initial Briefs (Electric)" xfId="3984"/>
    <cellStyle name="_Costs not in AURORA 2006GRC 6.15.06_Rebuttal Power Costs_Adj Bench DR 3 for Initial Briefs (Electric) 2" xfId="3985"/>
    <cellStyle name="_Costs not in AURORA 2006GRC 6.15.06_Rebuttal Power Costs_Adj Bench DR 3 for Initial Briefs (Electric) 2 2" xfId="3986"/>
    <cellStyle name="_Costs not in AURORA 2006GRC 6.15.06_Rebuttal Power Costs_Adj Bench DR 3 for Initial Briefs (Electric) 3" xfId="3987"/>
    <cellStyle name="_Costs not in AURORA 2006GRC 6.15.06_Rebuttal Power Costs_Adj Bench DR 3 for Initial Briefs (Electric)_DEM-WP(C) ENERG10C--ctn Mid-C_042010 2010GRC" xfId="3988"/>
    <cellStyle name="_Costs not in AURORA 2006GRC 6.15.06_Rebuttal Power Costs_DEM-WP(C) ENERG10C--ctn Mid-C_042010 2010GRC" xfId="3989"/>
    <cellStyle name="_Costs not in AURORA 2006GRC 6.15.06_Rebuttal Power Costs_Electric Rev Req Model (2009 GRC) Rebuttal" xfId="3990"/>
    <cellStyle name="_Costs not in AURORA 2006GRC 6.15.06_Rebuttal Power Costs_Electric Rev Req Model (2009 GRC) Rebuttal 2" xfId="3991"/>
    <cellStyle name="_Costs not in AURORA 2006GRC 6.15.06_Rebuttal Power Costs_Electric Rev Req Model (2009 GRC) Rebuttal REmoval of New  WH Solar AdjustMI" xfId="3992"/>
    <cellStyle name="_Costs not in AURORA 2006GRC 6.15.06_Rebuttal Power Costs_Electric Rev Req Model (2009 GRC) Rebuttal REmoval of New  WH Solar AdjustMI 2" xfId="3993"/>
    <cellStyle name="_Costs not in AURORA 2006GRC 6.15.06_Rebuttal Power Costs_Electric Rev Req Model (2009 GRC) Rebuttal REmoval of New  WH Solar AdjustMI 2 2" xfId="3994"/>
    <cellStyle name="_Costs not in AURORA 2006GRC 6.15.06_Rebuttal Power Costs_Electric Rev Req Model (2009 GRC) Rebuttal REmoval of New  WH Solar AdjustMI 3" xfId="3995"/>
    <cellStyle name="_Costs not in AURORA 2006GRC 6.15.06_Rebuttal Power Costs_Electric Rev Req Model (2009 GRC) Rebuttal REmoval of New  WH Solar AdjustMI_DEM-WP(C) ENERG10C--ctn Mid-C_042010 2010GRC" xfId="3996"/>
    <cellStyle name="_Costs not in AURORA 2006GRC 6.15.06_Rebuttal Power Costs_Electric Rev Req Model (2009 GRC) Revised 01-18-2010" xfId="3997"/>
    <cellStyle name="_Costs not in AURORA 2006GRC 6.15.06_Rebuttal Power Costs_Electric Rev Req Model (2009 GRC) Revised 01-18-2010 2" xfId="3998"/>
    <cellStyle name="_Costs not in AURORA 2006GRC 6.15.06_Rebuttal Power Costs_Electric Rev Req Model (2009 GRC) Revised 01-18-2010 2 2" xfId="3999"/>
    <cellStyle name="_Costs not in AURORA 2006GRC 6.15.06_Rebuttal Power Costs_Electric Rev Req Model (2009 GRC) Revised 01-18-2010 3" xfId="4000"/>
    <cellStyle name="_Costs not in AURORA 2006GRC 6.15.06_Rebuttal Power Costs_Electric Rev Req Model (2009 GRC) Revised 01-18-2010_DEM-WP(C) ENERG10C--ctn Mid-C_042010 2010GRC" xfId="4001"/>
    <cellStyle name="_Costs not in AURORA 2006GRC 6.15.06_Rebuttal Power Costs_Final Order Electric EXHIBIT A-1" xfId="4002"/>
    <cellStyle name="_Costs not in AURORA 2006GRC 6.15.06_Rebuttal Power Costs_Final Order Electric EXHIBIT A-1 2" xfId="4003"/>
    <cellStyle name="_Costs not in AURORA 2006GRC 6.15.06_ROR 5.02" xfId="21255"/>
    <cellStyle name="_Costs not in AURORA 2006GRC 6.15.06_Wind Integration 10GRC" xfId="4004"/>
    <cellStyle name="_Costs not in AURORA 2006GRC 6.15.06_Wind Integration 10GRC 2" xfId="4005"/>
    <cellStyle name="_Costs not in AURORA 2006GRC 6.15.06_Wind Integration 10GRC 2 2" xfId="4006"/>
    <cellStyle name="_Costs not in AURORA 2006GRC 6.15.06_Wind Integration 10GRC 3" xfId="4007"/>
    <cellStyle name="_Costs not in AURORA 2006GRC 6.15.06_Wind Integration 10GRC_DEM-WP(C) ENERG10C--ctn Mid-C_042010 2010GRC" xfId="4008"/>
    <cellStyle name="_Costs not in AURORA 2006GRC w gas price updated" xfId="4009"/>
    <cellStyle name="_Costs not in AURORA 2006GRC w gas price updated 2" xfId="4010"/>
    <cellStyle name="_Costs not in AURORA 2006GRC w gas price updated 2 2" xfId="4011"/>
    <cellStyle name="_Costs not in AURORA 2006GRC w gas price updated 3" xfId="4012"/>
    <cellStyle name="_Costs not in AURORA 2006GRC w gas price updated 3 2" xfId="4013"/>
    <cellStyle name="_Costs not in AURORA 2006GRC w gas price updated 4" xfId="4014"/>
    <cellStyle name="_Costs not in AURORA 2006GRC w gas price updated 4 2" xfId="4015"/>
    <cellStyle name="_Costs not in AURORA 2006GRC w gas price updated 5" xfId="4016"/>
    <cellStyle name="_Costs not in AURORA 2006GRC w gas price updated 5 2" xfId="4017"/>
    <cellStyle name="_Costs not in AURORA 2006GRC w gas price updated 6" xfId="4018"/>
    <cellStyle name="_Costs not in AURORA 2006GRC w gas price updated 6 2" xfId="4019"/>
    <cellStyle name="_Costs not in AURORA 2006GRC w gas price updated_Adj Bench DR 3 for Initial Briefs (Electric)" xfId="4020"/>
    <cellStyle name="_Costs not in AURORA 2006GRC w gas price updated_Adj Bench DR 3 for Initial Briefs (Electric) 2" xfId="4021"/>
    <cellStyle name="_Costs not in AURORA 2006GRC w gas price updated_Adj Bench DR 3 for Initial Briefs (Electric) 2 2" xfId="4022"/>
    <cellStyle name="_Costs not in AURORA 2006GRC w gas price updated_Adj Bench DR 3 for Initial Briefs (Electric) 3" xfId="4023"/>
    <cellStyle name="_Costs not in AURORA 2006GRC w gas price updated_Adj Bench DR 3 for Initial Briefs (Electric)_DEM-WP(C) ENERG10C--ctn Mid-C_042010 2010GRC" xfId="4024"/>
    <cellStyle name="_Costs not in AURORA 2006GRC w gas price updated_Book1" xfId="4025"/>
    <cellStyle name="_Costs not in AURORA 2006GRC w gas price updated_Book2" xfId="4026"/>
    <cellStyle name="_Costs not in AURORA 2006GRC w gas price updated_Book2 2" xfId="4027"/>
    <cellStyle name="_Costs not in AURORA 2006GRC w gas price updated_Book2 2 2" xfId="4028"/>
    <cellStyle name="_Costs not in AURORA 2006GRC w gas price updated_Book2 3" xfId="4029"/>
    <cellStyle name="_Costs not in AURORA 2006GRC w gas price updated_Book2_Adj Bench DR 3 for Initial Briefs (Electric)" xfId="4030"/>
    <cellStyle name="_Costs not in AURORA 2006GRC w gas price updated_Book2_Adj Bench DR 3 for Initial Briefs (Electric) 2" xfId="4031"/>
    <cellStyle name="_Costs not in AURORA 2006GRC w gas price updated_Book2_Adj Bench DR 3 for Initial Briefs (Electric) 2 2" xfId="4032"/>
    <cellStyle name="_Costs not in AURORA 2006GRC w gas price updated_Book2_Adj Bench DR 3 for Initial Briefs (Electric) 3" xfId="4033"/>
    <cellStyle name="_Costs not in AURORA 2006GRC w gas price updated_Book2_Adj Bench DR 3 for Initial Briefs (Electric)_DEM-WP(C) ENERG10C--ctn Mid-C_042010 2010GRC" xfId="4034"/>
    <cellStyle name="_Costs not in AURORA 2006GRC w gas price updated_Book2_DEM-WP(C) ENERG10C--ctn Mid-C_042010 2010GRC" xfId="4035"/>
    <cellStyle name="_Costs not in AURORA 2006GRC w gas price updated_Book2_Electric Rev Req Model (2009 GRC) Rebuttal" xfId="4036"/>
    <cellStyle name="_Costs not in AURORA 2006GRC w gas price updated_Book2_Electric Rev Req Model (2009 GRC) Rebuttal 2" xfId="4037"/>
    <cellStyle name="_Costs not in AURORA 2006GRC w gas price updated_Book2_Electric Rev Req Model (2009 GRC) Rebuttal REmoval of New  WH Solar AdjustMI" xfId="4038"/>
    <cellStyle name="_Costs not in AURORA 2006GRC w gas price updated_Book2_Electric Rev Req Model (2009 GRC) Rebuttal REmoval of New  WH Solar AdjustMI 2" xfId="4039"/>
    <cellStyle name="_Costs not in AURORA 2006GRC w gas price updated_Book2_Electric Rev Req Model (2009 GRC) Rebuttal REmoval of New  WH Solar AdjustMI 2 2" xfId="4040"/>
    <cellStyle name="_Costs not in AURORA 2006GRC w gas price updated_Book2_Electric Rev Req Model (2009 GRC) Rebuttal REmoval of New  WH Solar AdjustMI 3" xfId="4041"/>
    <cellStyle name="_Costs not in AURORA 2006GRC w gas price updated_Book2_Electric Rev Req Model (2009 GRC) Rebuttal REmoval of New  WH Solar AdjustMI_DEM-WP(C) ENERG10C--ctn Mid-C_042010 2010GRC" xfId="4042"/>
    <cellStyle name="_Costs not in AURORA 2006GRC w gas price updated_Book2_Electric Rev Req Model (2009 GRC) Revised 01-18-2010" xfId="4043"/>
    <cellStyle name="_Costs not in AURORA 2006GRC w gas price updated_Book2_Electric Rev Req Model (2009 GRC) Revised 01-18-2010 2" xfId="4044"/>
    <cellStyle name="_Costs not in AURORA 2006GRC w gas price updated_Book2_Electric Rev Req Model (2009 GRC) Revised 01-18-2010 2 2" xfId="4045"/>
    <cellStyle name="_Costs not in AURORA 2006GRC w gas price updated_Book2_Electric Rev Req Model (2009 GRC) Revised 01-18-2010 3" xfId="4046"/>
    <cellStyle name="_Costs not in AURORA 2006GRC w gas price updated_Book2_Electric Rev Req Model (2009 GRC) Revised 01-18-2010_DEM-WP(C) ENERG10C--ctn Mid-C_042010 2010GRC" xfId="4047"/>
    <cellStyle name="_Costs not in AURORA 2006GRC w gas price updated_Book2_Final Order Electric EXHIBIT A-1" xfId="4048"/>
    <cellStyle name="_Costs not in AURORA 2006GRC w gas price updated_Book2_Final Order Electric EXHIBIT A-1 2" xfId="4049"/>
    <cellStyle name="_Costs not in AURORA 2006GRC w gas price updated_Chelan PUD Power Costs (8-10)" xfId="4050"/>
    <cellStyle name="_Costs not in AURORA 2006GRC w gas price updated_Chelan PUD Power Costs (8-10) 2" xfId="4051"/>
    <cellStyle name="_Costs not in AURORA 2006GRC w gas price updated_Colstrip 1&amp;2 Annual O&amp;M Budgets" xfId="4052"/>
    <cellStyle name="_Costs not in AURORA 2006GRC w gas price updated_Colstrip 1&amp;2 Annual O&amp;M Budgets 2" xfId="4053"/>
    <cellStyle name="_Costs not in AURORA 2006GRC w gas price updated_Colstrip 1&amp;2 Annual O&amp;M Budgets 3" xfId="4054"/>
    <cellStyle name="_Costs not in AURORA 2006GRC w gas price updated_Confidential Material" xfId="4055"/>
    <cellStyle name="_Costs not in AURORA 2006GRC w gas price updated_Confidential Material 2" xfId="4056"/>
    <cellStyle name="_Costs not in AURORA 2006GRC w gas price updated_DEM-WP(C) Colstrip 12 Coal Cost Forecast 2010GRC" xfId="4057"/>
    <cellStyle name="_Costs not in AURORA 2006GRC w gas price updated_DEM-WP(C) Colstrip 12 Coal Cost Forecast 2010GRC 2" xfId="4058"/>
    <cellStyle name="_Costs not in AURORA 2006GRC w gas price updated_DEM-WP(C) ENERG10C--ctn Mid-C_042010 2010GRC" xfId="4059"/>
    <cellStyle name="_Costs not in AURORA 2006GRC w gas price updated_DEM-WP(C) Production O&amp;M 2010GRC As-Filed" xfId="4060"/>
    <cellStyle name="_Costs not in AURORA 2006GRC w gas price updated_DEM-WP(C) Production O&amp;M 2010GRC As-Filed 2" xfId="4061"/>
    <cellStyle name="_Costs not in AURORA 2006GRC w gas price updated_DEM-WP(C) Production O&amp;M 2010GRC As-Filed 2 2" xfId="4062"/>
    <cellStyle name="_Costs not in AURORA 2006GRC w gas price updated_DEM-WP(C) Production O&amp;M 2010GRC As-Filed 2 3" xfId="4063"/>
    <cellStyle name="_Costs not in AURORA 2006GRC w gas price updated_DEM-WP(C) Production O&amp;M 2010GRC As-Filed 3" xfId="4064"/>
    <cellStyle name="_Costs not in AURORA 2006GRC w gas price updated_DEM-WP(C) Production O&amp;M 2010GRC As-Filed 3 2" xfId="4065"/>
    <cellStyle name="_Costs not in AURORA 2006GRC w gas price updated_DEM-WP(C) Production O&amp;M 2010GRC As-Filed 4" xfId="4066"/>
    <cellStyle name="_Costs not in AURORA 2006GRC w gas price updated_DEM-WP(C) Production O&amp;M 2010GRC As-Filed 4 2" xfId="4067"/>
    <cellStyle name="_Costs not in AURORA 2006GRC w gas price updated_DEM-WP(C) Production O&amp;M 2010GRC As-Filed 5" xfId="4068"/>
    <cellStyle name="_Costs not in AURORA 2006GRC w gas price updated_DEM-WP(C) Production O&amp;M 2010GRC As-Filed 5 2" xfId="4069"/>
    <cellStyle name="_Costs not in AURORA 2006GRC w gas price updated_DEM-WP(C) Production O&amp;M 2010GRC As-Filed 6" xfId="4070"/>
    <cellStyle name="_Costs not in AURORA 2006GRC w gas price updated_DEM-WP(C) Production O&amp;M 2010GRC As-Filed 6 2" xfId="4071"/>
    <cellStyle name="_Costs not in AURORA 2006GRC w gas price updated_Electric Rev Req Model (2009 GRC) " xfId="4072"/>
    <cellStyle name="_Costs not in AURORA 2006GRC w gas price updated_Electric Rev Req Model (2009 GRC)  2" xfId="4073"/>
    <cellStyle name="_Costs not in AURORA 2006GRC w gas price updated_Electric Rev Req Model (2009 GRC)  2 2" xfId="4074"/>
    <cellStyle name="_Costs not in AURORA 2006GRC w gas price updated_Electric Rev Req Model (2009 GRC)  3" xfId="4075"/>
    <cellStyle name="_Costs not in AURORA 2006GRC w gas price updated_Electric Rev Req Model (2009 GRC) _DEM-WP(C) ENERG10C--ctn Mid-C_042010 2010GRC" xfId="4076"/>
    <cellStyle name="_Costs not in AURORA 2006GRC w gas price updated_Electric Rev Req Model (2009 GRC) Rebuttal" xfId="4077"/>
    <cellStyle name="_Costs not in AURORA 2006GRC w gas price updated_Electric Rev Req Model (2009 GRC) Rebuttal 2" xfId="4078"/>
    <cellStyle name="_Costs not in AURORA 2006GRC w gas price updated_Electric Rev Req Model (2009 GRC) Rebuttal REmoval of New  WH Solar AdjustMI" xfId="4079"/>
    <cellStyle name="_Costs not in AURORA 2006GRC w gas price updated_Electric Rev Req Model (2009 GRC) Rebuttal REmoval of New  WH Solar AdjustMI 2" xfId="4080"/>
    <cellStyle name="_Costs not in AURORA 2006GRC w gas price updated_Electric Rev Req Model (2009 GRC) Rebuttal REmoval of New  WH Solar AdjustMI 2 2" xfId="4081"/>
    <cellStyle name="_Costs not in AURORA 2006GRC w gas price updated_Electric Rev Req Model (2009 GRC) Rebuttal REmoval of New  WH Solar AdjustMI 3" xfId="4082"/>
    <cellStyle name="_Costs not in AURORA 2006GRC w gas price updated_Electric Rev Req Model (2009 GRC) Rebuttal REmoval of New  WH Solar AdjustMI_DEM-WP(C) ENERG10C--ctn Mid-C_042010 2010GRC" xfId="4083"/>
    <cellStyle name="_Costs not in AURORA 2006GRC w gas price updated_Electric Rev Req Model (2009 GRC) Revised 01-18-2010" xfId="4084"/>
    <cellStyle name="_Costs not in AURORA 2006GRC w gas price updated_Electric Rev Req Model (2009 GRC) Revised 01-18-2010 2" xfId="4085"/>
    <cellStyle name="_Costs not in AURORA 2006GRC w gas price updated_Electric Rev Req Model (2009 GRC) Revised 01-18-2010 2 2" xfId="4086"/>
    <cellStyle name="_Costs not in AURORA 2006GRC w gas price updated_Electric Rev Req Model (2009 GRC) Revised 01-18-2010 3" xfId="4087"/>
    <cellStyle name="_Costs not in AURORA 2006GRC w gas price updated_Electric Rev Req Model (2009 GRC) Revised 01-18-2010_DEM-WP(C) ENERG10C--ctn Mid-C_042010 2010GRC" xfId="4088"/>
    <cellStyle name="_Costs not in AURORA 2006GRC w gas price updated_Electric Rev Req Model (2010 GRC)" xfId="4089"/>
    <cellStyle name="_Costs not in AURORA 2006GRC w gas price updated_Electric Rev Req Model (2010 GRC) SF" xfId="4090"/>
    <cellStyle name="_Costs not in AURORA 2006GRC w gas price updated_Final Order Electric EXHIBIT A-1" xfId="4091"/>
    <cellStyle name="_Costs not in AURORA 2006GRC w gas price updated_Final Order Electric EXHIBIT A-1 2" xfId="4092"/>
    <cellStyle name="_Costs not in AURORA 2006GRC w gas price updated_NIM Summary" xfId="4093"/>
    <cellStyle name="_Costs not in AURORA 2006GRC w gas price updated_NIM Summary 2" xfId="4094"/>
    <cellStyle name="_Costs not in AURORA 2006GRC w gas price updated_NIM Summary 2 2" xfId="4095"/>
    <cellStyle name="_Costs not in AURORA 2006GRC w gas price updated_NIM Summary 3" xfId="4096"/>
    <cellStyle name="_Costs not in AURORA 2006GRC w gas price updated_NIM Summary_DEM-WP(C) ENERG10C--ctn Mid-C_042010 2010GRC" xfId="4097"/>
    <cellStyle name="_Costs not in AURORA 2006GRC w gas price updated_Rebuttal Power Costs" xfId="4098"/>
    <cellStyle name="_Costs not in AURORA 2006GRC w gas price updated_Rebuttal Power Costs 2" xfId="4099"/>
    <cellStyle name="_Costs not in AURORA 2006GRC w gas price updated_Rebuttal Power Costs 2 2" xfId="4100"/>
    <cellStyle name="_Costs not in AURORA 2006GRC w gas price updated_Rebuttal Power Costs 3" xfId="4101"/>
    <cellStyle name="_Costs not in AURORA 2006GRC w gas price updated_Rebuttal Power Costs_Adj Bench DR 3 for Initial Briefs (Electric)" xfId="4102"/>
    <cellStyle name="_Costs not in AURORA 2006GRC w gas price updated_Rebuttal Power Costs_Adj Bench DR 3 for Initial Briefs (Electric) 2" xfId="4103"/>
    <cellStyle name="_Costs not in AURORA 2006GRC w gas price updated_Rebuttal Power Costs_Adj Bench DR 3 for Initial Briefs (Electric) 2 2" xfId="4104"/>
    <cellStyle name="_Costs not in AURORA 2006GRC w gas price updated_Rebuttal Power Costs_Adj Bench DR 3 for Initial Briefs (Electric) 3" xfId="4105"/>
    <cellStyle name="_Costs not in AURORA 2006GRC w gas price updated_Rebuttal Power Costs_Adj Bench DR 3 for Initial Briefs (Electric)_DEM-WP(C) ENERG10C--ctn Mid-C_042010 2010GRC" xfId="4106"/>
    <cellStyle name="_Costs not in AURORA 2006GRC w gas price updated_Rebuttal Power Costs_DEM-WP(C) ENERG10C--ctn Mid-C_042010 2010GRC" xfId="4107"/>
    <cellStyle name="_Costs not in AURORA 2006GRC w gas price updated_Rebuttal Power Costs_Electric Rev Req Model (2009 GRC) Rebuttal" xfId="4108"/>
    <cellStyle name="_Costs not in AURORA 2006GRC w gas price updated_Rebuttal Power Costs_Electric Rev Req Model (2009 GRC) Rebuttal 2" xfId="4109"/>
    <cellStyle name="_Costs not in AURORA 2006GRC w gas price updated_Rebuttal Power Costs_Electric Rev Req Model (2009 GRC) Rebuttal REmoval of New  WH Solar AdjustMI" xfId="4110"/>
    <cellStyle name="_Costs not in AURORA 2006GRC w gas price updated_Rebuttal Power Costs_Electric Rev Req Model (2009 GRC) Rebuttal REmoval of New  WH Solar AdjustMI 2" xfId="4111"/>
    <cellStyle name="_Costs not in AURORA 2006GRC w gas price updated_Rebuttal Power Costs_Electric Rev Req Model (2009 GRC) Rebuttal REmoval of New  WH Solar AdjustMI 2 2" xfId="4112"/>
    <cellStyle name="_Costs not in AURORA 2006GRC w gas price updated_Rebuttal Power Costs_Electric Rev Req Model (2009 GRC) Rebuttal REmoval of New  WH Solar AdjustMI 3" xfId="4113"/>
    <cellStyle name="_Costs not in AURORA 2006GRC w gas price updated_Rebuttal Power Costs_Electric Rev Req Model (2009 GRC) Rebuttal REmoval of New  WH Solar AdjustMI_DEM-WP(C) ENERG10C--ctn Mid-C_042010 2010GRC" xfId="4114"/>
    <cellStyle name="_Costs not in AURORA 2006GRC w gas price updated_Rebuttal Power Costs_Electric Rev Req Model (2009 GRC) Revised 01-18-2010" xfId="4115"/>
    <cellStyle name="_Costs not in AURORA 2006GRC w gas price updated_Rebuttal Power Costs_Electric Rev Req Model (2009 GRC) Revised 01-18-2010 2" xfId="4116"/>
    <cellStyle name="_Costs not in AURORA 2006GRC w gas price updated_Rebuttal Power Costs_Electric Rev Req Model (2009 GRC) Revised 01-18-2010 2 2" xfId="4117"/>
    <cellStyle name="_Costs not in AURORA 2006GRC w gas price updated_Rebuttal Power Costs_Electric Rev Req Model (2009 GRC) Revised 01-18-2010 3" xfId="4118"/>
    <cellStyle name="_Costs not in AURORA 2006GRC w gas price updated_Rebuttal Power Costs_Electric Rev Req Model (2009 GRC) Revised 01-18-2010_DEM-WP(C) ENERG10C--ctn Mid-C_042010 2010GRC" xfId="4119"/>
    <cellStyle name="_Costs not in AURORA 2006GRC w gas price updated_Rebuttal Power Costs_Final Order Electric EXHIBIT A-1" xfId="4120"/>
    <cellStyle name="_Costs not in AURORA 2006GRC w gas price updated_Rebuttal Power Costs_Final Order Electric EXHIBIT A-1 2" xfId="4121"/>
    <cellStyle name="_Costs not in AURORA 2006GRC w gas price updated_TENASKA REGULATORY ASSET" xfId="4122"/>
    <cellStyle name="_Costs not in AURORA 2006GRC w gas price updated_TENASKA REGULATORY ASSET 2" xfId="4123"/>
    <cellStyle name="_Costs not in AURORA 2007 Rate Case" xfId="4124"/>
    <cellStyle name="_Costs not in AURORA 2007 Rate Case 2" xfId="4125"/>
    <cellStyle name="_Costs not in AURORA 2007 Rate Case 2 2" xfId="4126"/>
    <cellStyle name="_Costs not in AURORA 2007 Rate Case 2 2 2" xfId="4127"/>
    <cellStyle name="_Costs not in AURORA 2007 Rate Case 2 3" xfId="4128"/>
    <cellStyle name="_Costs not in AURORA 2007 Rate Case 3" xfId="4129"/>
    <cellStyle name="_Costs not in AURORA 2007 Rate Case 3 2" xfId="4130"/>
    <cellStyle name="_Costs not in AURORA 2007 Rate Case 4" xfId="4131"/>
    <cellStyle name="_Costs not in AURORA 2007 Rate Case 4 2" xfId="4132"/>
    <cellStyle name="_Costs not in AURORA 2007 Rate Case 4 3" xfId="4133"/>
    <cellStyle name="_Costs not in AURORA 2007 Rate Case 5" xfId="4134"/>
    <cellStyle name="_Costs not in AURORA 2007 Rate Case 5 2" xfId="4135"/>
    <cellStyle name="_Costs not in AURORA 2007 Rate Case 6" xfId="4136"/>
    <cellStyle name="_Costs not in AURORA 2007 Rate Case 6 2" xfId="4137"/>
    <cellStyle name="_Costs not in AURORA 2007 Rate Case 7" xfId="4138"/>
    <cellStyle name="_Costs not in AURORA 2007 Rate Case 7 2" xfId="4139"/>
    <cellStyle name="_Costs not in AURORA 2007 Rate Case_(C) WHE Proforma with ITC cash grant 10 Yr Amort_for deferral_102809" xfId="4140"/>
    <cellStyle name="_Costs not in AURORA 2007 Rate Case_(C) WHE Proforma with ITC cash grant 10 Yr Amort_for deferral_102809 2" xfId="4141"/>
    <cellStyle name="_Costs not in AURORA 2007 Rate Case_(C) WHE Proforma with ITC cash grant 10 Yr Amort_for deferral_102809 2 2" xfId="4142"/>
    <cellStyle name="_Costs not in AURORA 2007 Rate Case_(C) WHE Proforma with ITC cash grant 10 Yr Amort_for deferral_102809 3" xfId="4143"/>
    <cellStyle name="_Costs not in AURORA 2007 Rate Case_(C) WHE Proforma with ITC cash grant 10 Yr Amort_for deferral_102809_16.07E Wild Horse Wind Expansionwrkingfile" xfId="4144"/>
    <cellStyle name="_Costs not in AURORA 2007 Rate Case_(C) WHE Proforma with ITC cash grant 10 Yr Amort_for deferral_102809_16.07E Wild Horse Wind Expansionwrkingfile 2" xfId="4145"/>
    <cellStyle name="_Costs not in AURORA 2007 Rate Case_(C) WHE Proforma with ITC cash grant 10 Yr Amort_for deferral_102809_16.07E Wild Horse Wind Expansionwrkingfile 2 2" xfId="4146"/>
    <cellStyle name="_Costs not in AURORA 2007 Rate Case_(C) WHE Proforma with ITC cash grant 10 Yr Amort_for deferral_102809_16.07E Wild Horse Wind Expansionwrkingfile 3" xfId="4147"/>
    <cellStyle name="_Costs not in AURORA 2007 Rate Case_(C) WHE Proforma with ITC cash grant 10 Yr Amort_for deferral_102809_16.07E Wild Horse Wind Expansionwrkingfile SF" xfId="4148"/>
    <cellStyle name="_Costs not in AURORA 2007 Rate Case_(C) WHE Proforma with ITC cash grant 10 Yr Amort_for deferral_102809_16.07E Wild Horse Wind Expansionwrkingfile SF 2" xfId="4149"/>
    <cellStyle name="_Costs not in AURORA 2007 Rate Case_(C) WHE Proforma with ITC cash grant 10 Yr Amort_for deferral_102809_16.07E Wild Horse Wind Expansionwrkingfile SF 2 2" xfId="4150"/>
    <cellStyle name="_Costs not in AURORA 2007 Rate Case_(C) WHE Proforma with ITC cash grant 10 Yr Amort_for deferral_102809_16.07E Wild Horse Wind Expansionwrkingfile SF 3" xfId="4151"/>
    <cellStyle name="_Costs not in AURORA 2007 Rate Case_(C) WHE Proforma with ITC cash grant 10 Yr Amort_for deferral_102809_16.07E Wild Horse Wind Expansionwrkingfile SF_DEM-WP(C) ENERG10C--ctn Mid-C_042010 2010GRC" xfId="4152"/>
    <cellStyle name="_Costs not in AURORA 2007 Rate Case_(C) WHE Proforma with ITC cash grant 10 Yr Amort_for deferral_102809_16.07E Wild Horse Wind Expansionwrkingfile_DEM-WP(C) ENERG10C--ctn Mid-C_042010 2010GRC" xfId="4153"/>
    <cellStyle name="_Costs not in AURORA 2007 Rate Case_(C) WHE Proforma with ITC cash grant 10 Yr Amort_for deferral_102809_16.37E Wild Horse Expansion DeferralRevwrkingfile SF" xfId="4154"/>
    <cellStyle name="_Costs not in AURORA 2007 Rate Case_(C) WHE Proforma with ITC cash grant 10 Yr Amort_for deferral_102809_16.37E Wild Horse Expansion DeferralRevwrkingfile SF 2" xfId="4155"/>
    <cellStyle name="_Costs not in AURORA 2007 Rate Case_(C) WHE Proforma with ITC cash grant 10 Yr Amort_for deferral_102809_16.37E Wild Horse Expansion DeferralRevwrkingfile SF 2 2" xfId="4156"/>
    <cellStyle name="_Costs not in AURORA 2007 Rate Case_(C) WHE Proforma with ITC cash grant 10 Yr Amort_for deferral_102809_16.37E Wild Horse Expansion DeferralRevwrkingfile SF 3" xfId="4157"/>
    <cellStyle name="_Costs not in AURORA 2007 Rate Case_(C) WHE Proforma with ITC cash grant 10 Yr Amort_for deferral_102809_16.37E Wild Horse Expansion DeferralRevwrkingfile SF_DEM-WP(C) ENERG10C--ctn Mid-C_042010 2010GRC" xfId="4158"/>
    <cellStyle name="_Costs not in AURORA 2007 Rate Case_(C) WHE Proforma with ITC cash grant 10 Yr Amort_for deferral_102809_DEM-WP(C) ENERG10C--ctn Mid-C_042010 2010GRC" xfId="4159"/>
    <cellStyle name="_Costs not in AURORA 2007 Rate Case_(C) WHE Proforma with ITC cash grant 10 Yr Amort_for rebuttal_120709" xfId="4160"/>
    <cellStyle name="_Costs not in AURORA 2007 Rate Case_(C) WHE Proforma with ITC cash grant 10 Yr Amort_for rebuttal_120709 2" xfId="4161"/>
    <cellStyle name="_Costs not in AURORA 2007 Rate Case_(C) WHE Proforma with ITC cash grant 10 Yr Amort_for rebuttal_120709 2 2" xfId="4162"/>
    <cellStyle name="_Costs not in AURORA 2007 Rate Case_(C) WHE Proforma with ITC cash grant 10 Yr Amort_for rebuttal_120709 3" xfId="4163"/>
    <cellStyle name="_Costs not in AURORA 2007 Rate Case_(C) WHE Proforma with ITC cash grant 10 Yr Amort_for rebuttal_120709_DEM-WP(C) ENERG10C--ctn Mid-C_042010 2010GRC" xfId="4164"/>
    <cellStyle name="_Costs not in AURORA 2007 Rate Case_04.07E Wild Horse Wind Expansion" xfId="4165"/>
    <cellStyle name="_Costs not in AURORA 2007 Rate Case_04.07E Wild Horse Wind Expansion 2" xfId="4166"/>
    <cellStyle name="_Costs not in AURORA 2007 Rate Case_04.07E Wild Horse Wind Expansion 2 2" xfId="4167"/>
    <cellStyle name="_Costs not in AURORA 2007 Rate Case_04.07E Wild Horse Wind Expansion 3" xfId="4168"/>
    <cellStyle name="_Costs not in AURORA 2007 Rate Case_04.07E Wild Horse Wind Expansion_16.07E Wild Horse Wind Expansionwrkingfile" xfId="4169"/>
    <cellStyle name="_Costs not in AURORA 2007 Rate Case_04.07E Wild Horse Wind Expansion_16.07E Wild Horse Wind Expansionwrkingfile 2" xfId="4170"/>
    <cellStyle name="_Costs not in AURORA 2007 Rate Case_04.07E Wild Horse Wind Expansion_16.07E Wild Horse Wind Expansionwrkingfile 2 2" xfId="4171"/>
    <cellStyle name="_Costs not in AURORA 2007 Rate Case_04.07E Wild Horse Wind Expansion_16.07E Wild Horse Wind Expansionwrkingfile 3" xfId="4172"/>
    <cellStyle name="_Costs not in AURORA 2007 Rate Case_04.07E Wild Horse Wind Expansion_16.07E Wild Horse Wind Expansionwrkingfile SF" xfId="4173"/>
    <cellStyle name="_Costs not in AURORA 2007 Rate Case_04.07E Wild Horse Wind Expansion_16.07E Wild Horse Wind Expansionwrkingfile SF 2" xfId="4174"/>
    <cellStyle name="_Costs not in AURORA 2007 Rate Case_04.07E Wild Horse Wind Expansion_16.07E Wild Horse Wind Expansionwrkingfile SF 2 2" xfId="4175"/>
    <cellStyle name="_Costs not in AURORA 2007 Rate Case_04.07E Wild Horse Wind Expansion_16.07E Wild Horse Wind Expansionwrkingfile SF 3" xfId="4176"/>
    <cellStyle name="_Costs not in AURORA 2007 Rate Case_04.07E Wild Horse Wind Expansion_16.07E Wild Horse Wind Expansionwrkingfile SF_DEM-WP(C) ENERG10C--ctn Mid-C_042010 2010GRC" xfId="4177"/>
    <cellStyle name="_Costs not in AURORA 2007 Rate Case_04.07E Wild Horse Wind Expansion_16.07E Wild Horse Wind Expansionwrkingfile_DEM-WP(C) ENERG10C--ctn Mid-C_042010 2010GRC" xfId="4178"/>
    <cellStyle name="_Costs not in AURORA 2007 Rate Case_04.07E Wild Horse Wind Expansion_16.37E Wild Horse Expansion DeferralRevwrkingfile SF" xfId="4179"/>
    <cellStyle name="_Costs not in AURORA 2007 Rate Case_04.07E Wild Horse Wind Expansion_16.37E Wild Horse Expansion DeferralRevwrkingfile SF 2" xfId="4180"/>
    <cellStyle name="_Costs not in AURORA 2007 Rate Case_04.07E Wild Horse Wind Expansion_16.37E Wild Horse Expansion DeferralRevwrkingfile SF 2 2" xfId="4181"/>
    <cellStyle name="_Costs not in AURORA 2007 Rate Case_04.07E Wild Horse Wind Expansion_16.37E Wild Horse Expansion DeferralRevwrkingfile SF 3" xfId="4182"/>
    <cellStyle name="_Costs not in AURORA 2007 Rate Case_04.07E Wild Horse Wind Expansion_16.37E Wild Horse Expansion DeferralRevwrkingfile SF_DEM-WP(C) ENERG10C--ctn Mid-C_042010 2010GRC" xfId="4183"/>
    <cellStyle name="_Costs not in AURORA 2007 Rate Case_04.07E Wild Horse Wind Expansion_DEM-WP(C) ENERG10C--ctn Mid-C_042010 2010GRC" xfId="4184"/>
    <cellStyle name="_Costs not in AURORA 2007 Rate Case_16.07E Wild Horse Wind Expansionwrkingfile" xfId="4185"/>
    <cellStyle name="_Costs not in AURORA 2007 Rate Case_16.07E Wild Horse Wind Expansionwrkingfile 2" xfId="4186"/>
    <cellStyle name="_Costs not in AURORA 2007 Rate Case_16.07E Wild Horse Wind Expansionwrkingfile 2 2" xfId="4187"/>
    <cellStyle name="_Costs not in AURORA 2007 Rate Case_16.07E Wild Horse Wind Expansionwrkingfile 3" xfId="4188"/>
    <cellStyle name="_Costs not in AURORA 2007 Rate Case_16.07E Wild Horse Wind Expansionwrkingfile SF" xfId="4189"/>
    <cellStyle name="_Costs not in AURORA 2007 Rate Case_16.07E Wild Horse Wind Expansionwrkingfile SF 2" xfId="4190"/>
    <cellStyle name="_Costs not in AURORA 2007 Rate Case_16.07E Wild Horse Wind Expansionwrkingfile SF 2 2" xfId="4191"/>
    <cellStyle name="_Costs not in AURORA 2007 Rate Case_16.07E Wild Horse Wind Expansionwrkingfile SF 3" xfId="4192"/>
    <cellStyle name="_Costs not in AURORA 2007 Rate Case_16.07E Wild Horse Wind Expansionwrkingfile SF_DEM-WP(C) ENERG10C--ctn Mid-C_042010 2010GRC" xfId="4193"/>
    <cellStyle name="_Costs not in AURORA 2007 Rate Case_16.07E Wild Horse Wind Expansionwrkingfile_DEM-WP(C) ENERG10C--ctn Mid-C_042010 2010GRC" xfId="4194"/>
    <cellStyle name="_Costs not in AURORA 2007 Rate Case_16.37E Wild Horse Expansion DeferralRevwrkingfile SF" xfId="4195"/>
    <cellStyle name="_Costs not in AURORA 2007 Rate Case_16.37E Wild Horse Expansion DeferralRevwrkingfile SF 2" xfId="4196"/>
    <cellStyle name="_Costs not in AURORA 2007 Rate Case_16.37E Wild Horse Expansion DeferralRevwrkingfile SF 2 2" xfId="4197"/>
    <cellStyle name="_Costs not in AURORA 2007 Rate Case_16.37E Wild Horse Expansion DeferralRevwrkingfile SF 3" xfId="4198"/>
    <cellStyle name="_Costs not in AURORA 2007 Rate Case_16.37E Wild Horse Expansion DeferralRevwrkingfile SF_DEM-WP(C) ENERG10C--ctn Mid-C_042010 2010GRC" xfId="4199"/>
    <cellStyle name="_Costs not in AURORA 2007 Rate Case_2009 Compliance Filing PCA Exhibits for GRC" xfId="4200"/>
    <cellStyle name="_Costs not in AURORA 2007 Rate Case_2009 Compliance Filing PCA Exhibits for GRC 2" xfId="4201"/>
    <cellStyle name="_Costs not in AURORA 2007 Rate Case_2009 GRC Compl Filing - Exhibit D" xfId="4202"/>
    <cellStyle name="_Costs not in AURORA 2007 Rate Case_2009 GRC Compl Filing - Exhibit D 2" xfId="4203"/>
    <cellStyle name="_Costs not in AURORA 2007 Rate Case_2009 GRC Compl Filing - Exhibit D 2 2" xfId="4204"/>
    <cellStyle name="_Costs not in AURORA 2007 Rate Case_2009 GRC Compl Filing - Exhibit D 3" xfId="4205"/>
    <cellStyle name="_Costs not in AURORA 2007 Rate Case_2009 GRC Compl Filing - Exhibit D_DEM-WP(C) ENERG10C--ctn Mid-C_042010 2010GRC" xfId="4206"/>
    <cellStyle name="_Costs not in AURORA 2007 Rate Case_3.01 Income Statement" xfId="4207"/>
    <cellStyle name="_Costs not in AURORA 2007 Rate Case_4 31 Regulatory Assets and Liabilities  7 06- Exhibit D" xfId="4208"/>
    <cellStyle name="_Costs not in AURORA 2007 Rate Case_4 31 Regulatory Assets and Liabilities  7 06- Exhibit D 2" xfId="4209"/>
    <cellStyle name="_Costs not in AURORA 2007 Rate Case_4 31 Regulatory Assets and Liabilities  7 06- Exhibit D 2 2" xfId="4210"/>
    <cellStyle name="_Costs not in AURORA 2007 Rate Case_4 31 Regulatory Assets and Liabilities  7 06- Exhibit D 3" xfId="4211"/>
    <cellStyle name="_Costs not in AURORA 2007 Rate Case_4 31 Regulatory Assets and Liabilities  7 06- Exhibit D_DEM-WP(C) ENERG10C--ctn Mid-C_042010 2010GRC" xfId="4212"/>
    <cellStyle name="_Costs not in AURORA 2007 Rate Case_4 31 Regulatory Assets and Liabilities  7 06- Exhibit D_NIM Summary" xfId="4213"/>
    <cellStyle name="_Costs not in AURORA 2007 Rate Case_4 31 Regulatory Assets and Liabilities  7 06- Exhibit D_NIM Summary 2" xfId="4214"/>
    <cellStyle name="_Costs not in AURORA 2007 Rate Case_4 31 Regulatory Assets and Liabilities  7 06- Exhibit D_NIM Summary 2 2" xfId="4215"/>
    <cellStyle name="_Costs not in AURORA 2007 Rate Case_4 31 Regulatory Assets and Liabilities  7 06- Exhibit D_NIM Summary 3" xfId="4216"/>
    <cellStyle name="_Costs not in AURORA 2007 Rate Case_4 31 Regulatory Assets and Liabilities  7 06- Exhibit D_NIM Summary_DEM-WP(C) ENERG10C--ctn Mid-C_042010 2010GRC" xfId="4217"/>
    <cellStyle name="_Costs not in AURORA 2007 Rate Case_4 31E Reg Asset  Liab and EXH D" xfId="4218"/>
    <cellStyle name="_Costs not in AURORA 2007 Rate Case_4 31E Reg Asset  Liab and EXH D _ Aug 10 Filing (2)" xfId="4219"/>
    <cellStyle name="_Costs not in AURORA 2007 Rate Case_4 31E Reg Asset  Liab and EXH D _ Aug 10 Filing (2) 2" xfId="4220"/>
    <cellStyle name="_Costs not in AURORA 2007 Rate Case_4 31E Reg Asset  Liab and EXH D 2" xfId="4221"/>
    <cellStyle name="_Costs not in AURORA 2007 Rate Case_4 31E Reg Asset  Liab and EXH D 3" xfId="4222"/>
    <cellStyle name="_Costs not in AURORA 2007 Rate Case_4 32 Regulatory Assets and Liabilities  7 06- Exhibit D" xfId="4223"/>
    <cellStyle name="_Costs not in AURORA 2007 Rate Case_4 32 Regulatory Assets and Liabilities  7 06- Exhibit D 2" xfId="4224"/>
    <cellStyle name="_Costs not in AURORA 2007 Rate Case_4 32 Regulatory Assets and Liabilities  7 06- Exhibit D 2 2" xfId="4225"/>
    <cellStyle name="_Costs not in AURORA 2007 Rate Case_4 32 Regulatory Assets and Liabilities  7 06- Exhibit D 3" xfId="4226"/>
    <cellStyle name="_Costs not in AURORA 2007 Rate Case_4 32 Regulatory Assets and Liabilities  7 06- Exhibit D_DEM-WP(C) ENERG10C--ctn Mid-C_042010 2010GRC" xfId="4227"/>
    <cellStyle name="_Costs not in AURORA 2007 Rate Case_4 32 Regulatory Assets and Liabilities  7 06- Exhibit D_NIM Summary" xfId="4228"/>
    <cellStyle name="_Costs not in AURORA 2007 Rate Case_4 32 Regulatory Assets and Liabilities  7 06- Exhibit D_NIM Summary 2" xfId="4229"/>
    <cellStyle name="_Costs not in AURORA 2007 Rate Case_4 32 Regulatory Assets and Liabilities  7 06- Exhibit D_NIM Summary 2 2" xfId="4230"/>
    <cellStyle name="_Costs not in AURORA 2007 Rate Case_4 32 Regulatory Assets and Liabilities  7 06- Exhibit D_NIM Summary 3" xfId="4231"/>
    <cellStyle name="_Costs not in AURORA 2007 Rate Case_4 32 Regulatory Assets and Liabilities  7 06- Exhibit D_NIM Summary_DEM-WP(C) ENERG10C--ctn Mid-C_042010 2010GRC" xfId="4232"/>
    <cellStyle name="_Costs not in AURORA 2007 Rate Case_AURORA Total New" xfId="4233"/>
    <cellStyle name="_Costs not in AURORA 2007 Rate Case_AURORA Total New 2" xfId="4234"/>
    <cellStyle name="_Costs not in AURORA 2007 Rate Case_AURORA Total New 2 2" xfId="4235"/>
    <cellStyle name="_Costs not in AURORA 2007 Rate Case_AURORA Total New 3" xfId="4236"/>
    <cellStyle name="_Costs not in AURORA 2007 Rate Case_Book2" xfId="4237"/>
    <cellStyle name="_Costs not in AURORA 2007 Rate Case_Book2 2" xfId="4238"/>
    <cellStyle name="_Costs not in AURORA 2007 Rate Case_Book2 2 2" xfId="4239"/>
    <cellStyle name="_Costs not in AURORA 2007 Rate Case_Book2 3" xfId="4240"/>
    <cellStyle name="_Costs not in AURORA 2007 Rate Case_Book2_Adj Bench DR 3 for Initial Briefs (Electric)" xfId="4241"/>
    <cellStyle name="_Costs not in AURORA 2007 Rate Case_Book2_Adj Bench DR 3 for Initial Briefs (Electric) 2" xfId="4242"/>
    <cellStyle name="_Costs not in AURORA 2007 Rate Case_Book2_Adj Bench DR 3 for Initial Briefs (Electric) 2 2" xfId="4243"/>
    <cellStyle name="_Costs not in AURORA 2007 Rate Case_Book2_Adj Bench DR 3 for Initial Briefs (Electric) 3" xfId="4244"/>
    <cellStyle name="_Costs not in AURORA 2007 Rate Case_Book2_Adj Bench DR 3 for Initial Briefs (Electric)_DEM-WP(C) ENERG10C--ctn Mid-C_042010 2010GRC" xfId="4245"/>
    <cellStyle name="_Costs not in AURORA 2007 Rate Case_Book2_DEM-WP(C) ENERG10C--ctn Mid-C_042010 2010GRC" xfId="4246"/>
    <cellStyle name="_Costs not in AURORA 2007 Rate Case_Book2_Electric Rev Req Model (2009 GRC) Rebuttal" xfId="4247"/>
    <cellStyle name="_Costs not in AURORA 2007 Rate Case_Book2_Electric Rev Req Model (2009 GRC) Rebuttal 2" xfId="4248"/>
    <cellStyle name="_Costs not in AURORA 2007 Rate Case_Book2_Electric Rev Req Model (2009 GRC) Rebuttal REmoval of New  WH Solar AdjustMI" xfId="4249"/>
    <cellStyle name="_Costs not in AURORA 2007 Rate Case_Book2_Electric Rev Req Model (2009 GRC) Rebuttal REmoval of New  WH Solar AdjustMI 2" xfId="4250"/>
    <cellStyle name="_Costs not in AURORA 2007 Rate Case_Book2_Electric Rev Req Model (2009 GRC) Rebuttal REmoval of New  WH Solar AdjustMI 2 2" xfId="4251"/>
    <cellStyle name="_Costs not in AURORA 2007 Rate Case_Book2_Electric Rev Req Model (2009 GRC) Rebuttal REmoval of New  WH Solar AdjustMI 3" xfId="4252"/>
    <cellStyle name="_Costs not in AURORA 2007 Rate Case_Book2_Electric Rev Req Model (2009 GRC) Rebuttal REmoval of New  WH Solar AdjustMI_DEM-WP(C) ENERG10C--ctn Mid-C_042010 2010GRC" xfId="4253"/>
    <cellStyle name="_Costs not in AURORA 2007 Rate Case_Book2_Electric Rev Req Model (2009 GRC) Revised 01-18-2010" xfId="4254"/>
    <cellStyle name="_Costs not in AURORA 2007 Rate Case_Book2_Electric Rev Req Model (2009 GRC) Revised 01-18-2010 2" xfId="4255"/>
    <cellStyle name="_Costs not in AURORA 2007 Rate Case_Book2_Electric Rev Req Model (2009 GRC) Revised 01-18-2010 2 2" xfId="4256"/>
    <cellStyle name="_Costs not in AURORA 2007 Rate Case_Book2_Electric Rev Req Model (2009 GRC) Revised 01-18-2010 3" xfId="4257"/>
    <cellStyle name="_Costs not in AURORA 2007 Rate Case_Book2_Electric Rev Req Model (2009 GRC) Revised 01-18-2010_DEM-WP(C) ENERG10C--ctn Mid-C_042010 2010GRC" xfId="4258"/>
    <cellStyle name="_Costs not in AURORA 2007 Rate Case_Book2_Final Order Electric EXHIBIT A-1" xfId="4259"/>
    <cellStyle name="_Costs not in AURORA 2007 Rate Case_Book2_Final Order Electric EXHIBIT A-1 2" xfId="4260"/>
    <cellStyle name="_Costs not in AURORA 2007 Rate Case_Book4" xfId="4261"/>
    <cellStyle name="_Costs not in AURORA 2007 Rate Case_Book4 2" xfId="4262"/>
    <cellStyle name="_Costs not in AURORA 2007 Rate Case_Book4 2 2" xfId="4263"/>
    <cellStyle name="_Costs not in AURORA 2007 Rate Case_Book4 3" xfId="4264"/>
    <cellStyle name="_Costs not in AURORA 2007 Rate Case_Book4_DEM-WP(C) ENERG10C--ctn Mid-C_042010 2010GRC" xfId="4265"/>
    <cellStyle name="_Costs not in AURORA 2007 Rate Case_Book9" xfId="4266"/>
    <cellStyle name="_Costs not in AURORA 2007 Rate Case_Book9 2" xfId="4267"/>
    <cellStyle name="_Costs not in AURORA 2007 Rate Case_Book9 2 2" xfId="4268"/>
    <cellStyle name="_Costs not in AURORA 2007 Rate Case_Book9 3" xfId="4269"/>
    <cellStyle name="_Costs not in AURORA 2007 Rate Case_Book9_DEM-WP(C) ENERG10C--ctn Mid-C_042010 2010GRC" xfId="4270"/>
    <cellStyle name="_Costs not in AURORA 2007 Rate Case_Chelan PUD Power Costs (8-10)" xfId="4271"/>
    <cellStyle name="_Costs not in AURORA 2007 Rate Case_Chelan PUD Power Costs (8-10) 2" xfId="4272"/>
    <cellStyle name="_Costs not in AURORA 2007 Rate Case_DEM-WP(C) Chelan Power Costs" xfId="4273"/>
    <cellStyle name="_Costs not in AURORA 2007 Rate Case_DEM-WP(C) Chelan Power Costs 2" xfId="4274"/>
    <cellStyle name="_Costs not in AURORA 2007 Rate Case_DEM-WP(C) ENERG10C--ctn Mid-C_042010 2010GRC" xfId="4275"/>
    <cellStyle name="_Costs not in AURORA 2007 Rate Case_DEM-WP(C) Gas Transport 2010GRC" xfId="4276"/>
    <cellStyle name="_Costs not in AURORA 2007 Rate Case_DEM-WP(C) Gas Transport 2010GRC 2" xfId="4277"/>
    <cellStyle name="_Costs not in AURORA 2007 Rate Case_Exh A-1 resulting from UE-112050 effective Jan 1 2012" xfId="4278"/>
    <cellStyle name="_Costs not in AURORA 2007 Rate Case_Exh G - Klamath Peaker PPA fr C Locke 2-12" xfId="4279"/>
    <cellStyle name="_Costs not in AURORA 2007 Rate Case_Exhibit A-1 effective 4-1-11 fr S Free 12-11" xfId="4280"/>
    <cellStyle name="_Costs not in AURORA 2007 Rate Case_LSRWEP LGIA like Acctg Petition Aug 2010" xfId="4281"/>
    <cellStyle name="_Costs not in AURORA 2007 Rate Case_Mint Farm Generation BPA" xfId="4282"/>
    <cellStyle name="_Costs not in AURORA 2007 Rate Case_NIM Summary" xfId="4283"/>
    <cellStyle name="_Costs not in AURORA 2007 Rate Case_NIM Summary 09GRC" xfId="4284"/>
    <cellStyle name="_Costs not in AURORA 2007 Rate Case_NIM Summary 09GRC 2" xfId="4285"/>
    <cellStyle name="_Costs not in AURORA 2007 Rate Case_NIM Summary 09GRC 2 2" xfId="4286"/>
    <cellStyle name="_Costs not in AURORA 2007 Rate Case_NIM Summary 09GRC 3" xfId="4287"/>
    <cellStyle name="_Costs not in AURORA 2007 Rate Case_NIM Summary 09GRC_DEM-WP(C) ENERG10C--ctn Mid-C_042010 2010GRC" xfId="4288"/>
    <cellStyle name="_Costs not in AURORA 2007 Rate Case_NIM Summary 10" xfId="4289"/>
    <cellStyle name="_Costs not in AURORA 2007 Rate Case_NIM Summary 11" xfId="4290"/>
    <cellStyle name="_Costs not in AURORA 2007 Rate Case_NIM Summary 12" xfId="4291"/>
    <cellStyle name="_Costs not in AURORA 2007 Rate Case_NIM Summary 13" xfId="4292"/>
    <cellStyle name="_Costs not in AURORA 2007 Rate Case_NIM Summary 14" xfId="4293"/>
    <cellStyle name="_Costs not in AURORA 2007 Rate Case_NIM Summary 15" xfId="4294"/>
    <cellStyle name="_Costs not in AURORA 2007 Rate Case_NIM Summary 16" xfId="4295"/>
    <cellStyle name="_Costs not in AURORA 2007 Rate Case_NIM Summary 17" xfId="4296"/>
    <cellStyle name="_Costs not in AURORA 2007 Rate Case_NIM Summary 18" xfId="4297"/>
    <cellStyle name="_Costs not in AURORA 2007 Rate Case_NIM Summary 19" xfId="4298"/>
    <cellStyle name="_Costs not in AURORA 2007 Rate Case_NIM Summary 2" xfId="4299"/>
    <cellStyle name="_Costs not in AURORA 2007 Rate Case_NIM Summary 2 2" xfId="4300"/>
    <cellStyle name="_Costs not in AURORA 2007 Rate Case_NIM Summary 20" xfId="4301"/>
    <cellStyle name="_Costs not in AURORA 2007 Rate Case_NIM Summary 21" xfId="4302"/>
    <cellStyle name="_Costs not in AURORA 2007 Rate Case_NIM Summary 22" xfId="4303"/>
    <cellStyle name="_Costs not in AURORA 2007 Rate Case_NIM Summary 23" xfId="4304"/>
    <cellStyle name="_Costs not in AURORA 2007 Rate Case_NIM Summary 24" xfId="4305"/>
    <cellStyle name="_Costs not in AURORA 2007 Rate Case_NIM Summary 25" xfId="4306"/>
    <cellStyle name="_Costs not in AURORA 2007 Rate Case_NIM Summary 26" xfId="4307"/>
    <cellStyle name="_Costs not in AURORA 2007 Rate Case_NIM Summary 27" xfId="4308"/>
    <cellStyle name="_Costs not in AURORA 2007 Rate Case_NIM Summary 28" xfId="4309"/>
    <cellStyle name="_Costs not in AURORA 2007 Rate Case_NIM Summary 29" xfId="4310"/>
    <cellStyle name="_Costs not in AURORA 2007 Rate Case_NIM Summary 3" xfId="4311"/>
    <cellStyle name="_Costs not in AURORA 2007 Rate Case_NIM Summary 30" xfId="4312"/>
    <cellStyle name="_Costs not in AURORA 2007 Rate Case_NIM Summary 31" xfId="4313"/>
    <cellStyle name="_Costs not in AURORA 2007 Rate Case_NIM Summary 32" xfId="4314"/>
    <cellStyle name="_Costs not in AURORA 2007 Rate Case_NIM Summary 33" xfId="4315"/>
    <cellStyle name="_Costs not in AURORA 2007 Rate Case_NIM Summary 34" xfId="4316"/>
    <cellStyle name="_Costs not in AURORA 2007 Rate Case_NIM Summary 35" xfId="4317"/>
    <cellStyle name="_Costs not in AURORA 2007 Rate Case_NIM Summary 36" xfId="4318"/>
    <cellStyle name="_Costs not in AURORA 2007 Rate Case_NIM Summary 37" xfId="4319"/>
    <cellStyle name="_Costs not in AURORA 2007 Rate Case_NIM Summary 38" xfId="4320"/>
    <cellStyle name="_Costs not in AURORA 2007 Rate Case_NIM Summary 39" xfId="4321"/>
    <cellStyle name="_Costs not in AURORA 2007 Rate Case_NIM Summary 4" xfId="4322"/>
    <cellStyle name="_Costs not in AURORA 2007 Rate Case_NIM Summary 40" xfId="4323"/>
    <cellStyle name="_Costs not in AURORA 2007 Rate Case_NIM Summary 41" xfId="4324"/>
    <cellStyle name="_Costs not in AURORA 2007 Rate Case_NIM Summary 42" xfId="4325"/>
    <cellStyle name="_Costs not in AURORA 2007 Rate Case_NIM Summary 43" xfId="4326"/>
    <cellStyle name="_Costs not in AURORA 2007 Rate Case_NIM Summary 44" xfId="4327"/>
    <cellStyle name="_Costs not in AURORA 2007 Rate Case_NIM Summary 45" xfId="4328"/>
    <cellStyle name="_Costs not in AURORA 2007 Rate Case_NIM Summary 46" xfId="4329"/>
    <cellStyle name="_Costs not in AURORA 2007 Rate Case_NIM Summary 47" xfId="4330"/>
    <cellStyle name="_Costs not in AURORA 2007 Rate Case_NIM Summary 48" xfId="4331"/>
    <cellStyle name="_Costs not in AURORA 2007 Rate Case_NIM Summary 49" xfId="4332"/>
    <cellStyle name="_Costs not in AURORA 2007 Rate Case_NIM Summary 5" xfId="4333"/>
    <cellStyle name="_Costs not in AURORA 2007 Rate Case_NIM Summary 50" xfId="4334"/>
    <cellStyle name="_Costs not in AURORA 2007 Rate Case_NIM Summary 51" xfId="4335"/>
    <cellStyle name="_Costs not in AURORA 2007 Rate Case_NIM Summary 52" xfId="4336"/>
    <cellStyle name="_Costs not in AURORA 2007 Rate Case_NIM Summary 6" xfId="4337"/>
    <cellStyle name="_Costs not in AURORA 2007 Rate Case_NIM Summary 7" xfId="4338"/>
    <cellStyle name="_Costs not in AURORA 2007 Rate Case_NIM Summary 8" xfId="4339"/>
    <cellStyle name="_Costs not in AURORA 2007 Rate Case_NIM Summary 9" xfId="4340"/>
    <cellStyle name="_Costs not in AURORA 2007 Rate Case_NIM Summary_DEM-WP(C) ENERG10C--ctn Mid-C_042010 2010GRC" xfId="4341"/>
    <cellStyle name="_Costs not in AURORA 2007 Rate Case_PCA 10 -  Exhibit D Dec 2011" xfId="4342"/>
    <cellStyle name="_Costs not in AURORA 2007 Rate Case_PCA 10 -  Exhibit D from A Kellogg Jan 2011" xfId="4343"/>
    <cellStyle name="_Costs not in AURORA 2007 Rate Case_PCA 10 -  Exhibit D from A Kellogg July 2011" xfId="4344"/>
    <cellStyle name="_Costs not in AURORA 2007 Rate Case_PCA 10 -  Exhibit D from S Free Rcv'd 12-11" xfId="4345"/>
    <cellStyle name="_Costs not in AURORA 2007 Rate Case_PCA 11 -  Exhibit D Jan 2012 fr A Kellogg" xfId="4346"/>
    <cellStyle name="_Costs not in AURORA 2007 Rate Case_PCA 11 -  Exhibit D Jan 2012 WF" xfId="4347"/>
    <cellStyle name="_Costs not in AURORA 2007 Rate Case_PCA 9 -  Exhibit D April 2010" xfId="4348"/>
    <cellStyle name="_Costs not in AURORA 2007 Rate Case_PCA 9 -  Exhibit D April 2010 (3)" xfId="4349"/>
    <cellStyle name="_Costs not in AURORA 2007 Rate Case_PCA 9 -  Exhibit D April 2010 (3) 2" xfId="4350"/>
    <cellStyle name="_Costs not in AURORA 2007 Rate Case_PCA 9 -  Exhibit D April 2010 (3) 2 2" xfId="4351"/>
    <cellStyle name="_Costs not in AURORA 2007 Rate Case_PCA 9 -  Exhibit D April 2010 (3) 3" xfId="4352"/>
    <cellStyle name="_Costs not in AURORA 2007 Rate Case_PCA 9 -  Exhibit D April 2010 (3)_DEM-WP(C) ENERG10C--ctn Mid-C_042010 2010GRC" xfId="4353"/>
    <cellStyle name="_Costs not in AURORA 2007 Rate Case_PCA 9 -  Exhibit D April 2010 2" xfId="4354"/>
    <cellStyle name="_Costs not in AURORA 2007 Rate Case_PCA 9 -  Exhibit D April 2010 3" xfId="4355"/>
    <cellStyle name="_Costs not in AURORA 2007 Rate Case_PCA 9 -  Exhibit D April 2010 4" xfId="4356"/>
    <cellStyle name="_Costs not in AURORA 2007 Rate Case_PCA 9 -  Exhibit D April 2010 5" xfId="4357"/>
    <cellStyle name="_Costs not in AURORA 2007 Rate Case_PCA 9 -  Exhibit D April 2010 6" xfId="4358"/>
    <cellStyle name="_Costs not in AURORA 2007 Rate Case_PCA 9 -  Exhibit D Nov 2010" xfId="4359"/>
    <cellStyle name="_Costs not in AURORA 2007 Rate Case_PCA 9 -  Exhibit D Nov 2010 2" xfId="4360"/>
    <cellStyle name="_Costs not in AURORA 2007 Rate Case_PCA 9 - Exhibit D at August 2010" xfId="4361"/>
    <cellStyle name="_Costs not in AURORA 2007 Rate Case_PCA 9 - Exhibit D at August 2010 2" xfId="4362"/>
    <cellStyle name="_Costs not in AURORA 2007 Rate Case_PCA 9 - Exhibit D June 2010 GRC" xfId="4363"/>
    <cellStyle name="_Costs not in AURORA 2007 Rate Case_PCA 9 - Exhibit D June 2010 GRC 2" xfId="4364"/>
    <cellStyle name="_Costs not in AURORA 2007 Rate Case_Power Costs - Comparison bx Rbtl-Staff-Jt-PC" xfId="4365"/>
    <cellStyle name="_Costs not in AURORA 2007 Rate Case_Power Costs - Comparison bx Rbtl-Staff-Jt-PC 2" xfId="4366"/>
    <cellStyle name="_Costs not in AURORA 2007 Rate Case_Power Costs - Comparison bx Rbtl-Staff-Jt-PC 2 2" xfId="4367"/>
    <cellStyle name="_Costs not in AURORA 2007 Rate Case_Power Costs - Comparison bx Rbtl-Staff-Jt-PC 3" xfId="4368"/>
    <cellStyle name="_Costs not in AURORA 2007 Rate Case_Power Costs - Comparison bx Rbtl-Staff-Jt-PC_Adj Bench DR 3 for Initial Briefs (Electric)" xfId="4369"/>
    <cellStyle name="_Costs not in AURORA 2007 Rate Case_Power Costs - Comparison bx Rbtl-Staff-Jt-PC_Adj Bench DR 3 for Initial Briefs (Electric) 2" xfId="4370"/>
    <cellStyle name="_Costs not in AURORA 2007 Rate Case_Power Costs - Comparison bx Rbtl-Staff-Jt-PC_Adj Bench DR 3 for Initial Briefs (Electric) 2 2" xfId="4371"/>
    <cellStyle name="_Costs not in AURORA 2007 Rate Case_Power Costs - Comparison bx Rbtl-Staff-Jt-PC_Adj Bench DR 3 for Initial Briefs (Electric) 3" xfId="4372"/>
    <cellStyle name="_Costs not in AURORA 2007 Rate Case_Power Costs - Comparison bx Rbtl-Staff-Jt-PC_Adj Bench DR 3 for Initial Briefs (Electric)_DEM-WP(C) ENERG10C--ctn Mid-C_042010 2010GRC" xfId="4373"/>
    <cellStyle name="_Costs not in AURORA 2007 Rate Case_Power Costs - Comparison bx Rbtl-Staff-Jt-PC_DEM-WP(C) ENERG10C--ctn Mid-C_042010 2010GRC" xfId="4374"/>
    <cellStyle name="_Costs not in AURORA 2007 Rate Case_Power Costs - Comparison bx Rbtl-Staff-Jt-PC_Electric Rev Req Model (2009 GRC) Rebuttal" xfId="4375"/>
    <cellStyle name="_Costs not in AURORA 2007 Rate Case_Power Costs - Comparison bx Rbtl-Staff-Jt-PC_Electric Rev Req Model (2009 GRC) Rebuttal 2" xfId="4376"/>
    <cellStyle name="_Costs not in AURORA 2007 Rate Case_Power Costs - Comparison bx Rbtl-Staff-Jt-PC_Electric Rev Req Model (2009 GRC) Rebuttal REmoval of New  WH Solar AdjustMI" xfId="4377"/>
    <cellStyle name="_Costs not in AURORA 2007 Rate Case_Power Costs - Comparison bx Rbtl-Staff-Jt-PC_Electric Rev Req Model (2009 GRC) Rebuttal REmoval of New  WH Solar AdjustMI 2" xfId="4378"/>
    <cellStyle name="_Costs not in AURORA 2007 Rate Case_Power Costs - Comparison bx Rbtl-Staff-Jt-PC_Electric Rev Req Model (2009 GRC) Rebuttal REmoval of New  WH Solar AdjustMI 2 2" xfId="4379"/>
    <cellStyle name="_Costs not in AURORA 2007 Rate Case_Power Costs - Comparison bx Rbtl-Staff-Jt-PC_Electric Rev Req Model (2009 GRC) Rebuttal REmoval of New  WH Solar AdjustMI 3" xfId="4380"/>
    <cellStyle name="_Costs not in AURORA 2007 Rate Case_Power Costs - Comparison bx Rbtl-Staff-Jt-PC_Electric Rev Req Model (2009 GRC) Rebuttal REmoval of New  WH Solar AdjustMI_DEM-WP(C) ENERG10C--ctn Mid-C_042010 2010GRC" xfId="4381"/>
    <cellStyle name="_Costs not in AURORA 2007 Rate Case_Power Costs - Comparison bx Rbtl-Staff-Jt-PC_Electric Rev Req Model (2009 GRC) Revised 01-18-2010" xfId="4382"/>
    <cellStyle name="_Costs not in AURORA 2007 Rate Case_Power Costs - Comparison bx Rbtl-Staff-Jt-PC_Electric Rev Req Model (2009 GRC) Revised 01-18-2010 2" xfId="4383"/>
    <cellStyle name="_Costs not in AURORA 2007 Rate Case_Power Costs - Comparison bx Rbtl-Staff-Jt-PC_Electric Rev Req Model (2009 GRC) Revised 01-18-2010 2 2" xfId="4384"/>
    <cellStyle name="_Costs not in AURORA 2007 Rate Case_Power Costs - Comparison bx Rbtl-Staff-Jt-PC_Electric Rev Req Model (2009 GRC) Revised 01-18-2010 3" xfId="4385"/>
    <cellStyle name="_Costs not in AURORA 2007 Rate Case_Power Costs - Comparison bx Rbtl-Staff-Jt-PC_Electric Rev Req Model (2009 GRC) Revised 01-18-2010_DEM-WP(C) ENERG10C--ctn Mid-C_042010 2010GRC" xfId="4386"/>
    <cellStyle name="_Costs not in AURORA 2007 Rate Case_Power Costs - Comparison bx Rbtl-Staff-Jt-PC_Final Order Electric EXHIBIT A-1" xfId="4387"/>
    <cellStyle name="_Costs not in AURORA 2007 Rate Case_Power Costs - Comparison bx Rbtl-Staff-Jt-PC_Final Order Electric EXHIBIT A-1 2" xfId="4388"/>
    <cellStyle name="_Costs not in AURORA 2007 Rate Case_Production Adj 4.37" xfId="21256"/>
    <cellStyle name="_Costs not in AURORA 2007 Rate Case_Purchased Power Adj 4.03" xfId="21257"/>
    <cellStyle name="_Costs not in AURORA 2007 Rate Case_Rebuttal Power Costs" xfId="4389"/>
    <cellStyle name="_Costs not in AURORA 2007 Rate Case_Rebuttal Power Costs 2" xfId="4390"/>
    <cellStyle name="_Costs not in AURORA 2007 Rate Case_Rebuttal Power Costs 2 2" xfId="4391"/>
    <cellStyle name="_Costs not in AURORA 2007 Rate Case_Rebuttal Power Costs 3" xfId="4392"/>
    <cellStyle name="_Costs not in AURORA 2007 Rate Case_Rebuttal Power Costs_Adj Bench DR 3 for Initial Briefs (Electric)" xfId="4393"/>
    <cellStyle name="_Costs not in AURORA 2007 Rate Case_Rebuttal Power Costs_Adj Bench DR 3 for Initial Briefs (Electric) 2" xfId="4394"/>
    <cellStyle name="_Costs not in AURORA 2007 Rate Case_Rebuttal Power Costs_Adj Bench DR 3 for Initial Briefs (Electric) 2 2" xfId="4395"/>
    <cellStyle name="_Costs not in AURORA 2007 Rate Case_Rebuttal Power Costs_Adj Bench DR 3 for Initial Briefs (Electric) 3" xfId="4396"/>
    <cellStyle name="_Costs not in AURORA 2007 Rate Case_Rebuttal Power Costs_Adj Bench DR 3 for Initial Briefs (Electric)_DEM-WP(C) ENERG10C--ctn Mid-C_042010 2010GRC" xfId="4397"/>
    <cellStyle name="_Costs not in AURORA 2007 Rate Case_Rebuttal Power Costs_DEM-WP(C) ENERG10C--ctn Mid-C_042010 2010GRC" xfId="4398"/>
    <cellStyle name="_Costs not in AURORA 2007 Rate Case_Rebuttal Power Costs_Electric Rev Req Model (2009 GRC) Rebuttal" xfId="4399"/>
    <cellStyle name="_Costs not in AURORA 2007 Rate Case_Rebuttal Power Costs_Electric Rev Req Model (2009 GRC) Rebuttal 2" xfId="4400"/>
    <cellStyle name="_Costs not in AURORA 2007 Rate Case_Rebuttal Power Costs_Electric Rev Req Model (2009 GRC) Rebuttal REmoval of New  WH Solar AdjustMI" xfId="4401"/>
    <cellStyle name="_Costs not in AURORA 2007 Rate Case_Rebuttal Power Costs_Electric Rev Req Model (2009 GRC) Rebuttal REmoval of New  WH Solar AdjustMI 2" xfId="4402"/>
    <cellStyle name="_Costs not in AURORA 2007 Rate Case_Rebuttal Power Costs_Electric Rev Req Model (2009 GRC) Rebuttal REmoval of New  WH Solar AdjustMI 2 2" xfId="4403"/>
    <cellStyle name="_Costs not in AURORA 2007 Rate Case_Rebuttal Power Costs_Electric Rev Req Model (2009 GRC) Rebuttal REmoval of New  WH Solar AdjustMI 3" xfId="4404"/>
    <cellStyle name="_Costs not in AURORA 2007 Rate Case_Rebuttal Power Costs_Electric Rev Req Model (2009 GRC) Rebuttal REmoval of New  WH Solar AdjustMI_DEM-WP(C) ENERG10C--ctn Mid-C_042010 2010GRC" xfId="4405"/>
    <cellStyle name="_Costs not in AURORA 2007 Rate Case_Rebuttal Power Costs_Electric Rev Req Model (2009 GRC) Revised 01-18-2010" xfId="4406"/>
    <cellStyle name="_Costs not in AURORA 2007 Rate Case_Rebuttal Power Costs_Electric Rev Req Model (2009 GRC) Revised 01-18-2010 2" xfId="4407"/>
    <cellStyle name="_Costs not in AURORA 2007 Rate Case_Rebuttal Power Costs_Electric Rev Req Model (2009 GRC) Revised 01-18-2010 2 2" xfId="4408"/>
    <cellStyle name="_Costs not in AURORA 2007 Rate Case_Rebuttal Power Costs_Electric Rev Req Model (2009 GRC) Revised 01-18-2010 3" xfId="4409"/>
    <cellStyle name="_Costs not in AURORA 2007 Rate Case_Rebuttal Power Costs_Electric Rev Req Model (2009 GRC) Revised 01-18-2010_DEM-WP(C) ENERG10C--ctn Mid-C_042010 2010GRC" xfId="4410"/>
    <cellStyle name="_Costs not in AURORA 2007 Rate Case_Rebuttal Power Costs_Final Order Electric EXHIBIT A-1" xfId="4411"/>
    <cellStyle name="_Costs not in AURORA 2007 Rate Case_Rebuttal Power Costs_Final Order Electric EXHIBIT A-1 2" xfId="4412"/>
    <cellStyle name="_Costs not in AURORA 2007 Rate Case_ROR 5.02" xfId="21258"/>
    <cellStyle name="_Costs not in AURORA 2007 Rate Case_Transmission Workbook for May BOD" xfId="4413"/>
    <cellStyle name="_Costs not in AURORA 2007 Rate Case_Transmission Workbook for May BOD 2" xfId="4414"/>
    <cellStyle name="_Costs not in AURORA 2007 Rate Case_Transmission Workbook for May BOD 2 2" xfId="4415"/>
    <cellStyle name="_Costs not in AURORA 2007 Rate Case_Transmission Workbook for May BOD 3" xfId="4416"/>
    <cellStyle name="_Costs not in AURORA 2007 Rate Case_Transmission Workbook for May BOD_DEM-WP(C) ENERG10C--ctn Mid-C_042010 2010GRC" xfId="4417"/>
    <cellStyle name="_Costs not in AURORA 2007 Rate Case_Wind Integration 10GRC" xfId="4418"/>
    <cellStyle name="_Costs not in AURORA 2007 Rate Case_Wind Integration 10GRC 2" xfId="4419"/>
    <cellStyle name="_Costs not in AURORA 2007 Rate Case_Wind Integration 10GRC 2 2" xfId="4420"/>
    <cellStyle name="_Costs not in AURORA 2007 Rate Case_Wind Integration 10GRC 3" xfId="4421"/>
    <cellStyle name="_Costs not in AURORA 2007 Rate Case_Wind Integration 10GRC_DEM-WP(C) ENERG10C--ctn Mid-C_042010 2010GRC" xfId="4422"/>
    <cellStyle name="_Costs not in KWI3000 '06Budget" xfId="4423"/>
    <cellStyle name="_Costs not in KWI3000 '06Budget 2" xfId="4424"/>
    <cellStyle name="_Costs not in KWI3000 '06Budget 2 2" xfId="4425"/>
    <cellStyle name="_Costs not in KWI3000 '06Budget 2 2 2" xfId="4426"/>
    <cellStyle name="_Costs not in KWI3000 '06Budget 2 3" xfId="4427"/>
    <cellStyle name="_Costs not in KWI3000 '06Budget 3" xfId="4428"/>
    <cellStyle name="_Costs not in KWI3000 '06Budget 3 2" xfId="4429"/>
    <cellStyle name="_Costs not in KWI3000 '06Budget 4" xfId="4430"/>
    <cellStyle name="_Costs not in KWI3000 '06Budget 4 2" xfId="4431"/>
    <cellStyle name="_Costs not in KWI3000 '06Budget 4 3" xfId="4432"/>
    <cellStyle name="_Costs not in KWI3000 '06Budget 5" xfId="4433"/>
    <cellStyle name="_Costs not in KWI3000 '06Budget 5 2" xfId="4434"/>
    <cellStyle name="_Costs not in KWI3000 '06Budget 5 3" xfId="4435"/>
    <cellStyle name="_Costs not in KWI3000 '06Budget 6" xfId="4436"/>
    <cellStyle name="_Costs not in KWI3000 '06Budget 6 2" xfId="4437"/>
    <cellStyle name="_Costs not in KWI3000 '06Budget 7" xfId="4438"/>
    <cellStyle name="_Costs not in KWI3000 '06Budget 7 2" xfId="4439"/>
    <cellStyle name="_Costs not in KWI3000 '06Budget 8" xfId="4440"/>
    <cellStyle name="_Costs not in KWI3000 '06Budget 8 2" xfId="4441"/>
    <cellStyle name="_Costs not in KWI3000 '06Budget_(C) WHE Proforma with ITC cash grant 10 Yr Amort_for deferral_102809" xfId="4442"/>
    <cellStyle name="_Costs not in KWI3000 '06Budget_(C) WHE Proforma with ITC cash grant 10 Yr Amort_for deferral_102809 2" xfId="4443"/>
    <cellStyle name="_Costs not in KWI3000 '06Budget_(C) WHE Proforma with ITC cash grant 10 Yr Amort_for deferral_102809 2 2" xfId="4444"/>
    <cellStyle name="_Costs not in KWI3000 '06Budget_(C) WHE Proforma with ITC cash grant 10 Yr Amort_for deferral_102809 3" xfId="4445"/>
    <cellStyle name="_Costs not in KWI3000 '06Budget_(C) WHE Proforma with ITC cash grant 10 Yr Amort_for deferral_102809_16.07E Wild Horse Wind Expansionwrkingfile" xfId="4446"/>
    <cellStyle name="_Costs not in KWI3000 '06Budget_(C) WHE Proforma with ITC cash grant 10 Yr Amort_for deferral_102809_16.07E Wild Horse Wind Expansionwrkingfile 2" xfId="4447"/>
    <cellStyle name="_Costs not in KWI3000 '06Budget_(C) WHE Proforma with ITC cash grant 10 Yr Amort_for deferral_102809_16.07E Wild Horse Wind Expansionwrkingfile 2 2" xfId="4448"/>
    <cellStyle name="_Costs not in KWI3000 '06Budget_(C) WHE Proforma with ITC cash grant 10 Yr Amort_for deferral_102809_16.07E Wild Horse Wind Expansionwrkingfile 3" xfId="4449"/>
    <cellStyle name="_Costs not in KWI3000 '06Budget_(C) WHE Proforma with ITC cash grant 10 Yr Amort_for deferral_102809_16.07E Wild Horse Wind Expansionwrkingfile SF" xfId="4450"/>
    <cellStyle name="_Costs not in KWI3000 '06Budget_(C) WHE Proforma with ITC cash grant 10 Yr Amort_for deferral_102809_16.07E Wild Horse Wind Expansionwrkingfile SF 2" xfId="4451"/>
    <cellStyle name="_Costs not in KWI3000 '06Budget_(C) WHE Proforma with ITC cash grant 10 Yr Amort_for deferral_102809_16.07E Wild Horse Wind Expansionwrkingfile SF 2 2" xfId="4452"/>
    <cellStyle name="_Costs not in KWI3000 '06Budget_(C) WHE Proforma with ITC cash grant 10 Yr Amort_for deferral_102809_16.07E Wild Horse Wind Expansionwrkingfile SF 3" xfId="4453"/>
    <cellStyle name="_Costs not in KWI3000 '06Budget_(C) WHE Proforma with ITC cash grant 10 Yr Amort_for deferral_102809_16.07E Wild Horse Wind Expansionwrkingfile SF_DEM-WP(C) ENERG10C--ctn Mid-C_042010 2010GRC" xfId="4454"/>
    <cellStyle name="_Costs not in KWI3000 '06Budget_(C) WHE Proforma with ITC cash grant 10 Yr Amort_for deferral_102809_16.07E Wild Horse Wind Expansionwrkingfile_DEM-WP(C) ENERG10C--ctn Mid-C_042010 2010GRC" xfId="4455"/>
    <cellStyle name="_Costs not in KWI3000 '06Budget_(C) WHE Proforma with ITC cash grant 10 Yr Amort_for deferral_102809_16.37E Wild Horse Expansion DeferralRevwrkingfile SF" xfId="4456"/>
    <cellStyle name="_Costs not in KWI3000 '06Budget_(C) WHE Proforma with ITC cash grant 10 Yr Amort_for deferral_102809_16.37E Wild Horse Expansion DeferralRevwrkingfile SF 2" xfId="4457"/>
    <cellStyle name="_Costs not in KWI3000 '06Budget_(C) WHE Proforma with ITC cash grant 10 Yr Amort_for deferral_102809_16.37E Wild Horse Expansion DeferralRevwrkingfile SF 2 2" xfId="4458"/>
    <cellStyle name="_Costs not in KWI3000 '06Budget_(C) WHE Proforma with ITC cash grant 10 Yr Amort_for deferral_102809_16.37E Wild Horse Expansion DeferralRevwrkingfile SF 3" xfId="4459"/>
    <cellStyle name="_Costs not in KWI3000 '06Budget_(C) WHE Proforma with ITC cash grant 10 Yr Amort_for deferral_102809_16.37E Wild Horse Expansion DeferralRevwrkingfile SF_DEM-WP(C) ENERG10C--ctn Mid-C_042010 2010GRC" xfId="4460"/>
    <cellStyle name="_Costs not in KWI3000 '06Budget_(C) WHE Proforma with ITC cash grant 10 Yr Amort_for deferral_102809_DEM-WP(C) ENERG10C--ctn Mid-C_042010 2010GRC" xfId="4461"/>
    <cellStyle name="_Costs not in KWI3000 '06Budget_(C) WHE Proforma with ITC cash grant 10 Yr Amort_for rebuttal_120709" xfId="4462"/>
    <cellStyle name="_Costs not in KWI3000 '06Budget_(C) WHE Proforma with ITC cash grant 10 Yr Amort_for rebuttal_120709 2" xfId="4463"/>
    <cellStyle name="_Costs not in KWI3000 '06Budget_(C) WHE Proforma with ITC cash grant 10 Yr Amort_for rebuttal_120709 2 2" xfId="4464"/>
    <cellStyle name="_Costs not in KWI3000 '06Budget_(C) WHE Proforma with ITC cash grant 10 Yr Amort_for rebuttal_120709 3" xfId="4465"/>
    <cellStyle name="_Costs not in KWI3000 '06Budget_(C) WHE Proforma with ITC cash grant 10 Yr Amort_for rebuttal_120709_DEM-WP(C) ENERG10C--ctn Mid-C_042010 2010GRC" xfId="4466"/>
    <cellStyle name="_Costs not in KWI3000 '06Budget_04.07E Wild Horse Wind Expansion" xfId="4467"/>
    <cellStyle name="_Costs not in KWI3000 '06Budget_04.07E Wild Horse Wind Expansion 2" xfId="4468"/>
    <cellStyle name="_Costs not in KWI3000 '06Budget_04.07E Wild Horse Wind Expansion 2 2" xfId="4469"/>
    <cellStyle name="_Costs not in KWI3000 '06Budget_04.07E Wild Horse Wind Expansion 3" xfId="4470"/>
    <cellStyle name="_Costs not in KWI3000 '06Budget_04.07E Wild Horse Wind Expansion_16.07E Wild Horse Wind Expansionwrkingfile" xfId="4471"/>
    <cellStyle name="_Costs not in KWI3000 '06Budget_04.07E Wild Horse Wind Expansion_16.07E Wild Horse Wind Expansionwrkingfile 2" xfId="4472"/>
    <cellStyle name="_Costs not in KWI3000 '06Budget_04.07E Wild Horse Wind Expansion_16.07E Wild Horse Wind Expansionwrkingfile 2 2" xfId="4473"/>
    <cellStyle name="_Costs not in KWI3000 '06Budget_04.07E Wild Horse Wind Expansion_16.07E Wild Horse Wind Expansionwrkingfile 3" xfId="4474"/>
    <cellStyle name="_Costs not in KWI3000 '06Budget_04.07E Wild Horse Wind Expansion_16.07E Wild Horse Wind Expansionwrkingfile SF" xfId="4475"/>
    <cellStyle name="_Costs not in KWI3000 '06Budget_04.07E Wild Horse Wind Expansion_16.07E Wild Horse Wind Expansionwrkingfile SF 2" xfId="4476"/>
    <cellStyle name="_Costs not in KWI3000 '06Budget_04.07E Wild Horse Wind Expansion_16.07E Wild Horse Wind Expansionwrkingfile SF 2 2" xfId="4477"/>
    <cellStyle name="_Costs not in KWI3000 '06Budget_04.07E Wild Horse Wind Expansion_16.07E Wild Horse Wind Expansionwrkingfile SF 3" xfId="4478"/>
    <cellStyle name="_Costs not in KWI3000 '06Budget_04.07E Wild Horse Wind Expansion_16.07E Wild Horse Wind Expansionwrkingfile SF_DEM-WP(C) ENERG10C--ctn Mid-C_042010 2010GRC" xfId="4479"/>
    <cellStyle name="_Costs not in KWI3000 '06Budget_04.07E Wild Horse Wind Expansion_16.07E Wild Horse Wind Expansionwrkingfile_DEM-WP(C) ENERG10C--ctn Mid-C_042010 2010GRC" xfId="4480"/>
    <cellStyle name="_Costs not in KWI3000 '06Budget_04.07E Wild Horse Wind Expansion_16.37E Wild Horse Expansion DeferralRevwrkingfile SF" xfId="4481"/>
    <cellStyle name="_Costs not in KWI3000 '06Budget_04.07E Wild Horse Wind Expansion_16.37E Wild Horse Expansion DeferralRevwrkingfile SF 2" xfId="4482"/>
    <cellStyle name="_Costs not in KWI3000 '06Budget_04.07E Wild Horse Wind Expansion_16.37E Wild Horse Expansion DeferralRevwrkingfile SF 2 2" xfId="4483"/>
    <cellStyle name="_Costs not in KWI3000 '06Budget_04.07E Wild Horse Wind Expansion_16.37E Wild Horse Expansion DeferralRevwrkingfile SF 3" xfId="4484"/>
    <cellStyle name="_Costs not in KWI3000 '06Budget_04.07E Wild Horse Wind Expansion_16.37E Wild Horse Expansion DeferralRevwrkingfile SF_DEM-WP(C) ENERG10C--ctn Mid-C_042010 2010GRC" xfId="4485"/>
    <cellStyle name="_Costs not in KWI3000 '06Budget_04.07E Wild Horse Wind Expansion_DEM-WP(C) ENERG10C--ctn Mid-C_042010 2010GRC" xfId="4486"/>
    <cellStyle name="_Costs not in KWI3000 '06Budget_16.07E Wild Horse Wind Expansionwrkingfile" xfId="4487"/>
    <cellStyle name="_Costs not in KWI3000 '06Budget_16.07E Wild Horse Wind Expansionwrkingfile 2" xfId="4488"/>
    <cellStyle name="_Costs not in KWI3000 '06Budget_16.07E Wild Horse Wind Expansionwrkingfile 2 2" xfId="4489"/>
    <cellStyle name="_Costs not in KWI3000 '06Budget_16.07E Wild Horse Wind Expansionwrkingfile 3" xfId="4490"/>
    <cellStyle name="_Costs not in KWI3000 '06Budget_16.07E Wild Horse Wind Expansionwrkingfile SF" xfId="4491"/>
    <cellStyle name="_Costs not in KWI3000 '06Budget_16.07E Wild Horse Wind Expansionwrkingfile SF 2" xfId="4492"/>
    <cellStyle name="_Costs not in KWI3000 '06Budget_16.07E Wild Horse Wind Expansionwrkingfile SF 2 2" xfId="4493"/>
    <cellStyle name="_Costs not in KWI3000 '06Budget_16.07E Wild Horse Wind Expansionwrkingfile SF 3" xfId="4494"/>
    <cellStyle name="_Costs not in KWI3000 '06Budget_16.07E Wild Horse Wind Expansionwrkingfile SF_DEM-WP(C) ENERG10C--ctn Mid-C_042010 2010GRC" xfId="4495"/>
    <cellStyle name="_Costs not in KWI3000 '06Budget_16.07E Wild Horse Wind Expansionwrkingfile_DEM-WP(C) ENERG10C--ctn Mid-C_042010 2010GRC" xfId="4496"/>
    <cellStyle name="_Costs not in KWI3000 '06Budget_16.37E Wild Horse Expansion DeferralRevwrkingfile SF" xfId="4497"/>
    <cellStyle name="_Costs not in KWI3000 '06Budget_16.37E Wild Horse Expansion DeferralRevwrkingfile SF 2" xfId="4498"/>
    <cellStyle name="_Costs not in KWI3000 '06Budget_16.37E Wild Horse Expansion DeferralRevwrkingfile SF 2 2" xfId="4499"/>
    <cellStyle name="_Costs not in KWI3000 '06Budget_16.37E Wild Horse Expansion DeferralRevwrkingfile SF 3" xfId="4500"/>
    <cellStyle name="_Costs not in KWI3000 '06Budget_16.37E Wild Horse Expansion DeferralRevwrkingfile SF_DEM-WP(C) ENERG10C--ctn Mid-C_042010 2010GRC" xfId="4501"/>
    <cellStyle name="_Costs not in KWI3000 '06Budget_2009 Compliance Filing PCA Exhibits for GRC" xfId="4502"/>
    <cellStyle name="_Costs not in KWI3000 '06Budget_2009 Compliance Filing PCA Exhibits for GRC 2" xfId="4503"/>
    <cellStyle name="_Costs not in KWI3000 '06Budget_2009 GRC Compl Filing - Exhibit D" xfId="4504"/>
    <cellStyle name="_Costs not in KWI3000 '06Budget_2009 GRC Compl Filing - Exhibit D 2" xfId="4505"/>
    <cellStyle name="_Costs not in KWI3000 '06Budget_2009 GRC Compl Filing - Exhibit D 2 2" xfId="4506"/>
    <cellStyle name="_Costs not in KWI3000 '06Budget_2009 GRC Compl Filing - Exhibit D 3" xfId="4507"/>
    <cellStyle name="_Costs not in KWI3000 '06Budget_2009 GRC Compl Filing - Exhibit D_DEM-WP(C) ENERG10C--ctn Mid-C_042010 2010GRC" xfId="4508"/>
    <cellStyle name="_Costs not in KWI3000 '06Budget_3.01 Income Statement" xfId="4509"/>
    <cellStyle name="_Costs not in KWI3000 '06Budget_4 31 Regulatory Assets and Liabilities  7 06- Exhibit D" xfId="4510"/>
    <cellStyle name="_Costs not in KWI3000 '06Budget_4 31 Regulatory Assets and Liabilities  7 06- Exhibit D 2" xfId="4511"/>
    <cellStyle name="_Costs not in KWI3000 '06Budget_4 31 Regulatory Assets and Liabilities  7 06- Exhibit D 2 2" xfId="4512"/>
    <cellStyle name="_Costs not in KWI3000 '06Budget_4 31 Regulatory Assets and Liabilities  7 06- Exhibit D 2 2 2" xfId="4513"/>
    <cellStyle name="_Costs not in KWI3000 '06Budget_4 31 Regulatory Assets and Liabilities  7 06- Exhibit D 3" xfId="4514"/>
    <cellStyle name="_Costs not in KWI3000 '06Budget_4 31 Regulatory Assets and Liabilities  7 06- Exhibit D_DEM-WP(C) ENERG10C--ctn Mid-C_042010 2010GRC" xfId="4515"/>
    <cellStyle name="_Costs not in KWI3000 '06Budget_4 31 Regulatory Assets and Liabilities  7 06- Exhibit D_NIM Summary" xfId="4516"/>
    <cellStyle name="_Costs not in KWI3000 '06Budget_4 31 Regulatory Assets and Liabilities  7 06- Exhibit D_NIM Summary 2" xfId="4517"/>
    <cellStyle name="_Costs not in KWI3000 '06Budget_4 31 Regulatory Assets and Liabilities  7 06- Exhibit D_NIM Summary 2 2" xfId="4518"/>
    <cellStyle name="_Costs not in KWI3000 '06Budget_4 31 Regulatory Assets and Liabilities  7 06- Exhibit D_NIM Summary 3" xfId="4519"/>
    <cellStyle name="_Costs not in KWI3000 '06Budget_4 31 Regulatory Assets and Liabilities  7 06- Exhibit D_NIM Summary_DEM-WP(C) ENERG10C--ctn Mid-C_042010 2010GRC" xfId="4520"/>
    <cellStyle name="_Costs not in KWI3000 '06Budget_4 31 Regulatory Assets and Liabilities  7 06- Exhibit D_NIM+O&amp;M" xfId="4521"/>
    <cellStyle name="_Costs not in KWI3000 '06Budget_4 31 Regulatory Assets and Liabilities  7 06- Exhibit D_NIM+O&amp;M Monthly" xfId="4522"/>
    <cellStyle name="_Costs not in KWI3000 '06Budget_4 31E Reg Asset  Liab and EXH D" xfId="4523"/>
    <cellStyle name="_Costs not in KWI3000 '06Budget_4 31E Reg Asset  Liab and EXH D _ Aug 10 Filing (2)" xfId="4524"/>
    <cellStyle name="_Costs not in KWI3000 '06Budget_4 31E Reg Asset  Liab and EXH D _ Aug 10 Filing (2) 2" xfId="4525"/>
    <cellStyle name="_Costs not in KWI3000 '06Budget_4 31E Reg Asset  Liab and EXH D 2" xfId="4526"/>
    <cellStyle name="_Costs not in KWI3000 '06Budget_4 31E Reg Asset  Liab and EXH D 3" xfId="4527"/>
    <cellStyle name="_Costs not in KWI3000 '06Budget_4 32 Regulatory Assets and Liabilities  7 06- Exhibit D" xfId="4528"/>
    <cellStyle name="_Costs not in KWI3000 '06Budget_4 32 Regulatory Assets and Liabilities  7 06- Exhibit D 2" xfId="4529"/>
    <cellStyle name="_Costs not in KWI3000 '06Budget_4 32 Regulatory Assets and Liabilities  7 06- Exhibit D 2 2" xfId="4530"/>
    <cellStyle name="_Costs not in KWI3000 '06Budget_4 32 Regulatory Assets and Liabilities  7 06- Exhibit D 2 2 2" xfId="4531"/>
    <cellStyle name="_Costs not in KWI3000 '06Budget_4 32 Regulatory Assets and Liabilities  7 06- Exhibit D 3" xfId="4532"/>
    <cellStyle name="_Costs not in KWI3000 '06Budget_4 32 Regulatory Assets and Liabilities  7 06- Exhibit D_DEM-WP(C) ENERG10C--ctn Mid-C_042010 2010GRC" xfId="4533"/>
    <cellStyle name="_Costs not in KWI3000 '06Budget_4 32 Regulatory Assets and Liabilities  7 06- Exhibit D_NIM Summary" xfId="4534"/>
    <cellStyle name="_Costs not in KWI3000 '06Budget_4 32 Regulatory Assets and Liabilities  7 06- Exhibit D_NIM Summary 2" xfId="4535"/>
    <cellStyle name="_Costs not in KWI3000 '06Budget_4 32 Regulatory Assets and Liabilities  7 06- Exhibit D_NIM Summary 2 2" xfId="4536"/>
    <cellStyle name="_Costs not in KWI3000 '06Budget_4 32 Regulatory Assets and Liabilities  7 06- Exhibit D_NIM Summary 3" xfId="4537"/>
    <cellStyle name="_Costs not in KWI3000 '06Budget_4 32 Regulatory Assets and Liabilities  7 06- Exhibit D_NIM Summary_DEM-WP(C) ENERG10C--ctn Mid-C_042010 2010GRC" xfId="4538"/>
    <cellStyle name="_Costs not in KWI3000 '06Budget_4 32 Regulatory Assets and Liabilities  7 06- Exhibit D_NIM+O&amp;M" xfId="4539"/>
    <cellStyle name="_Costs not in KWI3000 '06Budget_4 32 Regulatory Assets and Liabilities  7 06- Exhibit D_NIM+O&amp;M Monthly" xfId="4540"/>
    <cellStyle name="_Costs not in KWI3000 '06Budget_AURORA Total New" xfId="4541"/>
    <cellStyle name="_Costs not in KWI3000 '06Budget_AURORA Total New 2" xfId="4542"/>
    <cellStyle name="_Costs not in KWI3000 '06Budget_AURORA Total New 2 2" xfId="4543"/>
    <cellStyle name="_Costs not in KWI3000 '06Budget_AURORA Total New 3" xfId="4544"/>
    <cellStyle name="_Costs not in KWI3000 '06Budget_Book2" xfId="4545"/>
    <cellStyle name="_Costs not in KWI3000 '06Budget_Book2 2" xfId="4546"/>
    <cellStyle name="_Costs not in KWI3000 '06Budget_Book2 2 2" xfId="4547"/>
    <cellStyle name="_Costs not in KWI3000 '06Budget_Book2 3" xfId="4548"/>
    <cellStyle name="_Costs not in KWI3000 '06Budget_Book2_Adj Bench DR 3 for Initial Briefs (Electric)" xfId="4549"/>
    <cellStyle name="_Costs not in KWI3000 '06Budget_Book2_Adj Bench DR 3 for Initial Briefs (Electric) 2" xfId="4550"/>
    <cellStyle name="_Costs not in KWI3000 '06Budget_Book2_Adj Bench DR 3 for Initial Briefs (Electric) 2 2" xfId="4551"/>
    <cellStyle name="_Costs not in KWI3000 '06Budget_Book2_Adj Bench DR 3 for Initial Briefs (Electric) 3" xfId="4552"/>
    <cellStyle name="_Costs not in KWI3000 '06Budget_Book2_Adj Bench DR 3 for Initial Briefs (Electric)_DEM-WP(C) ENERG10C--ctn Mid-C_042010 2010GRC" xfId="4553"/>
    <cellStyle name="_Costs not in KWI3000 '06Budget_Book2_DEM-WP(C) ENERG10C--ctn Mid-C_042010 2010GRC" xfId="4554"/>
    <cellStyle name="_Costs not in KWI3000 '06Budget_Book2_Electric Rev Req Model (2009 GRC) Rebuttal" xfId="4555"/>
    <cellStyle name="_Costs not in KWI3000 '06Budget_Book2_Electric Rev Req Model (2009 GRC) Rebuttal 2" xfId="4556"/>
    <cellStyle name="_Costs not in KWI3000 '06Budget_Book2_Electric Rev Req Model (2009 GRC) Rebuttal REmoval of New  WH Solar AdjustMI" xfId="4557"/>
    <cellStyle name="_Costs not in KWI3000 '06Budget_Book2_Electric Rev Req Model (2009 GRC) Rebuttal REmoval of New  WH Solar AdjustMI 2" xfId="4558"/>
    <cellStyle name="_Costs not in KWI3000 '06Budget_Book2_Electric Rev Req Model (2009 GRC) Rebuttal REmoval of New  WH Solar AdjustMI 2 2" xfId="4559"/>
    <cellStyle name="_Costs not in KWI3000 '06Budget_Book2_Electric Rev Req Model (2009 GRC) Rebuttal REmoval of New  WH Solar AdjustMI 3" xfId="4560"/>
    <cellStyle name="_Costs not in KWI3000 '06Budget_Book2_Electric Rev Req Model (2009 GRC) Rebuttal REmoval of New  WH Solar AdjustMI_DEM-WP(C) ENERG10C--ctn Mid-C_042010 2010GRC" xfId="4561"/>
    <cellStyle name="_Costs not in KWI3000 '06Budget_Book2_Electric Rev Req Model (2009 GRC) Revised 01-18-2010" xfId="4562"/>
    <cellStyle name="_Costs not in KWI3000 '06Budget_Book2_Electric Rev Req Model (2009 GRC) Revised 01-18-2010 2" xfId="4563"/>
    <cellStyle name="_Costs not in KWI3000 '06Budget_Book2_Electric Rev Req Model (2009 GRC) Revised 01-18-2010 2 2" xfId="4564"/>
    <cellStyle name="_Costs not in KWI3000 '06Budget_Book2_Electric Rev Req Model (2009 GRC) Revised 01-18-2010 3" xfId="4565"/>
    <cellStyle name="_Costs not in KWI3000 '06Budget_Book2_Electric Rev Req Model (2009 GRC) Revised 01-18-2010_DEM-WP(C) ENERG10C--ctn Mid-C_042010 2010GRC" xfId="4566"/>
    <cellStyle name="_Costs not in KWI3000 '06Budget_Book2_Final Order Electric EXHIBIT A-1" xfId="4567"/>
    <cellStyle name="_Costs not in KWI3000 '06Budget_Book2_Final Order Electric EXHIBIT A-1 2" xfId="4568"/>
    <cellStyle name="_Costs not in KWI3000 '06Budget_Book4" xfId="4569"/>
    <cellStyle name="_Costs not in KWI3000 '06Budget_Book4 2" xfId="4570"/>
    <cellStyle name="_Costs not in KWI3000 '06Budget_Book4 2 2" xfId="4571"/>
    <cellStyle name="_Costs not in KWI3000 '06Budget_Book4 3" xfId="4572"/>
    <cellStyle name="_Costs not in KWI3000 '06Budget_Book4_DEM-WP(C) ENERG10C--ctn Mid-C_042010 2010GRC" xfId="4573"/>
    <cellStyle name="_Costs not in KWI3000 '06Budget_Book9" xfId="4574"/>
    <cellStyle name="_Costs not in KWI3000 '06Budget_Book9 2" xfId="4575"/>
    <cellStyle name="_Costs not in KWI3000 '06Budget_Book9 2 2" xfId="4576"/>
    <cellStyle name="_Costs not in KWI3000 '06Budget_Book9 3" xfId="4577"/>
    <cellStyle name="_Costs not in KWI3000 '06Budget_Book9_DEM-WP(C) ENERG10C--ctn Mid-C_042010 2010GRC" xfId="4578"/>
    <cellStyle name="_Costs not in KWI3000 '06Budget_Check the Interest Calculation" xfId="4579"/>
    <cellStyle name="_Costs not in KWI3000 '06Budget_Check the Interest Calculation_Scenario 1 REC vs PTC Offset" xfId="4580"/>
    <cellStyle name="_Costs not in KWI3000 '06Budget_Check the Interest Calculation_Scenario 3" xfId="4581"/>
    <cellStyle name="_Costs not in KWI3000 '06Budget_Chelan PUD Power Costs (8-10)" xfId="4582"/>
    <cellStyle name="_Costs not in KWI3000 '06Budget_Chelan PUD Power Costs (8-10) 2" xfId="4583"/>
    <cellStyle name="_Costs not in KWI3000 '06Budget_DEM-WP(C) Chelan Power Costs" xfId="4584"/>
    <cellStyle name="_Costs not in KWI3000 '06Budget_DEM-WP(C) Chelan Power Costs 2" xfId="4585"/>
    <cellStyle name="_Costs not in KWI3000 '06Budget_DEM-WP(C) ENERG10C--ctn Mid-C_042010 2010GRC" xfId="4586"/>
    <cellStyle name="_Costs not in KWI3000 '06Budget_DEM-WP(C) Gas Transport 2010GRC" xfId="4587"/>
    <cellStyle name="_Costs not in KWI3000 '06Budget_DEM-WP(C) Gas Transport 2010GRC 2" xfId="4588"/>
    <cellStyle name="_Costs not in KWI3000 '06Budget_Exh A-1 resulting from UE-112050 effective Jan 1 2012" xfId="4589"/>
    <cellStyle name="_Costs not in KWI3000 '06Budget_Exh G - Klamath Peaker PPA fr C Locke 2-12" xfId="4590"/>
    <cellStyle name="_Costs not in KWI3000 '06Budget_Exhibit A-1 effective 4-1-11 fr S Free 12-11" xfId="4591"/>
    <cellStyle name="_Costs not in KWI3000 '06Budget_Exhibit D fr R Gho 12-31-08" xfId="4592"/>
    <cellStyle name="_Costs not in KWI3000 '06Budget_Exhibit D fr R Gho 12-31-08 2" xfId="4593"/>
    <cellStyle name="_Costs not in KWI3000 '06Budget_Exhibit D fr R Gho 12-31-08 2 2" xfId="4594"/>
    <cellStyle name="_Costs not in KWI3000 '06Budget_Exhibit D fr R Gho 12-31-08 3" xfId="4595"/>
    <cellStyle name="_Costs not in KWI3000 '06Budget_Exhibit D fr R Gho 12-31-08 v2" xfId="4596"/>
    <cellStyle name="_Costs not in KWI3000 '06Budget_Exhibit D fr R Gho 12-31-08 v2 2" xfId="4597"/>
    <cellStyle name="_Costs not in KWI3000 '06Budget_Exhibit D fr R Gho 12-31-08 v2 2 2" xfId="4598"/>
    <cellStyle name="_Costs not in KWI3000 '06Budget_Exhibit D fr R Gho 12-31-08 v2 3" xfId="4599"/>
    <cellStyle name="_Costs not in KWI3000 '06Budget_Exhibit D fr R Gho 12-31-08 v2_DEM-WP(C) ENERG10C--ctn Mid-C_042010 2010GRC" xfId="4600"/>
    <cellStyle name="_Costs not in KWI3000 '06Budget_Exhibit D fr R Gho 12-31-08 v2_NIM Summary" xfId="4601"/>
    <cellStyle name="_Costs not in KWI3000 '06Budget_Exhibit D fr R Gho 12-31-08 v2_NIM Summary 2" xfId="4602"/>
    <cellStyle name="_Costs not in KWI3000 '06Budget_Exhibit D fr R Gho 12-31-08 v2_NIM Summary 2 2" xfId="4603"/>
    <cellStyle name="_Costs not in KWI3000 '06Budget_Exhibit D fr R Gho 12-31-08 v2_NIM Summary 3" xfId="4604"/>
    <cellStyle name="_Costs not in KWI3000 '06Budget_Exhibit D fr R Gho 12-31-08 v2_NIM Summary_DEM-WP(C) ENERG10C--ctn Mid-C_042010 2010GRC" xfId="4605"/>
    <cellStyle name="_Costs not in KWI3000 '06Budget_Exhibit D fr R Gho 12-31-08_DEM-WP(C) ENERG10C--ctn Mid-C_042010 2010GRC" xfId="4606"/>
    <cellStyle name="_Costs not in KWI3000 '06Budget_Exhibit D fr R Gho 12-31-08_NIM Summary" xfId="4607"/>
    <cellStyle name="_Costs not in KWI3000 '06Budget_Exhibit D fr R Gho 12-31-08_NIM Summary 2" xfId="4608"/>
    <cellStyle name="_Costs not in KWI3000 '06Budget_Exhibit D fr R Gho 12-31-08_NIM Summary 2 2" xfId="4609"/>
    <cellStyle name="_Costs not in KWI3000 '06Budget_Exhibit D fr R Gho 12-31-08_NIM Summary 3" xfId="4610"/>
    <cellStyle name="_Costs not in KWI3000 '06Budget_Exhibit D fr R Gho 12-31-08_NIM Summary_DEM-WP(C) ENERG10C--ctn Mid-C_042010 2010GRC" xfId="4611"/>
    <cellStyle name="_Costs not in KWI3000 '06Budget_Hopkins Ridge Prepaid Tran - Interest Earned RY 12ME Feb  '11" xfId="4612"/>
    <cellStyle name="_Costs not in KWI3000 '06Budget_Hopkins Ridge Prepaid Tran - Interest Earned RY 12ME Feb  '11 2" xfId="4613"/>
    <cellStyle name="_Costs not in KWI3000 '06Budget_Hopkins Ridge Prepaid Tran - Interest Earned RY 12ME Feb  '11 2 2" xfId="4614"/>
    <cellStyle name="_Costs not in KWI3000 '06Budget_Hopkins Ridge Prepaid Tran - Interest Earned RY 12ME Feb  '11 3" xfId="4615"/>
    <cellStyle name="_Costs not in KWI3000 '06Budget_Hopkins Ridge Prepaid Tran - Interest Earned RY 12ME Feb  '11_DEM-WP(C) ENERG10C--ctn Mid-C_042010 2010GRC" xfId="4616"/>
    <cellStyle name="_Costs not in KWI3000 '06Budget_Hopkins Ridge Prepaid Tran - Interest Earned RY 12ME Feb  '11_NIM Summary" xfId="4617"/>
    <cellStyle name="_Costs not in KWI3000 '06Budget_Hopkins Ridge Prepaid Tran - Interest Earned RY 12ME Feb  '11_NIM Summary 2" xfId="4618"/>
    <cellStyle name="_Costs not in KWI3000 '06Budget_Hopkins Ridge Prepaid Tran - Interest Earned RY 12ME Feb  '11_NIM Summary 2 2" xfId="4619"/>
    <cellStyle name="_Costs not in KWI3000 '06Budget_Hopkins Ridge Prepaid Tran - Interest Earned RY 12ME Feb  '11_NIM Summary 3" xfId="4620"/>
    <cellStyle name="_Costs not in KWI3000 '06Budget_Hopkins Ridge Prepaid Tran - Interest Earned RY 12ME Feb  '11_NIM Summary_DEM-WP(C) ENERG10C--ctn Mid-C_042010 2010GRC" xfId="4621"/>
    <cellStyle name="_Costs not in KWI3000 '06Budget_Hopkins Ridge Prepaid Tran - Interest Earned RY 12ME Feb  '11_Transmission Workbook for May BOD" xfId="4622"/>
    <cellStyle name="_Costs not in KWI3000 '06Budget_Hopkins Ridge Prepaid Tran - Interest Earned RY 12ME Feb  '11_Transmission Workbook for May BOD 2" xfId="4623"/>
    <cellStyle name="_Costs not in KWI3000 '06Budget_Hopkins Ridge Prepaid Tran - Interest Earned RY 12ME Feb  '11_Transmission Workbook for May BOD 2 2" xfId="4624"/>
    <cellStyle name="_Costs not in KWI3000 '06Budget_Hopkins Ridge Prepaid Tran - Interest Earned RY 12ME Feb  '11_Transmission Workbook for May BOD 3" xfId="4625"/>
    <cellStyle name="_Costs not in KWI3000 '06Budget_Hopkins Ridge Prepaid Tran - Interest Earned RY 12ME Feb  '11_Transmission Workbook for May BOD_DEM-WP(C) ENERG10C--ctn Mid-C_042010 2010GRC" xfId="4626"/>
    <cellStyle name="_Costs not in KWI3000 '06Budget_LSRWEP LGIA like Acctg Petition Aug 2010" xfId="4627"/>
    <cellStyle name="_Costs not in KWI3000 '06Budget_Mint Farm Generation BPA" xfId="4628"/>
    <cellStyle name="_Costs not in KWI3000 '06Budget_NIM Summary" xfId="4629"/>
    <cellStyle name="_Costs not in KWI3000 '06Budget_NIM Summary 09GRC" xfId="4630"/>
    <cellStyle name="_Costs not in KWI3000 '06Budget_NIM Summary 09GRC 2" xfId="4631"/>
    <cellStyle name="_Costs not in KWI3000 '06Budget_NIM Summary 09GRC 2 2" xfId="4632"/>
    <cellStyle name="_Costs not in KWI3000 '06Budget_NIM Summary 09GRC 3" xfId="4633"/>
    <cellStyle name="_Costs not in KWI3000 '06Budget_NIM Summary 09GRC_DEM-WP(C) ENERG10C--ctn Mid-C_042010 2010GRC" xfId="4634"/>
    <cellStyle name="_Costs not in KWI3000 '06Budget_NIM Summary 10" xfId="4635"/>
    <cellStyle name="_Costs not in KWI3000 '06Budget_NIM Summary 11" xfId="4636"/>
    <cellStyle name="_Costs not in KWI3000 '06Budget_NIM Summary 12" xfId="4637"/>
    <cellStyle name="_Costs not in KWI3000 '06Budget_NIM Summary 13" xfId="4638"/>
    <cellStyle name="_Costs not in KWI3000 '06Budget_NIM Summary 14" xfId="4639"/>
    <cellStyle name="_Costs not in KWI3000 '06Budget_NIM Summary 15" xfId="4640"/>
    <cellStyle name="_Costs not in KWI3000 '06Budget_NIM Summary 16" xfId="4641"/>
    <cellStyle name="_Costs not in KWI3000 '06Budget_NIM Summary 17" xfId="4642"/>
    <cellStyle name="_Costs not in KWI3000 '06Budget_NIM Summary 18" xfId="4643"/>
    <cellStyle name="_Costs not in KWI3000 '06Budget_NIM Summary 19" xfId="4644"/>
    <cellStyle name="_Costs not in KWI3000 '06Budget_NIM Summary 2" xfId="4645"/>
    <cellStyle name="_Costs not in KWI3000 '06Budget_NIM Summary 2 2" xfId="4646"/>
    <cellStyle name="_Costs not in KWI3000 '06Budget_NIM Summary 20" xfId="4647"/>
    <cellStyle name="_Costs not in KWI3000 '06Budget_NIM Summary 21" xfId="4648"/>
    <cellStyle name="_Costs not in KWI3000 '06Budget_NIM Summary 22" xfId="4649"/>
    <cellStyle name="_Costs not in KWI3000 '06Budget_NIM Summary 23" xfId="4650"/>
    <cellStyle name="_Costs not in KWI3000 '06Budget_NIM Summary 24" xfId="4651"/>
    <cellStyle name="_Costs not in KWI3000 '06Budget_NIM Summary 25" xfId="4652"/>
    <cellStyle name="_Costs not in KWI3000 '06Budget_NIM Summary 26" xfId="4653"/>
    <cellStyle name="_Costs not in KWI3000 '06Budget_NIM Summary 27" xfId="4654"/>
    <cellStyle name="_Costs not in KWI3000 '06Budget_NIM Summary 28" xfId="4655"/>
    <cellStyle name="_Costs not in KWI3000 '06Budget_NIM Summary 29" xfId="4656"/>
    <cellStyle name="_Costs not in KWI3000 '06Budget_NIM Summary 3" xfId="4657"/>
    <cellStyle name="_Costs not in KWI3000 '06Budget_NIM Summary 30" xfId="4658"/>
    <cellStyle name="_Costs not in KWI3000 '06Budget_NIM Summary 31" xfId="4659"/>
    <cellStyle name="_Costs not in KWI3000 '06Budget_NIM Summary 32" xfId="4660"/>
    <cellStyle name="_Costs not in KWI3000 '06Budget_NIM Summary 33" xfId="4661"/>
    <cellStyle name="_Costs not in KWI3000 '06Budget_NIM Summary 34" xfId="4662"/>
    <cellStyle name="_Costs not in KWI3000 '06Budget_NIM Summary 35" xfId="4663"/>
    <cellStyle name="_Costs not in KWI3000 '06Budget_NIM Summary 36" xfId="4664"/>
    <cellStyle name="_Costs not in KWI3000 '06Budget_NIM Summary 37" xfId="4665"/>
    <cellStyle name="_Costs not in KWI3000 '06Budget_NIM Summary 38" xfId="4666"/>
    <cellStyle name="_Costs not in KWI3000 '06Budget_NIM Summary 39" xfId="4667"/>
    <cellStyle name="_Costs not in KWI3000 '06Budget_NIM Summary 4" xfId="4668"/>
    <cellStyle name="_Costs not in KWI3000 '06Budget_NIM Summary 40" xfId="4669"/>
    <cellStyle name="_Costs not in KWI3000 '06Budget_NIM Summary 41" xfId="4670"/>
    <cellStyle name="_Costs not in KWI3000 '06Budget_NIM Summary 42" xfId="4671"/>
    <cellStyle name="_Costs not in KWI3000 '06Budget_NIM Summary 43" xfId="4672"/>
    <cellStyle name="_Costs not in KWI3000 '06Budget_NIM Summary 44" xfId="4673"/>
    <cellStyle name="_Costs not in KWI3000 '06Budget_NIM Summary 45" xfId="4674"/>
    <cellStyle name="_Costs not in KWI3000 '06Budget_NIM Summary 46" xfId="4675"/>
    <cellStyle name="_Costs not in KWI3000 '06Budget_NIM Summary 47" xfId="4676"/>
    <cellStyle name="_Costs not in KWI3000 '06Budget_NIM Summary 48" xfId="4677"/>
    <cellStyle name="_Costs not in KWI3000 '06Budget_NIM Summary 49" xfId="4678"/>
    <cellStyle name="_Costs not in KWI3000 '06Budget_NIM Summary 5" xfId="4679"/>
    <cellStyle name="_Costs not in KWI3000 '06Budget_NIM Summary 50" xfId="4680"/>
    <cellStyle name="_Costs not in KWI3000 '06Budget_NIM Summary 51" xfId="4681"/>
    <cellStyle name="_Costs not in KWI3000 '06Budget_NIM Summary 52" xfId="4682"/>
    <cellStyle name="_Costs not in KWI3000 '06Budget_NIM Summary 6" xfId="4683"/>
    <cellStyle name="_Costs not in KWI3000 '06Budget_NIM Summary 7" xfId="4684"/>
    <cellStyle name="_Costs not in KWI3000 '06Budget_NIM Summary 8" xfId="4685"/>
    <cellStyle name="_Costs not in KWI3000 '06Budget_NIM Summary 9" xfId="4686"/>
    <cellStyle name="_Costs not in KWI3000 '06Budget_NIM Summary_DEM-WP(C) ENERG10C--ctn Mid-C_042010 2010GRC" xfId="4687"/>
    <cellStyle name="_Costs not in KWI3000 '06Budget_NIM+O&amp;M" xfId="4688"/>
    <cellStyle name="_Costs not in KWI3000 '06Budget_NIM+O&amp;M 2" xfId="4689"/>
    <cellStyle name="_Costs not in KWI3000 '06Budget_NIM+O&amp;M Monthly" xfId="4690"/>
    <cellStyle name="_Costs not in KWI3000 '06Budget_NIM+O&amp;M Monthly 2" xfId="4691"/>
    <cellStyle name="_Costs not in KWI3000 '06Budget_PCA 10 -  Exhibit D Dec 2011" xfId="4692"/>
    <cellStyle name="_Costs not in KWI3000 '06Budget_PCA 10 -  Exhibit D from A Kellogg Jan 2011" xfId="4693"/>
    <cellStyle name="_Costs not in KWI3000 '06Budget_PCA 10 -  Exhibit D from A Kellogg July 2011" xfId="4694"/>
    <cellStyle name="_Costs not in KWI3000 '06Budget_PCA 10 -  Exhibit D from S Free Rcv'd 12-11" xfId="4695"/>
    <cellStyle name="_Costs not in KWI3000 '06Budget_PCA 11 -  Exhibit D Jan 2012 fr A Kellogg" xfId="4696"/>
    <cellStyle name="_Costs not in KWI3000 '06Budget_PCA 11 -  Exhibit D Jan 2012 WF" xfId="4697"/>
    <cellStyle name="_Costs not in KWI3000 '06Budget_PCA 7 - Exhibit D update 11_30_08 (2)" xfId="4698"/>
    <cellStyle name="_Costs not in KWI3000 '06Budget_PCA 7 - Exhibit D update 11_30_08 (2) 2" xfId="4699"/>
    <cellStyle name="_Costs not in KWI3000 '06Budget_PCA 7 - Exhibit D update 11_30_08 (2) 2 2" xfId="4700"/>
    <cellStyle name="_Costs not in KWI3000 '06Budget_PCA 7 - Exhibit D update 11_30_08 (2) 2 2 2" xfId="4701"/>
    <cellStyle name="_Costs not in KWI3000 '06Budget_PCA 7 - Exhibit D update 11_30_08 (2) 2 3" xfId="4702"/>
    <cellStyle name="_Costs not in KWI3000 '06Budget_PCA 7 - Exhibit D update 11_30_08 (2) 3" xfId="4703"/>
    <cellStyle name="_Costs not in KWI3000 '06Budget_PCA 7 - Exhibit D update 11_30_08 (2) 3 2" xfId="4704"/>
    <cellStyle name="_Costs not in KWI3000 '06Budget_PCA 7 - Exhibit D update 11_30_08 (2) 4" xfId="4705"/>
    <cellStyle name="_Costs not in KWI3000 '06Budget_PCA 7 - Exhibit D update 11_30_08 (2)_DEM-WP(C) ENERG10C--ctn Mid-C_042010 2010GRC" xfId="4706"/>
    <cellStyle name="_Costs not in KWI3000 '06Budget_PCA 7 - Exhibit D update 11_30_08 (2)_NIM Summary" xfId="4707"/>
    <cellStyle name="_Costs not in KWI3000 '06Budget_PCA 7 - Exhibit D update 11_30_08 (2)_NIM Summary 2" xfId="4708"/>
    <cellStyle name="_Costs not in KWI3000 '06Budget_PCA 7 - Exhibit D update 11_30_08 (2)_NIM Summary 2 2" xfId="4709"/>
    <cellStyle name="_Costs not in KWI3000 '06Budget_PCA 7 - Exhibit D update 11_30_08 (2)_NIM Summary 3" xfId="4710"/>
    <cellStyle name="_Costs not in KWI3000 '06Budget_PCA 7 - Exhibit D update 11_30_08 (2)_NIM Summary_DEM-WP(C) ENERG10C--ctn Mid-C_042010 2010GRC" xfId="4711"/>
    <cellStyle name="_Costs not in KWI3000 '06Budget_PCA 8 - Exhibit D update 12_31_09" xfId="4712"/>
    <cellStyle name="_Costs not in KWI3000 '06Budget_PCA 8 - Exhibit D update 12_31_09 2" xfId="4713"/>
    <cellStyle name="_Costs not in KWI3000 '06Budget_PCA 9 -  Exhibit D April 2010" xfId="4714"/>
    <cellStyle name="_Costs not in KWI3000 '06Budget_PCA 9 -  Exhibit D April 2010 (3)" xfId="4715"/>
    <cellStyle name="_Costs not in KWI3000 '06Budget_PCA 9 -  Exhibit D April 2010 (3) 2" xfId="4716"/>
    <cellStyle name="_Costs not in KWI3000 '06Budget_PCA 9 -  Exhibit D April 2010 (3) 2 2" xfId="4717"/>
    <cellStyle name="_Costs not in KWI3000 '06Budget_PCA 9 -  Exhibit D April 2010 (3) 3" xfId="4718"/>
    <cellStyle name="_Costs not in KWI3000 '06Budget_PCA 9 -  Exhibit D April 2010 (3)_DEM-WP(C) ENERG10C--ctn Mid-C_042010 2010GRC" xfId="4719"/>
    <cellStyle name="_Costs not in KWI3000 '06Budget_PCA 9 -  Exhibit D April 2010 2" xfId="4720"/>
    <cellStyle name="_Costs not in KWI3000 '06Budget_PCA 9 -  Exhibit D April 2010 3" xfId="4721"/>
    <cellStyle name="_Costs not in KWI3000 '06Budget_PCA 9 -  Exhibit D April 2010 4" xfId="4722"/>
    <cellStyle name="_Costs not in KWI3000 '06Budget_PCA 9 -  Exhibit D April 2010 5" xfId="4723"/>
    <cellStyle name="_Costs not in KWI3000 '06Budget_PCA 9 -  Exhibit D April 2010 6" xfId="4724"/>
    <cellStyle name="_Costs not in KWI3000 '06Budget_PCA 9 -  Exhibit D Feb 2010" xfId="4725"/>
    <cellStyle name="_Costs not in KWI3000 '06Budget_PCA 9 -  Exhibit D Feb 2010 2" xfId="4726"/>
    <cellStyle name="_Costs not in KWI3000 '06Budget_PCA 9 -  Exhibit D Feb 2010 v2" xfId="4727"/>
    <cellStyle name="_Costs not in KWI3000 '06Budget_PCA 9 -  Exhibit D Feb 2010 v2 2" xfId="4728"/>
    <cellStyle name="_Costs not in KWI3000 '06Budget_PCA 9 -  Exhibit D Feb 2010 WF" xfId="4729"/>
    <cellStyle name="_Costs not in KWI3000 '06Budget_PCA 9 -  Exhibit D Feb 2010 WF 2" xfId="4730"/>
    <cellStyle name="_Costs not in KWI3000 '06Budget_PCA 9 -  Exhibit D Jan 2010" xfId="4731"/>
    <cellStyle name="_Costs not in KWI3000 '06Budget_PCA 9 -  Exhibit D Jan 2010 2" xfId="4732"/>
    <cellStyle name="_Costs not in KWI3000 '06Budget_PCA 9 -  Exhibit D March 2010 (2)" xfId="4733"/>
    <cellStyle name="_Costs not in KWI3000 '06Budget_PCA 9 -  Exhibit D March 2010 (2) 2" xfId="4734"/>
    <cellStyle name="_Costs not in KWI3000 '06Budget_PCA 9 -  Exhibit D Nov 2010" xfId="4735"/>
    <cellStyle name="_Costs not in KWI3000 '06Budget_PCA 9 -  Exhibit D Nov 2010 2" xfId="4736"/>
    <cellStyle name="_Costs not in KWI3000 '06Budget_PCA 9 - Exhibit D at August 2010" xfId="4737"/>
    <cellStyle name="_Costs not in KWI3000 '06Budget_PCA 9 - Exhibit D at August 2010 2" xfId="4738"/>
    <cellStyle name="_Costs not in KWI3000 '06Budget_PCA 9 - Exhibit D June 2010 GRC" xfId="4739"/>
    <cellStyle name="_Costs not in KWI3000 '06Budget_PCA 9 - Exhibit D June 2010 GRC 2" xfId="4740"/>
    <cellStyle name="_Costs not in KWI3000 '06Budget_Power Costs - Comparison bx Rbtl-Staff-Jt-PC" xfId="4741"/>
    <cellStyle name="_Costs not in KWI3000 '06Budget_Power Costs - Comparison bx Rbtl-Staff-Jt-PC 2" xfId="4742"/>
    <cellStyle name="_Costs not in KWI3000 '06Budget_Power Costs - Comparison bx Rbtl-Staff-Jt-PC 2 2" xfId="4743"/>
    <cellStyle name="_Costs not in KWI3000 '06Budget_Power Costs - Comparison bx Rbtl-Staff-Jt-PC 3" xfId="4744"/>
    <cellStyle name="_Costs not in KWI3000 '06Budget_Power Costs - Comparison bx Rbtl-Staff-Jt-PC_Adj Bench DR 3 for Initial Briefs (Electric)" xfId="4745"/>
    <cellStyle name="_Costs not in KWI3000 '06Budget_Power Costs - Comparison bx Rbtl-Staff-Jt-PC_Adj Bench DR 3 for Initial Briefs (Electric) 2" xfId="4746"/>
    <cellStyle name="_Costs not in KWI3000 '06Budget_Power Costs - Comparison bx Rbtl-Staff-Jt-PC_Adj Bench DR 3 for Initial Briefs (Electric) 2 2" xfId="4747"/>
    <cellStyle name="_Costs not in KWI3000 '06Budget_Power Costs - Comparison bx Rbtl-Staff-Jt-PC_Adj Bench DR 3 for Initial Briefs (Electric) 3" xfId="4748"/>
    <cellStyle name="_Costs not in KWI3000 '06Budget_Power Costs - Comparison bx Rbtl-Staff-Jt-PC_Adj Bench DR 3 for Initial Briefs (Electric)_DEM-WP(C) ENERG10C--ctn Mid-C_042010 2010GRC" xfId="4749"/>
    <cellStyle name="_Costs not in KWI3000 '06Budget_Power Costs - Comparison bx Rbtl-Staff-Jt-PC_DEM-WP(C) ENERG10C--ctn Mid-C_042010 2010GRC" xfId="4750"/>
    <cellStyle name="_Costs not in KWI3000 '06Budget_Power Costs - Comparison bx Rbtl-Staff-Jt-PC_Electric Rev Req Model (2009 GRC) Rebuttal" xfId="4751"/>
    <cellStyle name="_Costs not in KWI3000 '06Budget_Power Costs - Comparison bx Rbtl-Staff-Jt-PC_Electric Rev Req Model (2009 GRC) Rebuttal 2" xfId="4752"/>
    <cellStyle name="_Costs not in KWI3000 '06Budget_Power Costs - Comparison bx Rbtl-Staff-Jt-PC_Electric Rev Req Model (2009 GRC) Rebuttal REmoval of New  WH Solar AdjustMI" xfId="4753"/>
    <cellStyle name="_Costs not in KWI3000 '06Budget_Power Costs - Comparison bx Rbtl-Staff-Jt-PC_Electric Rev Req Model (2009 GRC) Rebuttal REmoval of New  WH Solar AdjustMI 2" xfId="4754"/>
    <cellStyle name="_Costs not in KWI3000 '06Budget_Power Costs - Comparison bx Rbtl-Staff-Jt-PC_Electric Rev Req Model (2009 GRC) Rebuttal REmoval of New  WH Solar AdjustMI 2 2" xfId="4755"/>
    <cellStyle name="_Costs not in KWI3000 '06Budget_Power Costs - Comparison bx Rbtl-Staff-Jt-PC_Electric Rev Req Model (2009 GRC) Rebuttal REmoval of New  WH Solar AdjustMI 3" xfId="4756"/>
    <cellStyle name="_Costs not in KWI3000 '06Budget_Power Costs - Comparison bx Rbtl-Staff-Jt-PC_Electric Rev Req Model (2009 GRC) Rebuttal REmoval of New  WH Solar AdjustMI_DEM-WP(C) ENERG10C--ctn Mid-C_042010 2010GRC" xfId="4757"/>
    <cellStyle name="_Costs not in KWI3000 '06Budget_Power Costs - Comparison bx Rbtl-Staff-Jt-PC_Electric Rev Req Model (2009 GRC) Revised 01-18-2010" xfId="4758"/>
    <cellStyle name="_Costs not in KWI3000 '06Budget_Power Costs - Comparison bx Rbtl-Staff-Jt-PC_Electric Rev Req Model (2009 GRC) Revised 01-18-2010 2" xfId="4759"/>
    <cellStyle name="_Costs not in KWI3000 '06Budget_Power Costs - Comparison bx Rbtl-Staff-Jt-PC_Electric Rev Req Model (2009 GRC) Revised 01-18-2010 2 2" xfId="4760"/>
    <cellStyle name="_Costs not in KWI3000 '06Budget_Power Costs - Comparison bx Rbtl-Staff-Jt-PC_Electric Rev Req Model (2009 GRC) Revised 01-18-2010 3" xfId="4761"/>
    <cellStyle name="_Costs not in KWI3000 '06Budget_Power Costs - Comparison bx Rbtl-Staff-Jt-PC_Electric Rev Req Model (2009 GRC) Revised 01-18-2010_DEM-WP(C) ENERG10C--ctn Mid-C_042010 2010GRC" xfId="4762"/>
    <cellStyle name="_Costs not in KWI3000 '06Budget_Power Costs - Comparison bx Rbtl-Staff-Jt-PC_Final Order Electric EXHIBIT A-1" xfId="4763"/>
    <cellStyle name="_Costs not in KWI3000 '06Budget_Power Costs - Comparison bx Rbtl-Staff-Jt-PC_Final Order Electric EXHIBIT A-1 2" xfId="4764"/>
    <cellStyle name="_Costs not in KWI3000 '06Budget_Production Adj 4.37" xfId="21259"/>
    <cellStyle name="_Costs not in KWI3000 '06Budget_Purchased Power Adj 4.03" xfId="21260"/>
    <cellStyle name="_Costs not in KWI3000 '06Budget_Rebuttal Power Costs" xfId="4765"/>
    <cellStyle name="_Costs not in KWI3000 '06Budget_Rebuttal Power Costs 2" xfId="4766"/>
    <cellStyle name="_Costs not in KWI3000 '06Budget_Rebuttal Power Costs 2 2" xfId="4767"/>
    <cellStyle name="_Costs not in KWI3000 '06Budget_Rebuttal Power Costs 3" xfId="4768"/>
    <cellStyle name="_Costs not in KWI3000 '06Budget_Rebuttal Power Costs_Adj Bench DR 3 for Initial Briefs (Electric)" xfId="4769"/>
    <cellStyle name="_Costs not in KWI3000 '06Budget_Rebuttal Power Costs_Adj Bench DR 3 for Initial Briefs (Electric) 2" xfId="4770"/>
    <cellStyle name="_Costs not in KWI3000 '06Budget_Rebuttal Power Costs_Adj Bench DR 3 for Initial Briefs (Electric) 2 2" xfId="4771"/>
    <cellStyle name="_Costs not in KWI3000 '06Budget_Rebuttal Power Costs_Adj Bench DR 3 for Initial Briefs (Electric) 3" xfId="4772"/>
    <cellStyle name="_Costs not in KWI3000 '06Budget_Rebuttal Power Costs_Adj Bench DR 3 for Initial Briefs (Electric)_DEM-WP(C) ENERG10C--ctn Mid-C_042010 2010GRC" xfId="4773"/>
    <cellStyle name="_Costs not in KWI3000 '06Budget_Rebuttal Power Costs_DEM-WP(C) ENERG10C--ctn Mid-C_042010 2010GRC" xfId="4774"/>
    <cellStyle name="_Costs not in KWI3000 '06Budget_Rebuttal Power Costs_Electric Rev Req Model (2009 GRC) Rebuttal" xfId="4775"/>
    <cellStyle name="_Costs not in KWI3000 '06Budget_Rebuttal Power Costs_Electric Rev Req Model (2009 GRC) Rebuttal 2" xfId="4776"/>
    <cellStyle name="_Costs not in KWI3000 '06Budget_Rebuttal Power Costs_Electric Rev Req Model (2009 GRC) Rebuttal REmoval of New  WH Solar AdjustMI" xfId="4777"/>
    <cellStyle name="_Costs not in KWI3000 '06Budget_Rebuttal Power Costs_Electric Rev Req Model (2009 GRC) Rebuttal REmoval of New  WH Solar AdjustMI 2" xfId="4778"/>
    <cellStyle name="_Costs not in KWI3000 '06Budget_Rebuttal Power Costs_Electric Rev Req Model (2009 GRC) Rebuttal REmoval of New  WH Solar AdjustMI 2 2" xfId="4779"/>
    <cellStyle name="_Costs not in KWI3000 '06Budget_Rebuttal Power Costs_Electric Rev Req Model (2009 GRC) Rebuttal REmoval of New  WH Solar AdjustMI 3" xfId="4780"/>
    <cellStyle name="_Costs not in KWI3000 '06Budget_Rebuttal Power Costs_Electric Rev Req Model (2009 GRC) Rebuttal REmoval of New  WH Solar AdjustMI_DEM-WP(C) ENERG10C--ctn Mid-C_042010 2010GRC" xfId="4781"/>
    <cellStyle name="_Costs not in KWI3000 '06Budget_Rebuttal Power Costs_Electric Rev Req Model (2009 GRC) Revised 01-18-2010" xfId="4782"/>
    <cellStyle name="_Costs not in KWI3000 '06Budget_Rebuttal Power Costs_Electric Rev Req Model (2009 GRC) Revised 01-18-2010 2" xfId="4783"/>
    <cellStyle name="_Costs not in KWI3000 '06Budget_Rebuttal Power Costs_Electric Rev Req Model (2009 GRC) Revised 01-18-2010 2 2" xfId="4784"/>
    <cellStyle name="_Costs not in KWI3000 '06Budget_Rebuttal Power Costs_Electric Rev Req Model (2009 GRC) Revised 01-18-2010 3" xfId="4785"/>
    <cellStyle name="_Costs not in KWI3000 '06Budget_Rebuttal Power Costs_Electric Rev Req Model (2009 GRC) Revised 01-18-2010_DEM-WP(C) ENERG10C--ctn Mid-C_042010 2010GRC" xfId="4786"/>
    <cellStyle name="_Costs not in KWI3000 '06Budget_Rebuttal Power Costs_Final Order Electric EXHIBIT A-1" xfId="4787"/>
    <cellStyle name="_Costs not in KWI3000 '06Budget_Rebuttal Power Costs_Final Order Electric EXHIBIT A-1 2" xfId="4788"/>
    <cellStyle name="_Costs not in KWI3000 '06Budget_ROR 5.02" xfId="21261"/>
    <cellStyle name="_Costs not in KWI3000 '06Budget_Transmission Workbook for May BOD" xfId="4789"/>
    <cellStyle name="_Costs not in KWI3000 '06Budget_Transmission Workbook for May BOD 2" xfId="4790"/>
    <cellStyle name="_Costs not in KWI3000 '06Budget_Transmission Workbook for May BOD 2 2" xfId="4791"/>
    <cellStyle name="_Costs not in KWI3000 '06Budget_Transmission Workbook for May BOD 3" xfId="4792"/>
    <cellStyle name="_Costs not in KWI3000 '06Budget_Transmission Workbook for May BOD_DEM-WP(C) ENERG10C--ctn Mid-C_042010 2010GRC" xfId="4793"/>
    <cellStyle name="_Costs not in KWI3000 '06Budget_Wind Integration 10GRC" xfId="4794"/>
    <cellStyle name="_Costs not in KWI3000 '06Budget_Wind Integration 10GRC 2" xfId="4795"/>
    <cellStyle name="_Costs not in KWI3000 '06Budget_Wind Integration 10GRC 2 2" xfId="4796"/>
    <cellStyle name="_Costs not in KWI3000 '06Budget_Wind Integration 10GRC 3" xfId="4797"/>
    <cellStyle name="_Costs not in KWI3000 '06Budget_Wind Integration 10GRC_DEM-WP(C) ENERG10C--ctn Mid-C_042010 2010GRC" xfId="4798"/>
    <cellStyle name="_DEM-08C Power Cost Comparison" xfId="4799"/>
    <cellStyle name="_DEM-WP (C) Costs not in AURORA 2006GRC Order 11.30.06 Gas" xfId="4800"/>
    <cellStyle name="_DEM-WP (C) Costs not in AURORA 2006GRC Order 11.30.06 Gas 2" xfId="4801"/>
    <cellStyle name="_DEM-WP (C) Costs not in AURORA 2006GRC Order 11.30.06 Gas 2 2" xfId="4802"/>
    <cellStyle name="_DEM-WP (C) Costs not in AURORA 2006GRC Order 11.30.06 Gas 3" xfId="4803"/>
    <cellStyle name="_DEM-WP (C) Costs not in AURORA 2006GRC Order 11.30.06 Gas_Chelan PUD Power Costs (8-10)" xfId="4804"/>
    <cellStyle name="_DEM-WP (C) Costs not in AURORA 2006GRC Order 11.30.06 Gas_Chelan PUD Power Costs (8-10) 2" xfId="4805"/>
    <cellStyle name="_DEM-WP (C) Costs not in AURORA 2006GRC Order 11.30.06 Gas_DEM-WP(C) ENERG10C--ctn Mid-C_042010 2010GRC" xfId="4806"/>
    <cellStyle name="_DEM-WP (C) Costs not in AURORA 2006GRC Order 11.30.06 Gas_NIM Summary" xfId="4807"/>
    <cellStyle name="_DEM-WP (C) Costs not in AURORA 2006GRC Order 11.30.06 Gas_NIM Summary 2" xfId="4808"/>
    <cellStyle name="_DEM-WP (C) Costs not in AURORA 2006GRC Order 11.30.06 Gas_NIM Summary 2 2" xfId="4809"/>
    <cellStyle name="_DEM-WP (C) Costs not in AURORA 2006GRC Order 11.30.06 Gas_NIM Summary 3" xfId="4810"/>
    <cellStyle name="_DEM-WP (C) Costs not in AURORA 2006GRC Order 11.30.06 Gas_NIM Summary_DEM-WP(C) ENERG10C--ctn Mid-C_042010 2010GRC" xfId="4811"/>
    <cellStyle name="_DEM-WP (C) Power Cost 2006GRC Order" xfId="4812"/>
    <cellStyle name="_DEM-WP (C) Power Cost 2006GRC Order 2" xfId="4813"/>
    <cellStyle name="_DEM-WP (C) Power Cost 2006GRC Order 2 2" xfId="4814"/>
    <cellStyle name="_DEM-WP (C) Power Cost 2006GRC Order 2 2 2" xfId="4815"/>
    <cellStyle name="_DEM-WP (C) Power Cost 2006GRC Order 2 3" xfId="4816"/>
    <cellStyle name="_DEM-WP (C) Power Cost 2006GRC Order 3" xfId="4817"/>
    <cellStyle name="_DEM-WP (C) Power Cost 2006GRC Order 3 2" xfId="4818"/>
    <cellStyle name="_DEM-WP (C) Power Cost 2006GRC Order 4" xfId="4819"/>
    <cellStyle name="_DEM-WP (C) Power Cost 2006GRC Order 4 2" xfId="4820"/>
    <cellStyle name="_DEM-WP (C) Power Cost 2006GRC Order 4 3" xfId="4821"/>
    <cellStyle name="_DEM-WP (C) Power Cost 2006GRC Order 5" xfId="4822"/>
    <cellStyle name="_DEM-WP (C) Power Cost 2006GRC Order 5 2" xfId="4823"/>
    <cellStyle name="_DEM-WP (C) Power Cost 2006GRC Order 5 3" xfId="4824"/>
    <cellStyle name="_DEM-WP (C) Power Cost 2006GRC Order 6" xfId="4825"/>
    <cellStyle name="_DEM-WP (C) Power Cost 2006GRC Order 6 2" xfId="4826"/>
    <cellStyle name="_DEM-WP (C) Power Cost 2006GRC Order 7" xfId="4827"/>
    <cellStyle name="_DEM-WP (C) Power Cost 2006GRC Order 7 2" xfId="4828"/>
    <cellStyle name="_DEM-WP (C) Power Cost 2006GRC Order 8" xfId="4829"/>
    <cellStyle name="_DEM-WP (C) Power Cost 2006GRC Order 8 2" xfId="4830"/>
    <cellStyle name="_DEM-WP (C) Power Cost 2006GRC Order_04 07E Wild Horse Wind Expansion (C) (2)" xfId="4831"/>
    <cellStyle name="_DEM-WP (C) Power Cost 2006GRC Order_04 07E Wild Horse Wind Expansion (C) (2) 2" xfId="4832"/>
    <cellStyle name="_DEM-WP (C) Power Cost 2006GRC Order_04 07E Wild Horse Wind Expansion (C) (2) 2 2" xfId="4833"/>
    <cellStyle name="_DEM-WP (C) Power Cost 2006GRC Order_04 07E Wild Horse Wind Expansion (C) (2) 3" xfId="4834"/>
    <cellStyle name="_DEM-WP (C) Power Cost 2006GRC Order_04 07E Wild Horse Wind Expansion (C) (2)_Adj Bench DR 3 for Initial Briefs (Electric)" xfId="4835"/>
    <cellStyle name="_DEM-WP (C) Power Cost 2006GRC Order_04 07E Wild Horse Wind Expansion (C) (2)_Adj Bench DR 3 for Initial Briefs (Electric) 2" xfId="4836"/>
    <cellStyle name="_DEM-WP (C) Power Cost 2006GRC Order_04 07E Wild Horse Wind Expansion (C) (2)_Adj Bench DR 3 for Initial Briefs (Electric) 2 2" xfId="4837"/>
    <cellStyle name="_DEM-WP (C) Power Cost 2006GRC Order_04 07E Wild Horse Wind Expansion (C) (2)_Adj Bench DR 3 for Initial Briefs (Electric) 3" xfId="4838"/>
    <cellStyle name="_DEM-WP (C) Power Cost 2006GRC Order_04 07E Wild Horse Wind Expansion (C) (2)_Adj Bench DR 3 for Initial Briefs (Electric)_DEM-WP(C) ENERG10C--ctn Mid-C_042010 2010GRC" xfId="4839"/>
    <cellStyle name="_DEM-WP (C) Power Cost 2006GRC Order_04 07E Wild Horse Wind Expansion (C) (2)_Book1" xfId="4840"/>
    <cellStyle name="_DEM-WP (C) Power Cost 2006GRC Order_04 07E Wild Horse Wind Expansion (C) (2)_DEM-WP(C) ENERG10C--ctn Mid-C_042010 2010GRC" xfId="4841"/>
    <cellStyle name="_DEM-WP (C) Power Cost 2006GRC Order_04 07E Wild Horse Wind Expansion (C) (2)_Electric Rev Req Model (2009 GRC) " xfId="4842"/>
    <cellStyle name="_DEM-WP (C) Power Cost 2006GRC Order_04 07E Wild Horse Wind Expansion (C) (2)_Electric Rev Req Model (2009 GRC)  2" xfId="4843"/>
    <cellStyle name="_DEM-WP (C) Power Cost 2006GRC Order_04 07E Wild Horse Wind Expansion (C) (2)_Electric Rev Req Model (2009 GRC)  2 2" xfId="4844"/>
    <cellStyle name="_DEM-WP (C) Power Cost 2006GRC Order_04 07E Wild Horse Wind Expansion (C) (2)_Electric Rev Req Model (2009 GRC)  3" xfId="4845"/>
    <cellStyle name="_DEM-WP (C) Power Cost 2006GRC Order_04 07E Wild Horse Wind Expansion (C) (2)_Electric Rev Req Model (2009 GRC) _DEM-WP(C) ENERG10C--ctn Mid-C_042010 2010GRC" xfId="4846"/>
    <cellStyle name="_DEM-WP (C) Power Cost 2006GRC Order_04 07E Wild Horse Wind Expansion (C) (2)_Electric Rev Req Model (2009 GRC) Rebuttal" xfId="4847"/>
    <cellStyle name="_DEM-WP (C) Power Cost 2006GRC Order_04 07E Wild Horse Wind Expansion (C) (2)_Electric Rev Req Model (2009 GRC) Rebuttal 2" xfId="4848"/>
    <cellStyle name="_DEM-WP (C) Power Cost 2006GRC Order_04 07E Wild Horse Wind Expansion (C) (2)_Electric Rev Req Model (2009 GRC) Rebuttal REmoval of New  WH Solar AdjustMI" xfId="4849"/>
    <cellStyle name="_DEM-WP (C) Power Cost 2006GRC Order_04 07E Wild Horse Wind Expansion (C) (2)_Electric Rev Req Model (2009 GRC) Rebuttal REmoval of New  WH Solar AdjustMI 2" xfId="4850"/>
    <cellStyle name="_DEM-WP (C) Power Cost 2006GRC Order_04 07E Wild Horse Wind Expansion (C) (2)_Electric Rev Req Model (2009 GRC) Rebuttal REmoval of New  WH Solar AdjustMI 2 2" xfId="4851"/>
    <cellStyle name="_DEM-WP (C) Power Cost 2006GRC Order_04 07E Wild Horse Wind Expansion (C) (2)_Electric Rev Req Model (2009 GRC) Rebuttal REmoval of New  WH Solar AdjustMI 3" xfId="4852"/>
    <cellStyle name="_DEM-WP (C) Power Cost 2006GRC Order_04 07E Wild Horse Wind Expansion (C) (2)_Electric Rev Req Model (2009 GRC) Rebuttal REmoval of New  WH Solar AdjustMI_DEM-WP(C) ENERG10C--ctn Mid-C_042010 2010GRC" xfId="4853"/>
    <cellStyle name="_DEM-WP (C) Power Cost 2006GRC Order_04 07E Wild Horse Wind Expansion (C) (2)_Electric Rev Req Model (2009 GRC) Revised 01-18-2010" xfId="4854"/>
    <cellStyle name="_DEM-WP (C) Power Cost 2006GRC Order_04 07E Wild Horse Wind Expansion (C) (2)_Electric Rev Req Model (2009 GRC) Revised 01-18-2010 2" xfId="4855"/>
    <cellStyle name="_DEM-WP (C) Power Cost 2006GRC Order_04 07E Wild Horse Wind Expansion (C) (2)_Electric Rev Req Model (2009 GRC) Revised 01-18-2010 2 2" xfId="4856"/>
    <cellStyle name="_DEM-WP (C) Power Cost 2006GRC Order_04 07E Wild Horse Wind Expansion (C) (2)_Electric Rev Req Model (2009 GRC) Revised 01-18-2010 3" xfId="4857"/>
    <cellStyle name="_DEM-WP (C) Power Cost 2006GRC Order_04 07E Wild Horse Wind Expansion (C) (2)_Electric Rev Req Model (2009 GRC) Revised 01-18-2010_DEM-WP(C) ENERG10C--ctn Mid-C_042010 2010GRC" xfId="4858"/>
    <cellStyle name="_DEM-WP (C) Power Cost 2006GRC Order_04 07E Wild Horse Wind Expansion (C) (2)_Electric Rev Req Model (2010 GRC)" xfId="4859"/>
    <cellStyle name="_DEM-WP (C) Power Cost 2006GRC Order_04 07E Wild Horse Wind Expansion (C) (2)_Electric Rev Req Model (2010 GRC) SF" xfId="4860"/>
    <cellStyle name="_DEM-WP (C) Power Cost 2006GRC Order_04 07E Wild Horse Wind Expansion (C) (2)_Final Order Electric EXHIBIT A-1" xfId="4861"/>
    <cellStyle name="_DEM-WP (C) Power Cost 2006GRC Order_04 07E Wild Horse Wind Expansion (C) (2)_Final Order Electric EXHIBIT A-1 2" xfId="4862"/>
    <cellStyle name="_DEM-WP (C) Power Cost 2006GRC Order_04 07E Wild Horse Wind Expansion (C) (2)_TENASKA REGULATORY ASSET" xfId="4863"/>
    <cellStyle name="_DEM-WP (C) Power Cost 2006GRC Order_04 07E Wild Horse Wind Expansion (C) (2)_TENASKA REGULATORY ASSET 2" xfId="4864"/>
    <cellStyle name="_DEM-WP (C) Power Cost 2006GRC Order_16.37E Wild Horse Expansion DeferralRevwrkingfile SF" xfId="4865"/>
    <cellStyle name="_DEM-WP (C) Power Cost 2006GRC Order_16.37E Wild Horse Expansion DeferralRevwrkingfile SF 2" xfId="4866"/>
    <cellStyle name="_DEM-WP (C) Power Cost 2006GRC Order_16.37E Wild Horse Expansion DeferralRevwrkingfile SF 2 2" xfId="4867"/>
    <cellStyle name="_DEM-WP (C) Power Cost 2006GRC Order_16.37E Wild Horse Expansion DeferralRevwrkingfile SF 3" xfId="4868"/>
    <cellStyle name="_DEM-WP (C) Power Cost 2006GRC Order_16.37E Wild Horse Expansion DeferralRevwrkingfile SF_DEM-WP(C) ENERG10C--ctn Mid-C_042010 2010GRC" xfId="4869"/>
    <cellStyle name="_DEM-WP (C) Power Cost 2006GRC Order_2009 Compliance Filing PCA Exhibits for GRC" xfId="4870"/>
    <cellStyle name="_DEM-WP (C) Power Cost 2006GRC Order_2009 Compliance Filing PCA Exhibits for GRC 2" xfId="4871"/>
    <cellStyle name="_DEM-WP (C) Power Cost 2006GRC Order_2009 GRC Compl Filing - Exhibit D" xfId="4872"/>
    <cellStyle name="_DEM-WP (C) Power Cost 2006GRC Order_2009 GRC Compl Filing - Exhibit D 2" xfId="4873"/>
    <cellStyle name="_DEM-WP (C) Power Cost 2006GRC Order_2009 GRC Compl Filing - Exhibit D 2 2" xfId="4874"/>
    <cellStyle name="_DEM-WP (C) Power Cost 2006GRC Order_2009 GRC Compl Filing - Exhibit D 3" xfId="4875"/>
    <cellStyle name="_DEM-WP (C) Power Cost 2006GRC Order_2009 GRC Compl Filing - Exhibit D_DEM-WP(C) ENERG10C--ctn Mid-C_042010 2010GRC" xfId="4876"/>
    <cellStyle name="_DEM-WP (C) Power Cost 2006GRC Order_3.01 Income Statement" xfId="4877"/>
    <cellStyle name="_DEM-WP (C) Power Cost 2006GRC Order_4 31 Regulatory Assets and Liabilities  7 06- Exhibit D" xfId="4878"/>
    <cellStyle name="_DEM-WP (C) Power Cost 2006GRC Order_4 31 Regulatory Assets and Liabilities  7 06- Exhibit D 2" xfId="4879"/>
    <cellStyle name="_DEM-WP (C) Power Cost 2006GRC Order_4 31 Regulatory Assets and Liabilities  7 06- Exhibit D 2 2" xfId="4880"/>
    <cellStyle name="_DEM-WP (C) Power Cost 2006GRC Order_4 31 Regulatory Assets and Liabilities  7 06- Exhibit D 2 2 2" xfId="4881"/>
    <cellStyle name="_DEM-WP (C) Power Cost 2006GRC Order_4 31 Regulatory Assets and Liabilities  7 06- Exhibit D 3" xfId="4882"/>
    <cellStyle name="_DEM-WP (C) Power Cost 2006GRC Order_4 31 Regulatory Assets and Liabilities  7 06- Exhibit D_DEM-WP(C) ENERG10C--ctn Mid-C_042010 2010GRC" xfId="4883"/>
    <cellStyle name="_DEM-WP (C) Power Cost 2006GRC Order_4 31 Regulatory Assets and Liabilities  7 06- Exhibit D_NIM Summary" xfId="4884"/>
    <cellStyle name="_DEM-WP (C) Power Cost 2006GRC Order_4 31 Regulatory Assets and Liabilities  7 06- Exhibit D_NIM Summary 2" xfId="4885"/>
    <cellStyle name="_DEM-WP (C) Power Cost 2006GRC Order_4 31 Regulatory Assets and Liabilities  7 06- Exhibit D_NIM Summary 2 2" xfId="4886"/>
    <cellStyle name="_DEM-WP (C) Power Cost 2006GRC Order_4 31 Regulatory Assets and Liabilities  7 06- Exhibit D_NIM Summary 3" xfId="4887"/>
    <cellStyle name="_DEM-WP (C) Power Cost 2006GRC Order_4 31 Regulatory Assets and Liabilities  7 06- Exhibit D_NIM Summary_DEM-WP(C) ENERG10C--ctn Mid-C_042010 2010GRC" xfId="4888"/>
    <cellStyle name="_DEM-WP (C) Power Cost 2006GRC Order_4 31 Regulatory Assets and Liabilities  7 06- Exhibit D_NIM+O&amp;M" xfId="4889"/>
    <cellStyle name="_DEM-WP (C) Power Cost 2006GRC Order_4 31 Regulatory Assets and Liabilities  7 06- Exhibit D_NIM+O&amp;M Monthly" xfId="4890"/>
    <cellStyle name="_DEM-WP (C) Power Cost 2006GRC Order_4 31E Reg Asset  Liab and EXH D" xfId="4891"/>
    <cellStyle name="_DEM-WP (C) Power Cost 2006GRC Order_4 31E Reg Asset  Liab and EXH D _ Aug 10 Filing (2)" xfId="4892"/>
    <cellStyle name="_DEM-WP (C) Power Cost 2006GRC Order_4 31E Reg Asset  Liab and EXH D _ Aug 10 Filing (2) 2" xfId="4893"/>
    <cellStyle name="_DEM-WP (C) Power Cost 2006GRC Order_4 31E Reg Asset  Liab and EXH D 2" xfId="4894"/>
    <cellStyle name="_DEM-WP (C) Power Cost 2006GRC Order_4 31E Reg Asset  Liab and EXH D 3" xfId="4895"/>
    <cellStyle name="_DEM-WP (C) Power Cost 2006GRC Order_4 32 Regulatory Assets and Liabilities  7 06- Exhibit D" xfId="4896"/>
    <cellStyle name="_DEM-WP (C) Power Cost 2006GRC Order_4 32 Regulatory Assets and Liabilities  7 06- Exhibit D 2" xfId="4897"/>
    <cellStyle name="_DEM-WP (C) Power Cost 2006GRC Order_4 32 Regulatory Assets and Liabilities  7 06- Exhibit D 2 2" xfId="4898"/>
    <cellStyle name="_DEM-WP (C) Power Cost 2006GRC Order_4 32 Regulatory Assets and Liabilities  7 06- Exhibit D 2 2 2" xfId="4899"/>
    <cellStyle name="_DEM-WP (C) Power Cost 2006GRC Order_4 32 Regulatory Assets and Liabilities  7 06- Exhibit D 3" xfId="4900"/>
    <cellStyle name="_DEM-WP (C) Power Cost 2006GRC Order_4 32 Regulatory Assets and Liabilities  7 06- Exhibit D_DEM-WP(C) ENERG10C--ctn Mid-C_042010 2010GRC" xfId="4901"/>
    <cellStyle name="_DEM-WP (C) Power Cost 2006GRC Order_4 32 Regulatory Assets and Liabilities  7 06- Exhibit D_NIM Summary" xfId="4902"/>
    <cellStyle name="_DEM-WP (C) Power Cost 2006GRC Order_4 32 Regulatory Assets and Liabilities  7 06- Exhibit D_NIM Summary 2" xfId="4903"/>
    <cellStyle name="_DEM-WP (C) Power Cost 2006GRC Order_4 32 Regulatory Assets and Liabilities  7 06- Exhibit D_NIM Summary 2 2" xfId="4904"/>
    <cellStyle name="_DEM-WP (C) Power Cost 2006GRC Order_4 32 Regulatory Assets and Liabilities  7 06- Exhibit D_NIM Summary 3" xfId="4905"/>
    <cellStyle name="_DEM-WP (C) Power Cost 2006GRC Order_4 32 Regulatory Assets and Liabilities  7 06- Exhibit D_NIM Summary_DEM-WP(C) ENERG10C--ctn Mid-C_042010 2010GRC" xfId="4906"/>
    <cellStyle name="_DEM-WP (C) Power Cost 2006GRC Order_4 32 Regulatory Assets and Liabilities  7 06- Exhibit D_NIM+O&amp;M" xfId="4907"/>
    <cellStyle name="_DEM-WP (C) Power Cost 2006GRC Order_4 32 Regulatory Assets and Liabilities  7 06- Exhibit D_NIM+O&amp;M Monthly" xfId="4908"/>
    <cellStyle name="_DEM-WP (C) Power Cost 2006GRC Order_AURORA Total New" xfId="4909"/>
    <cellStyle name="_DEM-WP (C) Power Cost 2006GRC Order_AURORA Total New 2" xfId="4910"/>
    <cellStyle name="_DEM-WP (C) Power Cost 2006GRC Order_AURORA Total New 2 2" xfId="4911"/>
    <cellStyle name="_DEM-WP (C) Power Cost 2006GRC Order_AURORA Total New 3" xfId="4912"/>
    <cellStyle name="_DEM-WP (C) Power Cost 2006GRC Order_Book2" xfId="4913"/>
    <cellStyle name="_DEM-WP (C) Power Cost 2006GRC Order_Book2 2" xfId="4914"/>
    <cellStyle name="_DEM-WP (C) Power Cost 2006GRC Order_Book2 2 2" xfId="4915"/>
    <cellStyle name="_DEM-WP (C) Power Cost 2006GRC Order_Book2 3" xfId="4916"/>
    <cellStyle name="_DEM-WP (C) Power Cost 2006GRC Order_Book2_Adj Bench DR 3 for Initial Briefs (Electric)" xfId="4917"/>
    <cellStyle name="_DEM-WP (C) Power Cost 2006GRC Order_Book2_Adj Bench DR 3 for Initial Briefs (Electric) 2" xfId="4918"/>
    <cellStyle name="_DEM-WP (C) Power Cost 2006GRC Order_Book2_Adj Bench DR 3 for Initial Briefs (Electric) 2 2" xfId="4919"/>
    <cellStyle name="_DEM-WP (C) Power Cost 2006GRC Order_Book2_Adj Bench DR 3 for Initial Briefs (Electric) 3" xfId="4920"/>
    <cellStyle name="_DEM-WP (C) Power Cost 2006GRC Order_Book2_Adj Bench DR 3 for Initial Briefs (Electric)_DEM-WP(C) ENERG10C--ctn Mid-C_042010 2010GRC" xfId="4921"/>
    <cellStyle name="_DEM-WP (C) Power Cost 2006GRC Order_Book2_DEM-WP(C) ENERG10C--ctn Mid-C_042010 2010GRC" xfId="4922"/>
    <cellStyle name="_DEM-WP (C) Power Cost 2006GRC Order_Book2_Electric Rev Req Model (2009 GRC) Rebuttal" xfId="4923"/>
    <cellStyle name="_DEM-WP (C) Power Cost 2006GRC Order_Book2_Electric Rev Req Model (2009 GRC) Rebuttal 2" xfId="4924"/>
    <cellStyle name="_DEM-WP (C) Power Cost 2006GRC Order_Book2_Electric Rev Req Model (2009 GRC) Rebuttal REmoval of New  WH Solar AdjustMI" xfId="4925"/>
    <cellStyle name="_DEM-WP (C) Power Cost 2006GRC Order_Book2_Electric Rev Req Model (2009 GRC) Rebuttal REmoval of New  WH Solar AdjustMI 2" xfId="4926"/>
    <cellStyle name="_DEM-WP (C) Power Cost 2006GRC Order_Book2_Electric Rev Req Model (2009 GRC) Rebuttal REmoval of New  WH Solar AdjustMI 2 2" xfId="4927"/>
    <cellStyle name="_DEM-WP (C) Power Cost 2006GRC Order_Book2_Electric Rev Req Model (2009 GRC) Rebuttal REmoval of New  WH Solar AdjustMI 3" xfId="4928"/>
    <cellStyle name="_DEM-WP (C) Power Cost 2006GRC Order_Book2_Electric Rev Req Model (2009 GRC) Rebuttal REmoval of New  WH Solar AdjustMI_DEM-WP(C) ENERG10C--ctn Mid-C_042010 2010GRC" xfId="4929"/>
    <cellStyle name="_DEM-WP (C) Power Cost 2006GRC Order_Book2_Electric Rev Req Model (2009 GRC) Revised 01-18-2010" xfId="4930"/>
    <cellStyle name="_DEM-WP (C) Power Cost 2006GRC Order_Book2_Electric Rev Req Model (2009 GRC) Revised 01-18-2010 2" xfId="4931"/>
    <cellStyle name="_DEM-WP (C) Power Cost 2006GRC Order_Book2_Electric Rev Req Model (2009 GRC) Revised 01-18-2010 2 2" xfId="4932"/>
    <cellStyle name="_DEM-WP (C) Power Cost 2006GRC Order_Book2_Electric Rev Req Model (2009 GRC) Revised 01-18-2010 3" xfId="4933"/>
    <cellStyle name="_DEM-WP (C) Power Cost 2006GRC Order_Book2_Electric Rev Req Model (2009 GRC) Revised 01-18-2010_DEM-WP(C) ENERG10C--ctn Mid-C_042010 2010GRC" xfId="4934"/>
    <cellStyle name="_DEM-WP (C) Power Cost 2006GRC Order_Book2_Final Order Electric EXHIBIT A-1" xfId="4935"/>
    <cellStyle name="_DEM-WP (C) Power Cost 2006GRC Order_Book2_Final Order Electric EXHIBIT A-1 2" xfId="4936"/>
    <cellStyle name="_DEM-WP (C) Power Cost 2006GRC Order_Book4" xfId="4937"/>
    <cellStyle name="_DEM-WP (C) Power Cost 2006GRC Order_Book4 2" xfId="4938"/>
    <cellStyle name="_DEM-WP (C) Power Cost 2006GRC Order_Book4 2 2" xfId="4939"/>
    <cellStyle name="_DEM-WP (C) Power Cost 2006GRC Order_Book4 3" xfId="4940"/>
    <cellStyle name="_DEM-WP (C) Power Cost 2006GRC Order_Book4_DEM-WP(C) ENERG10C--ctn Mid-C_042010 2010GRC" xfId="4941"/>
    <cellStyle name="_DEM-WP (C) Power Cost 2006GRC Order_Book9" xfId="4942"/>
    <cellStyle name="_DEM-WP (C) Power Cost 2006GRC Order_Book9 2" xfId="4943"/>
    <cellStyle name="_DEM-WP (C) Power Cost 2006GRC Order_Book9 2 2" xfId="4944"/>
    <cellStyle name="_DEM-WP (C) Power Cost 2006GRC Order_Book9 3" xfId="4945"/>
    <cellStyle name="_DEM-WP (C) Power Cost 2006GRC Order_Book9_DEM-WP(C) ENERG10C--ctn Mid-C_042010 2010GRC" xfId="4946"/>
    <cellStyle name="_DEM-WP (C) Power Cost 2006GRC Order_Chelan PUD Power Costs (8-10)" xfId="4947"/>
    <cellStyle name="_DEM-WP (C) Power Cost 2006GRC Order_Chelan PUD Power Costs (8-10) 2" xfId="4948"/>
    <cellStyle name="_DEM-WP (C) Power Cost 2006GRC Order_DEM-WP(C) Chelan Power Costs" xfId="4949"/>
    <cellStyle name="_DEM-WP (C) Power Cost 2006GRC Order_DEM-WP(C) Chelan Power Costs 2" xfId="4950"/>
    <cellStyle name="_DEM-WP (C) Power Cost 2006GRC Order_DEM-WP(C) ENERG10C--ctn Mid-C_042010 2010GRC" xfId="4951"/>
    <cellStyle name="_DEM-WP (C) Power Cost 2006GRC Order_DEM-WP(C) Gas Transport 2010GRC" xfId="4952"/>
    <cellStyle name="_DEM-WP (C) Power Cost 2006GRC Order_DEM-WP(C) Gas Transport 2010GRC 2" xfId="4953"/>
    <cellStyle name="_DEM-WP (C) Power Cost 2006GRC Order_Exh A-1 resulting from UE-112050 effective Jan 1 2012" xfId="4954"/>
    <cellStyle name="_DEM-WP (C) Power Cost 2006GRC Order_Exh G - Klamath Peaker PPA fr C Locke 2-12" xfId="4955"/>
    <cellStyle name="_DEM-WP (C) Power Cost 2006GRC Order_Exhibit A-1 effective 4-1-11 fr S Free 12-11" xfId="4956"/>
    <cellStyle name="_DEM-WP (C) Power Cost 2006GRC Order_Mint Farm Generation BPA" xfId="4957"/>
    <cellStyle name="_DEM-WP (C) Power Cost 2006GRC Order_NIM Summary" xfId="4958"/>
    <cellStyle name="_DEM-WP (C) Power Cost 2006GRC Order_NIM Summary 09GRC" xfId="4959"/>
    <cellStyle name="_DEM-WP (C) Power Cost 2006GRC Order_NIM Summary 09GRC 2" xfId="4960"/>
    <cellStyle name="_DEM-WP (C) Power Cost 2006GRC Order_NIM Summary 09GRC 2 2" xfId="4961"/>
    <cellStyle name="_DEM-WP (C) Power Cost 2006GRC Order_NIM Summary 09GRC 3" xfId="4962"/>
    <cellStyle name="_DEM-WP (C) Power Cost 2006GRC Order_NIM Summary 09GRC_DEM-WP(C) ENERG10C--ctn Mid-C_042010 2010GRC" xfId="4963"/>
    <cellStyle name="_DEM-WP (C) Power Cost 2006GRC Order_NIM Summary 10" xfId="4964"/>
    <cellStyle name="_DEM-WP (C) Power Cost 2006GRC Order_NIM Summary 11" xfId="4965"/>
    <cellStyle name="_DEM-WP (C) Power Cost 2006GRC Order_NIM Summary 12" xfId="4966"/>
    <cellStyle name="_DEM-WP (C) Power Cost 2006GRC Order_NIM Summary 13" xfId="4967"/>
    <cellStyle name="_DEM-WP (C) Power Cost 2006GRC Order_NIM Summary 14" xfId="4968"/>
    <cellStyle name="_DEM-WP (C) Power Cost 2006GRC Order_NIM Summary 15" xfId="4969"/>
    <cellStyle name="_DEM-WP (C) Power Cost 2006GRC Order_NIM Summary 16" xfId="4970"/>
    <cellStyle name="_DEM-WP (C) Power Cost 2006GRC Order_NIM Summary 17" xfId="4971"/>
    <cellStyle name="_DEM-WP (C) Power Cost 2006GRC Order_NIM Summary 18" xfId="4972"/>
    <cellStyle name="_DEM-WP (C) Power Cost 2006GRC Order_NIM Summary 19" xfId="4973"/>
    <cellStyle name="_DEM-WP (C) Power Cost 2006GRC Order_NIM Summary 2" xfId="4974"/>
    <cellStyle name="_DEM-WP (C) Power Cost 2006GRC Order_NIM Summary 2 2" xfId="4975"/>
    <cellStyle name="_DEM-WP (C) Power Cost 2006GRC Order_NIM Summary 20" xfId="4976"/>
    <cellStyle name="_DEM-WP (C) Power Cost 2006GRC Order_NIM Summary 21" xfId="4977"/>
    <cellStyle name="_DEM-WP (C) Power Cost 2006GRC Order_NIM Summary 22" xfId="4978"/>
    <cellStyle name="_DEM-WP (C) Power Cost 2006GRC Order_NIM Summary 23" xfId="4979"/>
    <cellStyle name="_DEM-WP (C) Power Cost 2006GRC Order_NIM Summary 24" xfId="4980"/>
    <cellStyle name="_DEM-WP (C) Power Cost 2006GRC Order_NIM Summary 25" xfId="4981"/>
    <cellStyle name="_DEM-WP (C) Power Cost 2006GRC Order_NIM Summary 26" xfId="4982"/>
    <cellStyle name="_DEM-WP (C) Power Cost 2006GRC Order_NIM Summary 27" xfId="4983"/>
    <cellStyle name="_DEM-WP (C) Power Cost 2006GRC Order_NIM Summary 28" xfId="4984"/>
    <cellStyle name="_DEM-WP (C) Power Cost 2006GRC Order_NIM Summary 29" xfId="4985"/>
    <cellStyle name="_DEM-WP (C) Power Cost 2006GRC Order_NIM Summary 3" xfId="4986"/>
    <cellStyle name="_DEM-WP (C) Power Cost 2006GRC Order_NIM Summary 30" xfId="4987"/>
    <cellStyle name="_DEM-WP (C) Power Cost 2006GRC Order_NIM Summary 31" xfId="4988"/>
    <cellStyle name="_DEM-WP (C) Power Cost 2006GRC Order_NIM Summary 32" xfId="4989"/>
    <cellStyle name="_DEM-WP (C) Power Cost 2006GRC Order_NIM Summary 33" xfId="4990"/>
    <cellStyle name="_DEM-WP (C) Power Cost 2006GRC Order_NIM Summary 34" xfId="4991"/>
    <cellStyle name="_DEM-WP (C) Power Cost 2006GRC Order_NIM Summary 35" xfId="4992"/>
    <cellStyle name="_DEM-WP (C) Power Cost 2006GRC Order_NIM Summary 36" xfId="4993"/>
    <cellStyle name="_DEM-WP (C) Power Cost 2006GRC Order_NIM Summary 37" xfId="4994"/>
    <cellStyle name="_DEM-WP (C) Power Cost 2006GRC Order_NIM Summary 38" xfId="4995"/>
    <cellStyle name="_DEM-WP (C) Power Cost 2006GRC Order_NIM Summary 39" xfId="4996"/>
    <cellStyle name="_DEM-WP (C) Power Cost 2006GRC Order_NIM Summary 4" xfId="4997"/>
    <cellStyle name="_DEM-WP (C) Power Cost 2006GRC Order_NIM Summary 40" xfId="4998"/>
    <cellStyle name="_DEM-WP (C) Power Cost 2006GRC Order_NIM Summary 41" xfId="4999"/>
    <cellStyle name="_DEM-WP (C) Power Cost 2006GRC Order_NIM Summary 42" xfId="5000"/>
    <cellStyle name="_DEM-WP (C) Power Cost 2006GRC Order_NIM Summary 43" xfId="5001"/>
    <cellStyle name="_DEM-WP (C) Power Cost 2006GRC Order_NIM Summary 44" xfId="5002"/>
    <cellStyle name="_DEM-WP (C) Power Cost 2006GRC Order_NIM Summary 45" xfId="5003"/>
    <cellStyle name="_DEM-WP (C) Power Cost 2006GRC Order_NIM Summary 46" xfId="5004"/>
    <cellStyle name="_DEM-WP (C) Power Cost 2006GRC Order_NIM Summary 47" xfId="5005"/>
    <cellStyle name="_DEM-WP (C) Power Cost 2006GRC Order_NIM Summary 48" xfId="5006"/>
    <cellStyle name="_DEM-WP (C) Power Cost 2006GRC Order_NIM Summary 49" xfId="5007"/>
    <cellStyle name="_DEM-WP (C) Power Cost 2006GRC Order_NIM Summary 5" xfId="5008"/>
    <cellStyle name="_DEM-WP (C) Power Cost 2006GRC Order_NIM Summary 50" xfId="5009"/>
    <cellStyle name="_DEM-WP (C) Power Cost 2006GRC Order_NIM Summary 51" xfId="5010"/>
    <cellStyle name="_DEM-WP (C) Power Cost 2006GRC Order_NIM Summary 52" xfId="5011"/>
    <cellStyle name="_DEM-WP (C) Power Cost 2006GRC Order_NIM Summary 6" xfId="5012"/>
    <cellStyle name="_DEM-WP (C) Power Cost 2006GRC Order_NIM Summary 7" xfId="5013"/>
    <cellStyle name="_DEM-WP (C) Power Cost 2006GRC Order_NIM Summary 8" xfId="5014"/>
    <cellStyle name="_DEM-WP (C) Power Cost 2006GRC Order_NIM Summary 9" xfId="5015"/>
    <cellStyle name="_DEM-WP (C) Power Cost 2006GRC Order_NIM Summary_DEM-WP(C) ENERG10C--ctn Mid-C_042010 2010GRC" xfId="5016"/>
    <cellStyle name="_DEM-WP (C) Power Cost 2006GRC Order_NIM+O&amp;M" xfId="5017"/>
    <cellStyle name="_DEM-WP (C) Power Cost 2006GRC Order_NIM+O&amp;M 2" xfId="5018"/>
    <cellStyle name="_DEM-WP (C) Power Cost 2006GRC Order_NIM+O&amp;M Monthly" xfId="5019"/>
    <cellStyle name="_DEM-WP (C) Power Cost 2006GRC Order_NIM+O&amp;M Monthly 2" xfId="5020"/>
    <cellStyle name="_DEM-WP (C) Power Cost 2006GRC Order_PCA 10 -  Exhibit D Dec 2011" xfId="5021"/>
    <cellStyle name="_DEM-WP (C) Power Cost 2006GRC Order_PCA 10 -  Exhibit D from A Kellogg Jan 2011" xfId="5022"/>
    <cellStyle name="_DEM-WP (C) Power Cost 2006GRC Order_PCA 10 -  Exhibit D from A Kellogg July 2011" xfId="5023"/>
    <cellStyle name="_DEM-WP (C) Power Cost 2006GRC Order_PCA 10 -  Exhibit D from S Free Rcv'd 12-11" xfId="5024"/>
    <cellStyle name="_DEM-WP (C) Power Cost 2006GRC Order_PCA 11 -  Exhibit D Jan 2012 fr A Kellogg" xfId="5025"/>
    <cellStyle name="_DEM-WP (C) Power Cost 2006GRC Order_PCA 11 -  Exhibit D Jan 2012 WF" xfId="5026"/>
    <cellStyle name="_DEM-WP (C) Power Cost 2006GRC Order_PCA 9 -  Exhibit D April 2010" xfId="5027"/>
    <cellStyle name="_DEM-WP (C) Power Cost 2006GRC Order_PCA 9 -  Exhibit D April 2010 (3)" xfId="5028"/>
    <cellStyle name="_DEM-WP (C) Power Cost 2006GRC Order_PCA 9 -  Exhibit D April 2010 (3) 2" xfId="5029"/>
    <cellStyle name="_DEM-WP (C) Power Cost 2006GRC Order_PCA 9 -  Exhibit D April 2010 (3) 2 2" xfId="5030"/>
    <cellStyle name="_DEM-WP (C) Power Cost 2006GRC Order_PCA 9 -  Exhibit D April 2010 (3) 3" xfId="5031"/>
    <cellStyle name="_DEM-WP (C) Power Cost 2006GRC Order_PCA 9 -  Exhibit D April 2010 (3)_DEM-WP(C) ENERG10C--ctn Mid-C_042010 2010GRC" xfId="5032"/>
    <cellStyle name="_DEM-WP (C) Power Cost 2006GRC Order_PCA 9 -  Exhibit D April 2010 2" xfId="5033"/>
    <cellStyle name="_DEM-WP (C) Power Cost 2006GRC Order_PCA 9 -  Exhibit D April 2010 3" xfId="5034"/>
    <cellStyle name="_DEM-WP (C) Power Cost 2006GRC Order_PCA 9 -  Exhibit D April 2010 4" xfId="5035"/>
    <cellStyle name="_DEM-WP (C) Power Cost 2006GRC Order_PCA 9 -  Exhibit D April 2010 5" xfId="5036"/>
    <cellStyle name="_DEM-WP (C) Power Cost 2006GRC Order_PCA 9 -  Exhibit D April 2010 6" xfId="5037"/>
    <cellStyle name="_DEM-WP (C) Power Cost 2006GRC Order_PCA 9 -  Exhibit D Nov 2010" xfId="5038"/>
    <cellStyle name="_DEM-WP (C) Power Cost 2006GRC Order_PCA 9 -  Exhibit D Nov 2010 2" xfId="5039"/>
    <cellStyle name="_DEM-WP (C) Power Cost 2006GRC Order_PCA 9 - Exhibit D at August 2010" xfId="5040"/>
    <cellStyle name="_DEM-WP (C) Power Cost 2006GRC Order_PCA 9 - Exhibit D at August 2010 2" xfId="5041"/>
    <cellStyle name="_DEM-WP (C) Power Cost 2006GRC Order_PCA 9 - Exhibit D June 2010 GRC" xfId="5042"/>
    <cellStyle name="_DEM-WP (C) Power Cost 2006GRC Order_PCA 9 - Exhibit D June 2010 GRC 2" xfId="5043"/>
    <cellStyle name="_DEM-WP (C) Power Cost 2006GRC Order_Power Costs - Comparison bx Rbtl-Staff-Jt-PC" xfId="5044"/>
    <cellStyle name="_DEM-WP (C) Power Cost 2006GRC Order_Power Costs - Comparison bx Rbtl-Staff-Jt-PC 2" xfId="5045"/>
    <cellStyle name="_DEM-WP (C) Power Cost 2006GRC Order_Power Costs - Comparison bx Rbtl-Staff-Jt-PC 2 2" xfId="5046"/>
    <cellStyle name="_DEM-WP (C) Power Cost 2006GRC Order_Power Costs - Comparison bx Rbtl-Staff-Jt-PC 3" xfId="5047"/>
    <cellStyle name="_DEM-WP (C) Power Cost 2006GRC Order_Power Costs - Comparison bx Rbtl-Staff-Jt-PC_Adj Bench DR 3 for Initial Briefs (Electric)" xfId="5048"/>
    <cellStyle name="_DEM-WP (C) Power Cost 2006GRC Order_Power Costs - Comparison bx Rbtl-Staff-Jt-PC_Adj Bench DR 3 for Initial Briefs (Electric) 2" xfId="5049"/>
    <cellStyle name="_DEM-WP (C) Power Cost 2006GRC Order_Power Costs - Comparison bx Rbtl-Staff-Jt-PC_Adj Bench DR 3 for Initial Briefs (Electric) 2 2" xfId="5050"/>
    <cellStyle name="_DEM-WP (C) Power Cost 2006GRC Order_Power Costs - Comparison bx Rbtl-Staff-Jt-PC_Adj Bench DR 3 for Initial Briefs (Electric) 3" xfId="5051"/>
    <cellStyle name="_DEM-WP (C) Power Cost 2006GRC Order_Power Costs - Comparison bx Rbtl-Staff-Jt-PC_Adj Bench DR 3 for Initial Briefs (Electric)_DEM-WP(C) ENERG10C--ctn Mid-C_042010 2010GRC" xfId="5052"/>
    <cellStyle name="_DEM-WP (C) Power Cost 2006GRC Order_Power Costs - Comparison bx Rbtl-Staff-Jt-PC_DEM-WP(C) ENERG10C--ctn Mid-C_042010 2010GRC" xfId="5053"/>
    <cellStyle name="_DEM-WP (C) Power Cost 2006GRC Order_Power Costs - Comparison bx Rbtl-Staff-Jt-PC_Electric Rev Req Model (2009 GRC) Rebuttal" xfId="5054"/>
    <cellStyle name="_DEM-WP (C) Power Cost 2006GRC Order_Power Costs - Comparison bx Rbtl-Staff-Jt-PC_Electric Rev Req Model (2009 GRC) Rebuttal 2" xfId="5055"/>
    <cellStyle name="_DEM-WP (C) Power Cost 2006GRC Order_Power Costs - Comparison bx Rbtl-Staff-Jt-PC_Electric Rev Req Model (2009 GRC) Rebuttal REmoval of New  WH Solar AdjustMI" xfId="5056"/>
    <cellStyle name="_DEM-WP (C) Power Cost 2006GRC Order_Power Costs - Comparison bx Rbtl-Staff-Jt-PC_Electric Rev Req Model (2009 GRC) Rebuttal REmoval of New  WH Solar AdjustMI 2" xfId="5057"/>
    <cellStyle name="_DEM-WP (C) Power Cost 2006GRC Order_Power Costs - Comparison bx Rbtl-Staff-Jt-PC_Electric Rev Req Model (2009 GRC) Rebuttal REmoval of New  WH Solar AdjustMI 2 2" xfId="5058"/>
    <cellStyle name="_DEM-WP (C) Power Cost 2006GRC Order_Power Costs - Comparison bx Rbtl-Staff-Jt-PC_Electric Rev Req Model (2009 GRC) Rebuttal REmoval of New  WH Solar AdjustMI 3" xfId="5059"/>
    <cellStyle name="_DEM-WP (C) Power Cost 2006GRC Order_Power Costs - Comparison bx Rbtl-Staff-Jt-PC_Electric Rev Req Model (2009 GRC) Rebuttal REmoval of New  WH Solar AdjustMI_DEM-WP(C) ENERG10C--ctn Mid-C_042010 2010GRC" xfId="5060"/>
    <cellStyle name="_DEM-WP (C) Power Cost 2006GRC Order_Power Costs - Comparison bx Rbtl-Staff-Jt-PC_Electric Rev Req Model (2009 GRC) Revised 01-18-2010" xfId="5061"/>
    <cellStyle name="_DEM-WP (C) Power Cost 2006GRC Order_Power Costs - Comparison bx Rbtl-Staff-Jt-PC_Electric Rev Req Model (2009 GRC) Revised 01-18-2010 2" xfId="5062"/>
    <cellStyle name="_DEM-WP (C) Power Cost 2006GRC Order_Power Costs - Comparison bx Rbtl-Staff-Jt-PC_Electric Rev Req Model (2009 GRC) Revised 01-18-2010 2 2" xfId="5063"/>
    <cellStyle name="_DEM-WP (C) Power Cost 2006GRC Order_Power Costs - Comparison bx Rbtl-Staff-Jt-PC_Electric Rev Req Model (2009 GRC) Revised 01-18-2010 3" xfId="5064"/>
    <cellStyle name="_DEM-WP (C) Power Cost 2006GRC Order_Power Costs - Comparison bx Rbtl-Staff-Jt-PC_Electric Rev Req Model (2009 GRC) Revised 01-18-2010_DEM-WP(C) ENERG10C--ctn Mid-C_042010 2010GRC" xfId="5065"/>
    <cellStyle name="_DEM-WP (C) Power Cost 2006GRC Order_Power Costs - Comparison bx Rbtl-Staff-Jt-PC_Final Order Electric EXHIBIT A-1" xfId="5066"/>
    <cellStyle name="_DEM-WP (C) Power Cost 2006GRC Order_Power Costs - Comparison bx Rbtl-Staff-Jt-PC_Final Order Electric EXHIBIT A-1 2" xfId="5067"/>
    <cellStyle name="_DEM-WP (C) Power Cost 2006GRC Order_Production Adj 4.37" xfId="21262"/>
    <cellStyle name="_DEM-WP (C) Power Cost 2006GRC Order_Purchased Power Adj 4.03" xfId="21263"/>
    <cellStyle name="_DEM-WP (C) Power Cost 2006GRC Order_Rebuttal Power Costs" xfId="5068"/>
    <cellStyle name="_DEM-WP (C) Power Cost 2006GRC Order_Rebuttal Power Costs 2" xfId="5069"/>
    <cellStyle name="_DEM-WP (C) Power Cost 2006GRC Order_Rebuttal Power Costs 2 2" xfId="5070"/>
    <cellStyle name="_DEM-WP (C) Power Cost 2006GRC Order_Rebuttal Power Costs 3" xfId="5071"/>
    <cellStyle name="_DEM-WP (C) Power Cost 2006GRC Order_Rebuttal Power Costs_Adj Bench DR 3 for Initial Briefs (Electric)" xfId="5072"/>
    <cellStyle name="_DEM-WP (C) Power Cost 2006GRC Order_Rebuttal Power Costs_Adj Bench DR 3 for Initial Briefs (Electric) 2" xfId="5073"/>
    <cellStyle name="_DEM-WP (C) Power Cost 2006GRC Order_Rebuttal Power Costs_Adj Bench DR 3 for Initial Briefs (Electric) 2 2" xfId="5074"/>
    <cellStyle name="_DEM-WP (C) Power Cost 2006GRC Order_Rebuttal Power Costs_Adj Bench DR 3 for Initial Briefs (Electric) 3" xfId="5075"/>
    <cellStyle name="_DEM-WP (C) Power Cost 2006GRC Order_Rebuttal Power Costs_Adj Bench DR 3 for Initial Briefs (Electric)_DEM-WP(C) ENERG10C--ctn Mid-C_042010 2010GRC" xfId="5076"/>
    <cellStyle name="_DEM-WP (C) Power Cost 2006GRC Order_Rebuttal Power Costs_DEM-WP(C) ENERG10C--ctn Mid-C_042010 2010GRC" xfId="5077"/>
    <cellStyle name="_DEM-WP (C) Power Cost 2006GRC Order_Rebuttal Power Costs_Electric Rev Req Model (2009 GRC) Rebuttal" xfId="5078"/>
    <cellStyle name="_DEM-WP (C) Power Cost 2006GRC Order_Rebuttal Power Costs_Electric Rev Req Model (2009 GRC) Rebuttal 2" xfId="5079"/>
    <cellStyle name="_DEM-WP (C) Power Cost 2006GRC Order_Rebuttal Power Costs_Electric Rev Req Model (2009 GRC) Rebuttal REmoval of New  WH Solar AdjustMI" xfId="5080"/>
    <cellStyle name="_DEM-WP (C) Power Cost 2006GRC Order_Rebuttal Power Costs_Electric Rev Req Model (2009 GRC) Rebuttal REmoval of New  WH Solar AdjustMI 2" xfId="5081"/>
    <cellStyle name="_DEM-WP (C) Power Cost 2006GRC Order_Rebuttal Power Costs_Electric Rev Req Model (2009 GRC) Rebuttal REmoval of New  WH Solar AdjustMI 2 2" xfId="5082"/>
    <cellStyle name="_DEM-WP (C) Power Cost 2006GRC Order_Rebuttal Power Costs_Electric Rev Req Model (2009 GRC) Rebuttal REmoval of New  WH Solar AdjustMI 3" xfId="5083"/>
    <cellStyle name="_DEM-WP (C) Power Cost 2006GRC Order_Rebuttal Power Costs_Electric Rev Req Model (2009 GRC) Rebuttal REmoval of New  WH Solar AdjustMI_DEM-WP(C) ENERG10C--ctn Mid-C_042010 2010GRC" xfId="5084"/>
    <cellStyle name="_DEM-WP (C) Power Cost 2006GRC Order_Rebuttal Power Costs_Electric Rev Req Model (2009 GRC) Revised 01-18-2010" xfId="5085"/>
    <cellStyle name="_DEM-WP (C) Power Cost 2006GRC Order_Rebuttal Power Costs_Electric Rev Req Model (2009 GRC) Revised 01-18-2010 2" xfId="5086"/>
    <cellStyle name="_DEM-WP (C) Power Cost 2006GRC Order_Rebuttal Power Costs_Electric Rev Req Model (2009 GRC) Revised 01-18-2010 2 2" xfId="5087"/>
    <cellStyle name="_DEM-WP (C) Power Cost 2006GRC Order_Rebuttal Power Costs_Electric Rev Req Model (2009 GRC) Revised 01-18-2010 3" xfId="5088"/>
    <cellStyle name="_DEM-WP (C) Power Cost 2006GRC Order_Rebuttal Power Costs_Electric Rev Req Model (2009 GRC) Revised 01-18-2010_DEM-WP(C) ENERG10C--ctn Mid-C_042010 2010GRC" xfId="5089"/>
    <cellStyle name="_DEM-WP (C) Power Cost 2006GRC Order_Rebuttal Power Costs_Final Order Electric EXHIBIT A-1" xfId="5090"/>
    <cellStyle name="_DEM-WP (C) Power Cost 2006GRC Order_Rebuttal Power Costs_Final Order Electric EXHIBIT A-1 2" xfId="5091"/>
    <cellStyle name="_DEM-WP (C) Power Cost 2006GRC Order_ROR 5.02" xfId="21264"/>
    <cellStyle name="_DEM-WP (C) Power Cost 2006GRC Order_Scenario 1 REC vs PTC Offset" xfId="5092"/>
    <cellStyle name="_DEM-WP (C) Power Cost 2006GRC Order_Scenario 3" xfId="5093"/>
    <cellStyle name="_DEM-WP (C) Power Cost 2006GRC Order_Wind Integration 10GRC" xfId="5094"/>
    <cellStyle name="_DEM-WP (C) Power Cost 2006GRC Order_Wind Integration 10GRC 2" xfId="5095"/>
    <cellStyle name="_DEM-WP (C) Power Cost 2006GRC Order_Wind Integration 10GRC 2 2" xfId="5096"/>
    <cellStyle name="_DEM-WP (C) Power Cost 2006GRC Order_Wind Integration 10GRC 3" xfId="5097"/>
    <cellStyle name="_DEM-WP (C) Power Cost 2006GRC Order_Wind Integration 10GRC_DEM-WP(C) ENERG10C--ctn Mid-C_042010 2010GRC" xfId="5098"/>
    <cellStyle name="_DEM-WP Revised (HC) Wild Horse 2006GRC" xfId="5099"/>
    <cellStyle name="_DEM-WP Revised (HC) Wild Horse 2006GRC 2" xfId="5100"/>
    <cellStyle name="_DEM-WP Revised (HC) Wild Horse 2006GRC 2 2" xfId="5101"/>
    <cellStyle name="_DEM-WP Revised (HC) Wild Horse 2006GRC 3" xfId="5102"/>
    <cellStyle name="_DEM-WP Revised (HC) Wild Horse 2006GRC_16.37E Wild Horse Expansion DeferralRevwrkingfile SF" xfId="5103"/>
    <cellStyle name="_DEM-WP Revised (HC) Wild Horse 2006GRC_16.37E Wild Horse Expansion DeferralRevwrkingfile SF 2" xfId="5104"/>
    <cellStyle name="_DEM-WP Revised (HC) Wild Horse 2006GRC_16.37E Wild Horse Expansion DeferralRevwrkingfile SF 2 2" xfId="5105"/>
    <cellStyle name="_DEM-WP Revised (HC) Wild Horse 2006GRC_16.37E Wild Horse Expansion DeferralRevwrkingfile SF 3" xfId="5106"/>
    <cellStyle name="_DEM-WP Revised (HC) Wild Horse 2006GRC_16.37E Wild Horse Expansion DeferralRevwrkingfile SF_DEM-WP(C) ENERG10C--ctn Mid-C_042010 2010GRC" xfId="5107"/>
    <cellStyle name="_DEM-WP Revised (HC) Wild Horse 2006GRC_2009 GRC Compl Filing - Exhibit D" xfId="5108"/>
    <cellStyle name="_DEM-WP Revised (HC) Wild Horse 2006GRC_2009 GRC Compl Filing - Exhibit D 2" xfId="5109"/>
    <cellStyle name="_DEM-WP Revised (HC) Wild Horse 2006GRC_2009 GRC Compl Filing - Exhibit D 2 2" xfId="5110"/>
    <cellStyle name="_DEM-WP Revised (HC) Wild Horse 2006GRC_2009 GRC Compl Filing - Exhibit D 3" xfId="5111"/>
    <cellStyle name="_DEM-WP Revised (HC) Wild Horse 2006GRC_2009 GRC Compl Filing - Exhibit D_DEM-WP(C) ENERG10C--ctn Mid-C_042010 2010GRC" xfId="5112"/>
    <cellStyle name="_DEM-WP Revised (HC) Wild Horse 2006GRC_Adj Bench DR 3 for Initial Briefs (Electric)" xfId="5113"/>
    <cellStyle name="_DEM-WP Revised (HC) Wild Horse 2006GRC_Adj Bench DR 3 for Initial Briefs (Electric) 2" xfId="5114"/>
    <cellStyle name="_DEM-WP Revised (HC) Wild Horse 2006GRC_Adj Bench DR 3 for Initial Briefs (Electric) 2 2" xfId="5115"/>
    <cellStyle name="_DEM-WP Revised (HC) Wild Horse 2006GRC_Adj Bench DR 3 for Initial Briefs (Electric) 3" xfId="5116"/>
    <cellStyle name="_DEM-WP Revised (HC) Wild Horse 2006GRC_Adj Bench DR 3 for Initial Briefs (Electric)_DEM-WP(C) ENERG10C--ctn Mid-C_042010 2010GRC" xfId="5117"/>
    <cellStyle name="_DEM-WP Revised (HC) Wild Horse 2006GRC_Book1" xfId="5118"/>
    <cellStyle name="_DEM-WP Revised (HC) Wild Horse 2006GRC_Book2" xfId="5119"/>
    <cellStyle name="_DEM-WP Revised (HC) Wild Horse 2006GRC_Book2 2" xfId="5120"/>
    <cellStyle name="_DEM-WP Revised (HC) Wild Horse 2006GRC_Book2 2 2" xfId="5121"/>
    <cellStyle name="_DEM-WP Revised (HC) Wild Horse 2006GRC_Book2 3" xfId="5122"/>
    <cellStyle name="_DEM-WP Revised (HC) Wild Horse 2006GRC_Book2_DEM-WP(C) ENERG10C--ctn Mid-C_042010 2010GRC" xfId="5123"/>
    <cellStyle name="_DEM-WP Revised (HC) Wild Horse 2006GRC_Book4" xfId="5124"/>
    <cellStyle name="_DEM-WP Revised (HC) Wild Horse 2006GRC_Book4 2" xfId="5125"/>
    <cellStyle name="_DEM-WP Revised (HC) Wild Horse 2006GRC_Book4 2 2" xfId="5126"/>
    <cellStyle name="_DEM-WP Revised (HC) Wild Horse 2006GRC_Book4 3" xfId="5127"/>
    <cellStyle name="_DEM-WP Revised (HC) Wild Horse 2006GRC_Book4_DEM-WP(C) ENERG10C--ctn Mid-C_042010 2010GRC" xfId="5128"/>
    <cellStyle name="_DEM-WP Revised (HC) Wild Horse 2006GRC_DEM-WP(C) ENERG10C--ctn Mid-C_042010 2010GRC" xfId="5129"/>
    <cellStyle name="_DEM-WP Revised (HC) Wild Horse 2006GRC_Electric Rev Req Model (2009 GRC) " xfId="5130"/>
    <cellStyle name="_DEM-WP Revised (HC) Wild Horse 2006GRC_Electric Rev Req Model (2009 GRC)  2" xfId="5131"/>
    <cellStyle name="_DEM-WP Revised (HC) Wild Horse 2006GRC_Electric Rev Req Model (2009 GRC)  2 2" xfId="5132"/>
    <cellStyle name="_DEM-WP Revised (HC) Wild Horse 2006GRC_Electric Rev Req Model (2009 GRC)  3" xfId="5133"/>
    <cellStyle name="_DEM-WP Revised (HC) Wild Horse 2006GRC_Electric Rev Req Model (2009 GRC) _DEM-WP(C) ENERG10C--ctn Mid-C_042010 2010GRC" xfId="5134"/>
    <cellStyle name="_DEM-WP Revised (HC) Wild Horse 2006GRC_Electric Rev Req Model (2009 GRC) Rebuttal" xfId="5135"/>
    <cellStyle name="_DEM-WP Revised (HC) Wild Horse 2006GRC_Electric Rev Req Model (2009 GRC) Rebuttal 2" xfId="5136"/>
    <cellStyle name="_DEM-WP Revised (HC) Wild Horse 2006GRC_Electric Rev Req Model (2009 GRC) Rebuttal REmoval of New  WH Solar AdjustMI" xfId="5137"/>
    <cellStyle name="_DEM-WP Revised (HC) Wild Horse 2006GRC_Electric Rev Req Model (2009 GRC) Rebuttal REmoval of New  WH Solar AdjustMI 2" xfId="5138"/>
    <cellStyle name="_DEM-WP Revised (HC) Wild Horse 2006GRC_Electric Rev Req Model (2009 GRC) Rebuttal REmoval of New  WH Solar AdjustMI 2 2" xfId="5139"/>
    <cellStyle name="_DEM-WP Revised (HC) Wild Horse 2006GRC_Electric Rev Req Model (2009 GRC) Rebuttal REmoval of New  WH Solar AdjustMI 3" xfId="5140"/>
    <cellStyle name="_DEM-WP Revised (HC) Wild Horse 2006GRC_Electric Rev Req Model (2009 GRC) Rebuttal REmoval of New  WH Solar AdjustMI_DEM-WP(C) ENERG10C--ctn Mid-C_042010 2010GRC" xfId="5141"/>
    <cellStyle name="_DEM-WP Revised (HC) Wild Horse 2006GRC_Electric Rev Req Model (2009 GRC) Revised 01-18-2010" xfId="5142"/>
    <cellStyle name="_DEM-WP Revised (HC) Wild Horse 2006GRC_Electric Rev Req Model (2009 GRC) Revised 01-18-2010 2" xfId="5143"/>
    <cellStyle name="_DEM-WP Revised (HC) Wild Horse 2006GRC_Electric Rev Req Model (2009 GRC) Revised 01-18-2010 2 2" xfId="5144"/>
    <cellStyle name="_DEM-WP Revised (HC) Wild Horse 2006GRC_Electric Rev Req Model (2009 GRC) Revised 01-18-2010 3" xfId="5145"/>
    <cellStyle name="_DEM-WP Revised (HC) Wild Horse 2006GRC_Electric Rev Req Model (2009 GRC) Revised 01-18-2010_DEM-WP(C) ENERG10C--ctn Mid-C_042010 2010GRC" xfId="5146"/>
    <cellStyle name="_DEM-WP Revised (HC) Wild Horse 2006GRC_Electric Rev Req Model (2010 GRC)" xfId="5147"/>
    <cellStyle name="_DEM-WP Revised (HC) Wild Horse 2006GRC_Electric Rev Req Model (2010 GRC) SF" xfId="5148"/>
    <cellStyle name="_DEM-WP Revised (HC) Wild Horse 2006GRC_Final Order Electric EXHIBIT A-1" xfId="5149"/>
    <cellStyle name="_DEM-WP Revised (HC) Wild Horse 2006GRC_Final Order Electric EXHIBIT A-1 2" xfId="5150"/>
    <cellStyle name="_DEM-WP Revised (HC) Wild Horse 2006GRC_NIM Summary" xfId="5151"/>
    <cellStyle name="_DEM-WP Revised (HC) Wild Horse 2006GRC_NIM Summary 2" xfId="5152"/>
    <cellStyle name="_DEM-WP Revised (HC) Wild Horse 2006GRC_NIM Summary 2 2" xfId="5153"/>
    <cellStyle name="_DEM-WP Revised (HC) Wild Horse 2006GRC_NIM Summary 3" xfId="5154"/>
    <cellStyle name="_DEM-WP Revised (HC) Wild Horse 2006GRC_NIM Summary_DEM-WP(C) ENERG10C--ctn Mid-C_042010 2010GRC" xfId="5155"/>
    <cellStyle name="_DEM-WP Revised (HC) Wild Horse 2006GRC_Power Costs - Comparison bx Rbtl-Staff-Jt-PC" xfId="5156"/>
    <cellStyle name="_DEM-WP Revised (HC) Wild Horse 2006GRC_Power Costs - Comparison bx Rbtl-Staff-Jt-PC 2" xfId="5157"/>
    <cellStyle name="_DEM-WP Revised (HC) Wild Horse 2006GRC_Power Costs - Comparison bx Rbtl-Staff-Jt-PC 2 2" xfId="5158"/>
    <cellStyle name="_DEM-WP Revised (HC) Wild Horse 2006GRC_Power Costs - Comparison bx Rbtl-Staff-Jt-PC 3" xfId="5159"/>
    <cellStyle name="_DEM-WP Revised (HC) Wild Horse 2006GRC_Power Costs - Comparison bx Rbtl-Staff-Jt-PC_DEM-WP(C) ENERG10C--ctn Mid-C_042010 2010GRC" xfId="5160"/>
    <cellStyle name="_DEM-WP Revised (HC) Wild Horse 2006GRC_Rebuttal Power Costs" xfId="5161"/>
    <cellStyle name="_DEM-WP Revised (HC) Wild Horse 2006GRC_Rebuttal Power Costs 2" xfId="5162"/>
    <cellStyle name="_DEM-WP Revised (HC) Wild Horse 2006GRC_Rebuttal Power Costs 2 2" xfId="5163"/>
    <cellStyle name="_DEM-WP Revised (HC) Wild Horse 2006GRC_Rebuttal Power Costs 3" xfId="5164"/>
    <cellStyle name="_DEM-WP Revised (HC) Wild Horse 2006GRC_Rebuttal Power Costs_DEM-WP(C) ENERG10C--ctn Mid-C_042010 2010GRC" xfId="5165"/>
    <cellStyle name="_DEM-WP Revised (HC) Wild Horse 2006GRC_TENASKA REGULATORY ASSET" xfId="5166"/>
    <cellStyle name="_DEM-WP Revised (HC) Wild Horse 2006GRC_TENASKA REGULATORY ASSET 2" xfId="5167"/>
    <cellStyle name="_x0013__DEM-WP(C) Colstrip 12 Coal Cost Forecast 2010GRC" xfId="5168"/>
    <cellStyle name="_x0013__DEM-WP(C) Colstrip 12 Coal Cost Forecast 2010GRC 2" xfId="5169"/>
    <cellStyle name="_DEM-WP(C) Colstrip FOR" xfId="5170"/>
    <cellStyle name="_DEM-WP(C) Colstrip FOR 2" xfId="5171"/>
    <cellStyle name="_DEM-WP(C) Colstrip FOR 2 2" xfId="5172"/>
    <cellStyle name="_DEM-WP(C) Colstrip FOR 3" xfId="5173"/>
    <cellStyle name="_DEM-WP(C) Colstrip FOR 3 2" xfId="5174"/>
    <cellStyle name="_DEM-WP(C) Colstrip FOR 4" xfId="5175"/>
    <cellStyle name="_DEM-WP(C) Colstrip FOR 4 2" xfId="5176"/>
    <cellStyle name="_DEM-WP(C) Colstrip FOR 5" xfId="5177"/>
    <cellStyle name="_DEM-WP(C) Colstrip FOR 5 2" xfId="5178"/>
    <cellStyle name="_DEM-WP(C) Colstrip FOR 6" xfId="5179"/>
    <cellStyle name="_DEM-WP(C) Colstrip FOR 6 2" xfId="5180"/>
    <cellStyle name="_DEM-WP(C) Colstrip FOR_(C) WHE Proforma with ITC cash grant 10 Yr Amort_for rebuttal_120709" xfId="5181"/>
    <cellStyle name="_DEM-WP(C) Colstrip FOR_(C) WHE Proforma with ITC cash grant 10 Yr Amort_for rebuttal_120709 2" xfId="5182"/>
    <cellStyle name="_DEM-WP(C) Colstrip FOR_(C) WHE Proforma with ITC cash grant 10 Yr Amort_for rebuttal_120709 2 2" xfId="5183"/>
    <cellStyle name="_DEM-WP(C) Colstrip FOR_(C) WHE Proforma with ITC cash grant 10 Yr Amort_for rebuttal_120709 3" xfId="5184"/>
    <cellStyle name="_DEM-WP(C) Colstrip FOR_(C) WHE Proforma with ITC cash grant 10 Yr Amort_for rebuttal_120709_DEM-WP(C) ENERG10C--ctn Mid-C_042010 2010GRC" xfId="5185"/>
    <cellStyle name="_DEM-WP(C) Colstrip FOR_16.07E Wild Horse Wind Expansionwrkingfile" xfId="5186"/>
    <cellStyle name="_DEM-WP(C) Colstrip FOR_16.07E Wild Horse Wind Expansionwrkingfile 2" xfId="5187"/>
    <cellStyle name="_DEM-WP(C) Colstrip FOR_16.07E Wild Horse Wind Expansionwrkingfile 2 2" xfId="5188"/>
    <cellStyle name="_DEM-WP(C) Colstrip FOR_16.07E Wild Horse Wind Expansionwrkingfile 3" xfId="5189"/>
    <cellStyle name="_DEM-WP(C) Colstrip FOR_16.07E Wild Horse Wind Expansionwrkingfile SF" xfId="5190"/>
    <cellStyle name="_DEM-WP(C) Colstrip FOR_16.07E Wild Horse Wind Expansionwrkingfile SF 2" xfId="5191"/>
    <cellStyle name="_DEM-WP(C) Colstrip FOR_16.07E Wild Horse Wind Expansionwrkingfile SF 2 2" xfId="5192"/>
    <cellStyle name="_DEM-WP(C) Colstrip FOR_16.07E Wild Horse Wind Expansionwrkingfile SF 3" xfId="5193"/>
    <cellStyle name="_DEM-WP(C) Colstrip FOR_16.07E Wild Horse Wind Expansionwrkingfile SF_DEM-WP(C) ENERG10C--ctn Mid-C_042010 2010GRC" xfId="5194"/>
    <cellStyle name="_DEM-WP(C) Colstrip FOR_16.07E Wild Horse Wind Expansionwrkingfile_DEM-WP(C) ENERG10C--ctn Mid-C_042010 2010GRC" xfId="5195"/>
    <cellStyle name="_DEM-WP(C) Colstrip FOR_16.37E Wild Horse Expansion DeferralRevwrkingfile SF" xfId="5196"/>
    <cellStyle name="_DEM-WP(C) Colstrip FOR_16.37E Wild Horse Expansion DeferralRevwrkingfile SF 2" xfId="5197"/>
    <cellStyle name="_DEM-WP(C) Colstrip FOR_16.37E Wild Horse Expansion DeferralRevwrkingfile SF 2 2" xfId="5198"/>
    <cellStyle name="_DEM-WP(C) Colstrip FOR_16.37E Wild Horse Expansion DeferralRevwrkingfile SF 3" xfId="5199"/>
    <cellStyle name="_DEM-WP(C) Colstrip FOR_16.37E Wild Horse Expansion DeferralRevwrkingfile SF_DEM-WP(C) ENERG10C--ctn Mid-C_042010 2010GRC" xfId="5200"/>
    <cellStyle name="_DEM-WP(C) Colstrip FOR_Adj Bench DR 3 for Initial Briefs (Electric)" xfId="5201"/>
    <cellStyle name="_DEM-WP(C) Colstrip FOR_Adj Bench DR 3 for Initial Briefs (Electric) 2" xfId="5202"/>
    <cellStyle name="_DEM-WP(C) Colstrip FOR_Adj Bench DR 3 for Initial Briefs (Electric) 2 2" xfId="5203"/>
    <cellStyle name="_DEM-WP(C) Colstrip FOR_Adj Bench DR 3 for Initial Briefs (Electric) 3" xfId="5204"/>
    <cellStyle name="_DEM-WP(C) Colstrip FOR_Adj Bench DR 3 for Initial Briefs (Electric)_DEM-WP(C) ENERG10C--ctn Mid-C_042010 2010GRC" xfId="5205"/>
    <cellStyle name="_DEM-WP(C) Colstrip FOR_Book2" xfId="5206"/>
    <cellStyle name="_DEM-WP(C) Colstrip FOR_Book2 2" xfId="5207"/>
    <cellStyle name="_DEM-WP(C) Colstrip FOR_Book2 2 2" xfId="5208"/>
    <cellStyle name="_DEM-WP(C) Colstrip FOR_Book2 3" xfId="5209"/>
    <cellStyle name="_DEM-WP(C) Colstrip FOR_Book2_Adj Bench DR 3 for Initial Briefs (Electric)" xfId="5210"/>
    <cellStyle name="_DEM-WP(C) Colstrip FOR_Book2_Adj Bench DR 3 for Initial Briefs (Electric) 2" xfId="5211"/>
    <cellStyle name="_DEM-WP(C) Colstrip FOR_Book2_Adj Bench DR 3 for Initial Briefs (Electric) 2 2" xfId="5212"/>
    <cellStyle name="_DEM-WP(C) Colstrip FOR_Book2_Adj Bench DR 3 for Initial Briefs (Electric) 3" xfId="5213"/>
    <cellStyle name="_DEM-WP(C) Colstrip FOR_Book2_Adj Bench DR 3 for Initial Briefs (Electric)_DEM-WP(C) ENERG10C--ctn Mid-C_042010 2010GRC" xfId="5214"/>
    <cellStyle name="_DEM-WP(C) Colstrip FOR_Book2_DEM-WP(C) ENERG10C--ctn Mid-C_042010 2010GRC" xfId="5215"/>
    <cellStyle name="_DEM-WP(C) Colstrip FOR_Book2_Electric Rev Req Model (2009 GRC) Rebuttal" xfId="5216"/>
    <cellStyle name="_DEM-WP(C) Colstrip FOR_Book2_Electric Rev Req Model (2009 GRC) Rebuttal 2" xfId="5217"/>
    <cellStyle name="_DEM-WP(C) Colstrip FOR_Book2_Electric Rev Req Model (2009 GRC) Rebuttal REmoval of New  WH Solar AdjustMI" xfId="5218"/>
    <cellStyle name="_DEM-WP(C) Colstrip FOR_Book2_Electric Rev Req Model (2009 GRC) Rebuttal REmoval of New  WH Solar AdjustMI 2" xfId="5219"/>
    <cellStyle name="_DEM-WP(C) Colstrip FOR_Book2_Electric Rev Req Model (2009 GRC) Rebuttal REmoval of New  WH Solar AdjustMI 2 2" xfId="5220"/>
    <cellStyle name="_DEM-WP(C) Colstrip FOR_Book2_Electric Rev Req Model (2009 GRC) Rebuttal REmoval of New  WH Solar AdjustMI 3" xfId="5221"/>
    <cellStyle name="_DEM-WP(C) Colstrip FOR_Book2_Electric Rev Req Model (2009 GRC) Rebuttal REmoval of New  WH Solar AdjustMI_DEM-WP(C) ENERG10C--ctn Mid-C_042010 2010GRC" xfId="5222"/>
    <cellStyle name="_DEM-WP(C) Colstrip FOR_Book2_Electric Rev Req Model (2009 GRC) Revised 01-18-2010" xfId="5223"/>
    <cellStyle name="_DEM-WP(C) Colstrip FOR_Book2_Electric Rev Req Model (2009 GRC) Revised 01-18-2010 2" xfId="5224"/>
    <cellStyle name="_DEM-WP(C) Colstrip FOR_Book2_Electric Rev Req Model (2009 GRC) Revised 01-18-2010 2 2" xfId="5225"/>
    <cellStyle name="_DEM-WP(C) Colstrip FOR_Book2_Electric Rev Req Model (2009 GRC) Revised 01-18-2010 3" xfId="5226"/>
    <cellStyle name="_DEM-WP(C) Colstrip FOR_Book2_Electric Rev Req Model (2009 GRC) Revised 01-18-2010_DEM-WP(C) ENERG10C--ctn Mid-C_042010 2010GRC" xfId="5227"/>
    <cellStyle name="_DEM-WP(C) Colstrip FOR_Book2_Final Order Electric EXHIBIT A-1" xfId="5228"/>
    <cellStyle name="_DEM-WP(C) Colstrip FOR_Book2_Final Order Electric EXHIBIT A-1 2" xfId="5229"/>
    <cellStyle name="_DEM-WP(C) Colstrip FOR_Colstrip 1&amp;2 Annual O&amp;M Budgets" xfId="5230"/>
    <cellStyle name="_DEM-WP(C) Colstrip FOR_Colstrip 1&amp;2 Annual O&amp;M Budgets 2" xfId="5231"/>
    <cellStyle name="_DEM-WP(C) Colstrip FOR_Colstrip 1&amp;2 Annual O&amp;M Budgets 3" xfId="5232"/>
    <cellStyle name="_DEM-WP(C) Colstrip FOR_Confidential Material" xfId="5233"/>
    <cellStyle name="_DEM-WP(C) Colstrip FOR_Confidential Material 2" xfId="5234"/>
    <cellStyle name="_DEM-WP(C) Colstrip FOR_DEM-WP(C) Colstrip 12 Coal Cost Forecast 2010GRC" xfId="5235"/>
    <cellStyle name="_DEM-WP(C) Colstrip FOR_DEM-WP(C) Colstrip 12 Coal Cost Forecast 2010GRC 2" xfId="5236"/>
    <cellStyle name="_DEM-WP(C) Colstrip FOR_DEM-WP(C) ENERG10C--ctn Mid-C_042010 2010GRC" xfId="5237"/>
    <cellStyle name="_DEM-WP(C) Colstrip FOR_DEM-WP(C) Production O&amp;M 2010GRC As-Filed" xfId="5238"/>
    <cellStyle name="_DEM-WP(C) Colstrip FOR_DEM-WP(C) Production O&amp;M 2010GRC As-Filed 2" xfId="5239"/>
    <cellStyle name="_DEM-WP(C) Colstrip FOR_DEM-WP(C) Production O&amp;M 2010GRC As-Filed 2 2" xfId="5240"/>
    <cellStyle name="_DEM-WP(C) Colstrip FOR_DEM-WP(C) Production O&amp;M 2010GRC As-Filed 2 3" xfId="5241"/>
    <cellStyle name="_DEM-WP(C) Colstrip FOR_DEM-WP(C) Production O&amp;M 2010GRC As-Filed 3" xfId="5242"/>
    <cellStyle name="_DEM-WP(C) Colstrip FOR_DEM-WP(C) Production O&amp;M 2010GRC As-Filed 3 2" xfId="5243"/>
    <cellStyle name="_DEM-WP(C) Colstrip FOR_DEM-WP(C) Production O&amp;M 2010GRC As-Filed 4" xfId="5244"/>
    <cellStyle name="_DEM-WP(C) Colstrip FOR_DEM-WP(C) Production O&amp;M 2010GRC As-Filed 4 2" xfId="5245"/>
    <cellStyle name="_DEM-WP(C) Colstrip FOR_DEM-WP(C) Production O&amp;M 2010GRC As-Filed 5" xfId="5246"/>
    <cellStyle name="_DEM-WP(C) Colstrip FOR_DEM-WP(C) Production O&amp;M 2010GRC As-Filed 5 2" xfId="5247"/>
    <cellStyle name="_DEM-WP(C) Colstrip FOR_DEM-WP(C) Production O&amp;M 2010GRC As-Filed 6" xfId="5248"/>
    <cellStyle name="_DEM-WP(C) Colstrip FOR_DEM-WP(C) Production O&amp;M 2010GRC As-Filed 6 2" xfId="5249"/>
    <cellStyle name="_DEM-WP(C) Colstrip FOR_Electric Rev Req Model (2009 GRC) Rebuttal" xfId="5250"/>
    <cellStyle name="_DEM-WP(C) Colstrip FOR_Electric Rev Req Model (2009 GRC) Rebuttal 2" xfId="5251"/>
    <cellStyle name="_DEM-WP(C) Colstrip FOR_Electric Rev Req Model (2009 GRC) Rebuttal REmoval of New  WH Solar AdjustMI" xfId="5252"/>
    <cellStyle name="_DEM-WP(C) Colstrip FOR_Electric Rev Req Model (2009 GRC) Rebuttal REmoval of New  WH Solar AdjustMI 2" xfId="5253"/>
    <cellStyle name="_DEM-WP(C) Colstrip FOR_Electric Rev Req Model (2009 GRC) Rebuttal REmoval of New  WH Solar AdjustMI 2 2" xfId="5254"/>
    <cellStyle name="_DEM-WP(C) Colstrip FOR_Electric Rev Req Model (2009 GRC) Rebuttal REmoval of New  WH Solar AdjustMI 3" xfId="5255"/>
    <cellStyle name="_DEM-WP(C) Colstrip FOR_Electric Rev Req Model (2009 GRC) Rebuttal REmoval of New  WH Solar AdjustMI_DEM-WP(C) ENERG10C--ctn Mid-C_042010 2010GRC" xfId="5256"/>
    <cellStyle name="_DEM-WP(C) Colstrip FOR_Electric Rev Req Model (2009 GRC) Revised 01-18-2010" xfId="5257"/>
    <cellStyle name="_DEM-WP(C) Colstrip FOR_Electric Rev Req Model (2009 GRC) Revised 01-18-2010 2" xfId="5258"/>
    <cellStyle name="_DEM-WP(C) Colstrip FOR_Electric Rev Req Model (2009 GRC) Revised 01-18-2010 2 2" xfId="5259"/>
    <cellStyle name="_DEM-WP(C) Colstrip FOR_Electric Rev Req Model (2009 GRC) Revised 01-18-2010 3" xfId="5260"/>
    <cellStyle name="_DEM-WP(C) Colstrip FOR_Electric Rev Req Model (2009 GRC) Revised 01-18-2010_DEM-WP(C) ENERG10C--ctn Mid-C_042010 2010GRC" xfId="5261"/>
    <cellStyle name="_DEM-WP(C) Colstrip FOR_Final Order Electric EXHIBIT A-1" xfId="5262"/>
    <cellStyle name="_DEM-WP(C) Colstrip FOR_Final Order Electric EXHIBIT A-1 2" xfId="5263"/>
    <cellStyle name="_DEM-WP(C) Colstrip FOR_Rebuttal Power Costs" xfId="5264"/>
    <cellStyle name="_DEM-WP(C) Colstrip FOR_Rebuttal Power Costs 2" xfId="5265"/>
    <cellStyle name="_DEM-WP(C) Colstrip FOR_Rebuttal Power Costs 2 2" xfId="5266"/>
    <cellStyle name="_DEM-WP(C) Colstrip FOR_Rebuttal Power Costs 3" xfId="5267"/>
    <cellStyle name="_DEM-WP(C) Colstrip FOR_Rebuttal Power Costs_Adj Bench DR 3 for Initial Briefs (Electric)" xfId="5268"/>
    <cellStyle name="_DEM-WP(C) Colstrip FOR_Rebuttal Power Costs_Adj Bench DR 3 for Initial Briefs (Electric) 2" xfId="5269"/>
    <cellStyle name="_DEM-WP(C) Colstrip FOR_Rebuttal Power Costs_Adj Bench DR 3 for Initial Briefs (Electric) 2 2" xfId="5270"/>
    <cellStyle name="_DEM-WP(C) Colstrip FOR_Rebuttal Power Costs_Adj Bench DR 3 for Initial Briefs (Electric) 3" xfId="5271"/>
    <cellStyle name="_DEM-WP(C) Colstrip FOR_Rebuttal Power Costs_Adj Bench DR 3 for Initial Briefs (Electric)_DEM-WP(C) ENERG10C--ctn Mid-C_042010 2010GRC" xfId="5272"/>
    <cellStyle name="_DEM-WP(C) Colstrip FOR_Rebuttal Power Costs_DEM-WP(C) ENERG10C--ctn Mid-C_042010 2010GRC" xfId="5273"/>
    <cellStyle name="_DEM-WP(C) Colstrip FOR_Rebuttal Power Costs_Electric Rev Req Model (2009 GRC) Rebuttal" xfId="5274"/>
    <cellStyle name="_DEM-WP(C) Colstrip FOR_Rebuttal Power Costs_Electric Rev Req Model (2009 GRC) Rebuttal 2" xfId="5275"/>
    <cellStyle name="_DEM-WP(C) Colstrip FOR_Rebuttal Power Costs_Electric Rev Req Model (2009 GRC) Rebuttal REmoval of New  WH Solar AdjustMI" xfId="5276"/>
    <cellStyle name="_DEM-WP(C) Colstrip FOR_Rebuttal Power Costs_Electric Rev Req Model (2009 GRC) Rebuttal REmoval of New  WH Solar AdjustMI 2" xfId="5277"/>
    <cellStyle name="_DEM-WP(C) Colstrip FOR_Rebuttal Power Costs_Electric Rev Req Model (2009 GRC) Rebuttal REmoval of New  WH Solar AdjustMI 2 2" xfId="5278"/>
    <cellStyle name="_DEM-WP(C) Colstrip FOR_Rebuttal Power Costs_Electric Rev Req Model (2009 GRC) Rebuttal REmoval of New  WH Solar AdjustMI 3" xfId="5279"/>
    <cellStyle name="_DEM-WP(C) Colstrip FOR_Rebuttal Power Costs_Electric Rev Req Model (2009 GRC) Rebuttal REmoval of New  WH Solar AdjustMI_DEM-WP(C) ENERG10C--ctn Mid-C_042010 2010GRC" xfId="5280"/>
    <cellStyle name="_DEM-WP(C) Colstrip FOR_Rebuttal Power Costs_Electric Rev Req Model (2009 GRC) Revised 01-18-2010" xfId="5281"/>
    <cellStyle name="_DEM-WP(C) Colstrip FOR_Rebuttal Power Costs_Electric Rev Req Model (2009 GRC) Revised 01-18-2010 2" xfId="5282"/>
    <cellStyle name="_DEM-WP(C) Colstrip FOR_Rebuttal Power Costs_Electric Rev Req Model (2009 GRC) Revised 01-18-2010 2 2" xfId="5283"/>
    <cellStyle name="_DEM-WP(C) Colstrip FOR_Rebuttal Power Costs_Electric Rev Req Model (2009 GRC) Revised 01-18-2010 3" xfId="5284"/>
    <cellStyle name="_DEM-WP(C) Colstrip FOR_Rebuttal Power Costs_Electric Rev Req Model (2009 GRC) Revised 01-18-2010_DEM-WP(C) ENERG10C--ctn Mid-C_042010 2010GRC" xfId="5285"/>
    <cellStyle name="_DEM-WP(C) Colstrip FOR_Rebuttal Power Costs_Final Order Electric EXHIBIT A-1" xfId="5286"/>
    <cellStyle name="_DEM-WP(C) Colstrip FOR_Rebuttal Power Costs_Final Order Electric EXHIBIT A-1 2" xfId="5287"/>
    <cellStyle name="_DEM-WP(C) Colstrip FOR_TENASKA REGULATORY ASSET" xfId="5288"/>
    <cellStyle name="_DEM-WP(C) Colstrip FOR_TENASKA REGULATORY ASSET 2" xfId="5289"/>
    <cellStyle name="_DEM-WP(C) Costs not in AURORA 2006GRC" xfId="5290"/>
    <cellStyle name="_DEM-WP(C) Costs not in AURORA 2006GRC 2" xfId="5291"/>
    <cellStyle name="_DEM-WP(C) Costs not in AURORA 2006GRC 2 2" xfId="5292"/>
    <cellStyle name="_DEM-WP(C) Costs not in AURORA 2006GRC 2 2 2" xfId="5293"/>
    <cellStyle name="_DEM-WP(C) Costs not in AURORA 2006GRC 2 3" xfId="5294"/>
    <cellStyle name="_DEM-WP(C) Costs not in AURORA 2006GRC 3" xfId="5295"/>
    <cellStyle name="_DEM-WP(C) Costs not in AURORA 2006GRC 3 2" xfId="5296"/>
    <cellStyle name="_DEM-WP(C) Costs not in AURORA 2006GRC 4" xfId="5297"/>
    <cellStyle name="_DEM-WP(C) Costs not in AURORA 2006GRC 4 2" xfId="5298"/>
    <cellStyle name="_DEM-WP(C) Costs not in AURORA 2006GRC 4 3" xfId="5299"/>
    <cellStyle name="_DEM-WP(C) Costs not in AURORA 2006GRC 5" xfId="5300"/>
    <cellStyle name="_DEM-WP(C) Costs not in AURORA 2006GRC 5 2" xfId="5301"/>
    <cellStyle name="_DEM-WP(C) Costs not in AURORA 2006GRC 6" xfId="5302"/>
    <cellStyle name="_DEM-WP(C) Costs not in AURORA 2006GRC 6 2" xfId="5303"/>
    <cellStyle name="_DEM-WP(C) Costs not in AURORA 2006GRC 7" xfId="5304"/>
    <cellStyle name="_DEM-WP(C) Costs not in AURORA 2006GRC 7 2" xfId="5305"/>
    <cellStyle name="_DEM-WP(C) Costs not in AURORA 2006GRC_(C) WHE Proforma with ITC cash grant 10 Yr Amort_for deferral_102809" xfId="5306"/>
    <cellStyle name="_DEM-WP(C) Costs not in AURORA 2006GRC_(C) WHE Proforma with ITC cash grant 10 Yr Amort_for deferral_102809 2" xfId="5307"/>
    <cellStyle name="_DEM-WP(C) Costs not in AURORA 2006GRC_(C) WHE Proforma with ITC cash grant 10 Yr Amort_for deferral_102809 2 2" xfId="5308"/>
    <cellStyle name="_DEM-WP(C) Costs not in AURORA 2006GRC_(C) WHE Proforma with ITC cash grant 10 Yr Amort_for deferral_102809 3" xfId="5309"/>
    <cellStyle name="_DEM-WP(C) Costs not in AURORA 2006GRC_(C) WHE Proforma with ITC cash grant 10 Yr Amort_for deferral_102809_16.07E Wild Horse Wind Expansionwrkingfile" xfId="5310"/>
    <cellStyle name="_DEM-WP(C) Costs not in AURORA 2006GRC_(C) WHE Proforma with ITC cash grant 10 Yr Amort_for deferral_102809_16.07E Wild Horse Wind Expansionwrkingfile 2" xfId="5311"/>
    <cellStyle name="_DEM-WP(C) Costs not in AURORA 2006GRC_(C) WHE Proforma with ITC cash grant 10 Yr Amort_for deferral_102809_16.07E Wild Horse Wind Expansionwrkingfile 2 2" xfId="5312"/>
    <cellStyle name="_DEM-WP(C) Costs not in AURORA 2006GRC_(C) WHE Proforma with ITC cash grant 10 Yr Amort_for deferral_102809_16.07E Wild Horse Wind Expansionwrkingfile 3" xfId="5313"/>
    <cellStyle name="_DEM-WP(C) Costs not in AURORA 2006GRC_(C) WHE Proforma with ITC cash grant 10 Yr Amort_for deferral_102809_16.07E Wild Horse Wind Expansionwrkingfile SF" xfId="5314"/>
    <cellStyle name="_DEM-WP(C) Costs not in AURORA 2006GRC_(C) WHE Proforma with ITC cash grant 10 Yr Amort_for deferral_102809_16.07E Wild Horse Wind Expansionwrkingfile SF 2" xfId="5315"/>
    <cellStyle name="_DEM-WP(C) Costs not in AURORA 2006GRC_(C) WHE Proforma with ITC cash grant 10 Yr Amort_for deferral_102809_16.07E Wild Horse Wind Expansionwrkingfile SF 2 2" xfId="5316"/>
    <cellStyle name="_DEM-WP(C) Costs not in AURORA 2006GRC_(C) WHE Proforma with ITC cash grant 10 Yr Amort_for deferral_102809_16.07E Wild Horse Wind Expansionwrkingfile SF 3" xfId="5317"/>
    <cellStyle name="_DEM-WP(C) Costs not in AURORA 2006GRC_(C) WHE Proforma with ITC cash grant 10 Yr Amort_for deferral_102809_16.07E Wild Horse Wind Expansionwrkingfile SF_DEM-WP(C) ENERG10C--ctn Mid-C_042010 2010GRC" xfId="5318"/>
    <cellStyle name="_DEM-WP(C) Costs not in AURORA 2006GRC_(C) WHE Proforma with ITC cash grant 10 Yr Amort_for deferral_102809_16.07E Wild Horse Wind Expansionwrkingfile_DEM-WP(C) ENERG10C--ctn Mid-C_042010 2010GRC" xfId="5319"/>
    <cellStyle name="_DEM-WP(C) Costs not in AURORA 2006GRC_(C) WHE Proforma with ITC cash grant 10 Yr Amort_for deferral_102809_16.37E Wild Horse Expansion DeferralRevwrkingfile SF" xfId="5320"/>
    <cellStyle name="_DEM-WP(C) Costs not in AURORA 2006GRC_(C) WHE Proforma with ITC cash grant 10 Yr Amort_for deferral_102809_16.37E Wild Horse Expansion DeferralRevwrkingfile SF 2" xfId="5321"/>
    <cellStyle name="_DEM-WP(C) Costs not in AURORA 2006GRC_(C) WHE Proforma with ITC cash grant 10 Yr Amort_for deferral_102809_16.37E Wild Horse Expansion DeferralRevwrkingfile SF 2 2" xfId="5322"/>
    <cellStyle name="_DEM-WP(C) Costs not in AURORA 2006GRC_(C) WHE Proforma with ITC cash grant 10 Yr Amort_for deferral_102809_16.37E Wild Horse Expansion DeferralRevwrkingfile SF 3" xfId="5323"/>
    <cellStyle name="_DEM-WP(C) Costs not in AURORA 2006GRC_(C) WHE Proforma with ITC cash grant 10 Yr Amort_for deferral_102809_16.37E Wild Horse Expansion DeferralRevwrkingfile SF_DEM-WP(C) ENERG10C--ctn Mid-C_042010 2010GRC" xfId="5324"/>
    <cellStyle name="_DEM-WP(C) Costs not in AURORA 2006GRC_(C) WHE Proforma with ITC cash grant 10 Yr Amort_for deferral_102809_DEM-WP(C) ENERG10C--ctn Mid-C_042010 2010GRC" xfId="5325"/>
    <cellStyle name="_DEM-WP(C) Costs not in AURORA 2006GRC_(C) WHE Proforma with ITC cash grant 10 Yr Amort_for rebuttal_120709" xfId="5326"/>
    <cellStyle name="_DEM-WP(C) Costs not in AURORA 2006GRC_(C) WHE Proforma with ITC cash grant 10 Yr Amort_for rebuttal_120709 2" xfId="5327"/>
    <cellStyle name="_DEM-WP(C) Costs not in AURORA 2006GRC_(C) WHE Proforma with ITC cash grant 10 Yr Amort_for rebuttal_120709 2 2" xfId="5328"/>
    <cellStyle name="_DEM-WP(C) Costs not in AURORA 2006GRC_(C) WHE Proforma with ITC cash grant 10 Yr Amort_for rebuttal_120709 3" xfId="5329"/>
    <cellStyle name="_DEM-WP(C) Costs not in AURORA 2006GRC_(C) WHE Proforma with ITC cash grant 10 Yr Amort_for rebuttal_120709_DEM-WP(C) ENERG10C--ctn Mid-C_042010 2010GRC" xfId="5330"/>
    <cellStyle name="_DEM-WP(C) Costs not in AURORA 2006GRC_04.07E Wild Horse Wind Expansion" xfId="5331"/>
    <cellStyle name="_DEM-WP(C) Costs not in AURORA 2006GRC_04.07E Wild Horse Wind Expansion 2" xfId="5332"/>
    <cellStyle name="_DEM-WP(C) Costs not in AURORA 2006GRC_04.07E Wild Horse Wind Expansion 2 2" xfId="5333"/>
    <cellStyle name="_DEM-WP(C) Costs not in AURORA 2006GRC_04.07E Wild Horse Wind Expansion 3" xfId="5334"/>
    <cellStyle name="_DEM-WP(C) Costs not in AURORA 2006GRC_04.07E Wild Horse Wind Expansion_16.07E Wild Horse Wind Expansionwrkingfile" xfId="5335"/>
    <cellStyle name="_DEM-WP(C) Costs not in AURORA 2006GRC_04.07E Wild Horse Wind Expansion_16.07E Wild Horse Wind Expansionwrkingfile 2" xfId="5336"/>
    <cellStyle name="_DEM-WP(C) Costs not in AURORA 2006GRC_04.07E Wild Horse Wind Expansion_16.07E Wild Horse Wind Expansionwrkingfile 2 2" xfId="5337"/>
    <cellStyle name="_DEM-WP(C) Costs not in AURORA 2006GRC_04.07E Wild Horse Wind Expansion_16.07E Wild Horse Wind Expansionwrkingfile 3" xfId="5338"/>
    <cellStyle name="_DEM-WP(C) Costs not in AURORA 2006GRC_04.07E Wild Horse Wind Expansion_16.07E Wild Horse Wind Expansionwrkingfile SF" xfId="5339"/>
    <cellStyle name="_DEM-WP(C) Costs not in AURORA 2006GRC_04.07E Wild Horse Wind Expansion_16.07E Wild Horse Wind Expansionwrkingfile SF 2" xfId="5340"/>
    <cellStyle name="_DEM-WP(C) Costs not in AURORA 2006GRC_04.07E Wild Horse Wind Expansion_16.07E Wild Horse Wind Expansionwrkingfile SF 2 2" xfId="5341"/>
    <cellStyle name="_DEM-WP(C) Costs not in AURORA 2006GRC_04.07E Wild Horse Wind Expansion_16.07E Wild Horse Wind Expansionwrkingfile SF 3" xfId="5342"/>
    <cellStyle name="_DEM-WP(C) Costs not in AURORA 2006GRC_04.07E Wild Horse Wind Expansion_16.07E Wild Horse Wind Expansionwrkingfile SF_DEM-WP(C) ENERG10C--ctn Mid-C_042010 2010GRC" xfId="5343"/>
    <cellStyle name="_DEM-WP(C) Costs not in AURORA 2006GRC_04.07E Wild Horse Wind Expansion_16.07E Wild Horse Wind Expansionwrkingfile_DEM-WP(C) ENERG10C--ctn Mid-C_042010 2010GRC" xfId="5344"/>
    <cellStyle name="_DEM-WP(C) Costs not in AURORA 2006GRC_04.07E Wild Horse Wind Expansion_16.37E Wild Horse Expansion DeferralRevwrkingfile SF" xfId="5345"/>
    <cellStyle name="_DEM-WP(C) Costs not in AURORA 2006GRC_04.07E Wild Horse Wind Expansion_16.37E Wild Horse Expansion DeferralRevwrkingfile SF 2" xfId="5346"/>
    <cellStyle name="_DEM-WP(C) Costs not in AURORA 2006GRC_04.07E Wild Horse Wind Expansion_16.37E Wild Horse Expansion DeferralRevwrkingfile SF 2 2" xfId="5347"/>
    <cellStyle name="_DEM-WP(C) Costs not in AURORA 2006GRC_04.07E Wild Horse Wind Expansion_16.37E Wild Horse Expansion DeferralRevwrkingfile SF 3" xfId="5348"/>
    <cellStyle name="_DEM-WP(C) Costs not in AURORA 2006GRC_04.07E Wild Horse Wind Expansion_16.37E Wild Horse Expansion DeferralRevwrkingfile SF_DEM-WP(C) ENERG10C--ctn Mid-C_042010 2010GRC" xfId="5349"/>
    <cellStyle name="_DEM-WP(C) Costs not in AURORA 2006GRC_04.07E Wild Horse Wind Expansion_DEM-WP(C) ENERG10C--ctn Mid-C_042010 2010GRC" xfId="5350"/>
    <cellStyle name="_DEM-WP(C) Costs not in AURORA 2006GRC_16.07E Wild Horse Wind Expansionwrkingfile" xfId="5351"/>
    <cellStyle name="_DEM-WP(C) Costs not in AURORA 2006GRC_16.07E Wild Horse Wind Expansionwrkingfile 2" xfId="5352"/>
    <cellStyle name="_DEM-WP(C) Costs not in AURORA 2006GRC_16.07E Wild Horse Wind Expansionwrkingfile 2 2" xfId="5353"/>
    <cellStyle name="_DEM-WP(C) Costs not in AURORA 2006GRC_16.07E Wild Horse Wind Expansionwrkingfile 3" xfId="5354"/>
    <cellStyle name="_DEM-WP(C) Costs not in AURORA 2006GRC_16.07E Wild Horse Wind Expansionwrkingfile SF" xfId="5355"/>
    <cellStyle name="_DEM-WP(C) Costs not in AURORA 2006GRC_16.07E Wild Horse Wind Expansionwrkingfile SF 2" xfId="5356"/>
    <cellStyle name="_DEM-WP(C) Costs not in AURORA 2006GRC_16.07E Wild Horse Wind Expansionwrkingfile SF 2 2" xfId="5357"/>
    <cellStyle name="_DEM-WP(C) Costs not in AURORA 2006GRC_16.07E Wild Horse Wind Expansionwrkingfile SF 3" xfId="5358"/>
    <cellStyle name="_DEM-WP(C) Costs not in AURORA 2006GRC_16.07E Wild Horse Wind Expansionwrkingfile SF_DEM-WP(C) ENERG10C--ctn Mid-C_042010 2010GRC" xfId="5359"/>
    <cellStyle name="_DEM-WP(C) Costs not in AURORA 2006GRC_16.07E Wild Horse Wind Expansionwrkingfile_DEM-WP(C) ENERG10C--ctn Mid-C_042010 2010GRC" xfId="5360"/>
    <cellStyle name="_DEM-WP(C) Costs not in AURORA 2006GRC_16.37E Wild Horse Expansion DeferralRevwrkingfile SF" xfId="5361"/>
    <cellStyle name="_DEM-WP(C) Costs not in AURORA 2006GRC_16.37E Wild Horse Expansion DeferralRevwrkingfile SF 2" xfId="5362"/>
    <cellStyle name="_DEM-WP(C) Costs not in AURORA 2006GRC_16.37E Wild Horse Expansion DeferralRevwrkingfile SF 2 2" xfId="5363"/>
    <cellStyle name="_DEM-WP(C) Costs not in AURORA 2006GRC_16.37E Wild Horse Expansion DeferralRevwrkingfile SF 3" xfId="5364"/>
    <cellStyle name="_DEM-WP(C) Costs not in AURORA 2006GRC_16.37E Wild Horse Expansion DeferralRevwrkingfile SF_DEM-WP(C) ENERG10C--ctn Mid-C_042010 2010GRC" xfId="5365"/>
    <cellStyle name="_DEM-WP(C) Costs not in AURORA 2006GRC_2009 Compliance Filing PCA Exhibits for GRC" xfId="5366"/>
    <cellStyle name="_DEM-WP(C) Costs not in AURORA 2006GRC_2009 Compliance Filing PCA Exhibits for GRC 2" xfId="5367"/>
    <cellStyle name="_DEM-WP(C) Costs not in AURORA 2006GRC_2009 GRC Compl Filing - Exhibit D" xfId="5368"/>
    <cellStyle name="_DEM-WP(C) Costs not in AURORA 2006GRC_2009 GRC Compl Filing - Exhibit D 2" xfId="5369"/>
    <cellStyle name="_DEM-WP(C) Costs not in AURORA 2006GRC_2009 GRC Compl Filing - Exhibit D 2 2" xfId="5370"/>
    <cellStyle name="_DEM-WP(C) Costs not in AURORA 2006GRC_2009 GRC Compl Filing - Exhibit D 3" xfId="5371"/>
    <cellStyle name="_DEM-WP(C) Costs not in AURORA 2006GRC_2009 GRC Compl Filing - Exhibit D_DEM-WP(C) ENERG10C--ctn Mid-C_042010 2010GRC" xfId="5372"/>
    <cellStyle name="_DEM-WP(C) Costs not in AURORA 2006GRC_3.01 Income Statement" xfId="5373"/>
    <cellStyle name="_DEM-WP(C) Costs not in AURORA 2006GRC_4 31 Regulatory Assets and Liabilities  7 06- Exhibit D" xfId="5374"/>
    <cellStyle name="_DEM-WP(C) Costs not in AURORA 2006GRC_4 31 Regulatory Assets and Liabilities  7 06- Exhibit D 2" xfId="5375"/>
    <cellStyle name="_DEM-WP(C) Costs not in AURORA 2006GRC_4 31 Regulatory Assets and Liabilities  7 06- Exhibit D 2 2" xfId="5376"/>
    <cellStyle name="_DEM-WP(C) Costs not in AURORA 2006GRC_4 31 Regulatory Assets and Liabilities  7 06- Exhibit D 3" xfId="5377"/>
    <cellStyle name="_DEM-WP(C) Costs not in AURORA 2006GRC_4 31 Regulatory Assets and Liabilities  7 06- Exhibit D_DEM-WP(C) ENERG10C--ctn Mid-C_042010 2010GRC" xfId="5378"/>
    <cellStyle name="_DEM-WP(C) Costs not in AURORA 2006GRC_4 31 Regulatory Assets and Liabilities  7 06- Exhibit D_NIM Summary" xfId="5379"/>
    <cellStyle name="_DEM-WP(C) Costs not in AURORA 2006GRC_4 31 Regulatory Assets and Liabilities  7 06- Exhibit D_NIM Summary 2" xfId="5380"/>
    <cellStyle name="_DEM-WP(C) Costs not in AURORA 2006GRC_4 31 Regulatory Assets and Liabilities  7 06- Exhibit D_NIM Summary 2 2" xfId="5381"/>
    <cellStyle name="_DEM-WP(C) Costs not in AURORA 2006GRC_4 31 Regulatory Assets and Liabilities  7 06- Exhibit D_NIM Summary 3" xfId="5382"/>
    <cellStyle name="_DEM-WP(C) Costs not in AURORA 2006GRC_4 31 Regulatory Assets and Liabilities  7 06- Exhibit D_NIM Summary_DEM-WP(C) ENERG10C--ctn Mid-C_042010 2010GRC" xfId="5383"/>
    <cellStyle name="_DEM-WP(C) Costs not in AURORA 2006GRC_4 31E Reg Asset  Liab and EXH D" xfId="5384"/>
    <cellStyle name="_DEM-WP(C) Costs not in AURORA 2006GRC_4 31E Reg Asset  Liab and EXH D _ Aug 10 Filing (2)" xfId="5385"/>
    <cellStyle name="_DEM-WP(C) Costs not in AURORA 2006GRC_4 31E Reg Asset  Liab and EXH D _ Aug 10 Filing (2) 2" xfId="5386"/>
    <cellStyle name="_DEM-WP(C) Costs not in AURORA 2006GRC_4 31E Reg Asset  Liab and EXH D 2" xfId="5387"/>
    <cellStyle name="_DEM-WP(C) Costs not in AURORA 2006GRC_4 31E Reg Asset  Liab and EXH D 3" xfId="5388"/>
    <cellStyle name="_DEM-WP(C) Costs not in AURORA 2006GRC_4 32 Regulatory Assets and Liabilities  7 06- Exhibit D" xfId="5389"/>
    <cellStyle name="_DEM-WP(C) Costs not in AURORA 2006GRC_4 32 Regulatory Assets and Liabilities  7 06- Exhibit D 2" xfId="5390"/>
    <cellStyle name="_DEM-WP(C) Costs not in AURORA 2006GRC_4 32 Regulatory Assets and Liabilities  7 06- Exhibit D 2 2" xfId="5391"/>
    <cellStyle name="_DEM-WP(C) Costs not in AURORA 2006GRC_4 32 Regulatory Assets and Liabilities  7 06- Exhibit D 3" xfId="5392"/>
    <cellStyle name="_DEM-WP(C) Costs not in AURORA 2006GRC_4 32 Regulatory Assets and Liabilities  7 06- Exhibit D 3 2" xfId="5393"/>
    <cellStyle name="_DEM-WP(C) Costs not in AURORA 2006GRC_4 32 Regulatory Assets and Liabilities  7 06- Exhibit D_DEM-WP(C) ENERG10C--ctn Mid-C_042010 2010GRC" xfId="5394"/>
    <cellStyle name="_DEM-WP(C) Costs not in AURORA 2006GRC_4 32 Regulatory Assets and Liabilities  7 06- Exhibit D_DEM-WP(C) ENERG10C--ctn Mid-C_042010 2010GRC 2" xfId="5395"/>
    <cellStyle name="_DEM-WP(C) Costs not in AURORA 2006GRC_4 32 Regulatory Assets and Liabilities  7 06- Exhibit D_NIM Summary" xfId="5396"/>
    <cellStyle name="_DEM-WP(C) Costs not in AURORA 2006GRC_4 32 Regulatory Assets and Liabilities  7 06- Exhibit D_NIM Summary 2" xfId="5397"/>
    <cellStyle name="_DEM-WP(C) Costs not in AURORA 2006GRC_4 32 Regulatory Assets and Liabilities  7 06- Exhibit D_NIM Summary 2 2" xfId="5398"/>
    <cellStyle name="_DEM-WP(C) Costs not in AURORA 2006GRC_4 32 Regulatory Assets and Liabilities  7 06- Exhibit D_NIM Summary 2 2 2" xfId="5399"/>
    <cellStyle name="_DEM-WP(C) Costs not in AURORA 2006GRC_4 32 Regulatory Assets and Liabilities  7 06- Exhibit D_NIM Summary 2 3" xfId="5400"/>
    <cellStyle name="_DEM-WP(C) Costs not in AURORA 2006GRC_4 32 Regulatory Assets and Liabilities  7 06- Exhibit D_NIM Summary 3" xfId="5401"/>
    <cellStyle name="_DEM-WP(C) Costs not in AURORA 2006GRC_4 32 Regulatory Assets and Liabilities  7 06- Exhibit D_NIM Summary 3 2" xfId="5402"/>
    <cellStyle name="_DEM-WP(C) Costs not in AURORA 2006GRC_4 32 Regulatory Assets and Liabilities  7 06- Exhibit D_NIM Summary 4" xfId="5403"/>
    <cellStyle name="_DEM-WP(C) Costs not in AURORA 2006GRC_4 32 Regulatory Assets and Liabilities  7 06- Exhibit D_NIM Summary_DEM-WP(C) ENERG10C--ctn Mid-C_042010 2010GRC" xfId="5404"/>
    <cellStyle name="_DEM-WP(C) Costs not in AURORA 2006GRC_4 32 Regulatory Assets and Liabilities  7 06- Exhibit D_NIM Summary_DEM-WP(C) ENERG10C--ctn Mid-C_042010 2010GRC 2" xfId="5405"/>
    <cellStyle name="_DEM-WP(C) Costs not in AURORA 2006GRC_AURORA Total New" xfId="5406"/>
    <cellStyle name="_DEM-WP(C) Costs not in AURORA 2006GRC_AURORA Total New 2" xfId="5407"/>
    <cellStyle name="_DEM-WP(C) Costs not in AURORA 2006GRC_AURORA Total New 2 2" xfId="5408"/>
    <cellStyle name="_DEM-WP(C) Costs not in AURORA 2006GRC_AURORA Total New 2 2 2" xfId="5409"/>
    <cellStyle name="_DEM-WP(C) Costs not in AURORA 2006GRC_AURORA Total New 2 3" xfId="5410"/>
    <cellStyle name="_DEM-WP(C) Costs not in AURORA 2006GRC_AURORA Total New 3" xfId="5411"/>
    <cellStyle name="_DEM-WP(C) Costs not in AURORA 2006GRC_AURORA Total New 3 2" xfId="5412"/>
    <cellStyle name="_DEM-WP(C) Costs not in AURORA 2006GRC_AURORA Total New 4" xfId="5413"/>
    <cellStyle name="_DEM-WP(C) Costs not in AURORA 2006GRC_Book2" xfId="5414"/>
    <cellStyle name="_DEM-WP(C) Costs not in AURORA 2006GRC_Book2 2" xfId="5415"/>
    <cellStyle name="_DEM-WP(C) Costs not in AURORA 2006GRC_Book2 2 2" xfId="5416"/>
    <cellStyle name="_DEM-WP(C) Costs not in AURORA 2006GRC_Book2 2 2 2" xfId="5417"/>
    <cellStyle name="_DEM-WP(C) Costs not in AURORA 2006GRC_Book2 2 3" xfId="5418"/>
    <cellStyle name="_DEM-WP(C) Costs not in AURORA 2006GRC_Book2 3" xfId="5419"/>
    <cellStyle name="_DEM-WP(C) Costs not in AURORA 2006GRC_Book2 3 2" xfId="5420"/>
    <cellStyle name="_DEM-WP(C) Costs not in AURORA 2006GRC_Book2 4" xfId="5421"/>
    <cellStyle name="_DEM-WP(C) Costs not in AURORA 2006GRC_Book2_Adj Bench DR 3 for Initial Briefs (Electric)" xfId="5422"/>
    <cellStyle name="_DEM-WP(C) Costs not in AURORA 2006GRC_Book2_Adj Bench DR 3 for Initial Briefs (Electric) 2" xfId="5423"/>
    <cellStyle name="_DEM-WP(C) Costs not in AURORA 2006GRC_Book2_Adj Bench DR 3 for Initial Briefs (Electric) 2 2" xfId="5424"/>
    <cellStyle name="_DEM-WP(C) Costs not in AURORA 2006GRC_Book2_Adj Bench DR 3 for Initial Briefs (Electric) 2 2 2" xfId="5425"/>
    <cellStyle name="_DEM-WP(C) Costs not in AURORA 2006GRC_Book2_Adj Bench DR 3 for Initial Briefs (Electric) 2 3" xfId="5426"/>
    <cellStyle name="_DEM-WP(C) Costs not in AURORA 2006GRC_Book2_Adj Bench DR 3 for Initial Briefs (Electric) 3" xfId="5427"/>
    <cellStyle name="_DEM-WP(C) Costs not in AURORA 2006GRC_Book2_Adj Bench DR 3 for Initial Briefs (Electric) 3 2" xfId="5428"/>
    <cellStyle name="_DEM-WP(C) Costs not in AURORA 2006GRC_Book2_Adj Bench DR 3 for Initial Briefs (Electric) 4" xfId="5429"/>
    <cellStyle name="_DEM-WP(C) Costs not in AURORA 2006GRC_Book2_Adj Bench DR 3 for Initial Briefs (Electric)_DEM-WP(C) ENERG10C--ctn Mid-C_042010 2010GRC" xfId="5430"/>
    <cellStyle name="_DEM-WP(C) Costs not in AURORA 2006GRC_Book2_Adj Bench DR 3 for Initial Briefs (Electric)_DEM-WP(C) ENERG10C--ctn Mid-C_042010 2010GRC 2" xfId="5431"/>
    <cellStyle name="_DEM-WP(C) Costs not in AURORA 2006GRC_Book2_DEM-WP(C) ENERG10C--ctn Mid-C_042010 2010GRC" xfId="5432"/>
    <cellStyle name="_DEM-WP(C) Costs not in AURORA 2006GRC_Book2_DEM-WP(C) ENERG10C--ctn Mid-C_042010 2010GRC 2" xfId="5433"/>
    <cellStyle name="_DEM-WP(C) Costs not in AURORA 2006GRC_Book2_Electric Rev Req Model (2009 GRC) Rebuttal" xfId="5434"/>
    <cellStyle name="_DEM-WP(C) Costs not in AURORA 2006GRC_Book2_Electric Rev Req Model (2009 GRC) Rebuttal 2" xfId="5435"/>
    <cellStyle name="_DEM-WP(C) Costs not in AURORA 2006GRC_Book2_Electric Rev Req Model (2009 GRC) Rebuttal 2 2" xfId="5436"/>
    <cellStyle name="_DEM-WP(C) Costs not in AURORA 2006GRC_Book2_Electric Rev Req Model (2009 GRC) Rebuttal 3" xfId="5437"/>
    <cellStyle name="_DEM-WP(C) Costs not in AURORA 2006GRC_Book2_Electric Rev Req Model (2009 GRC) Rebuttal REmoval of New  WH Solar AdjustMI" xfId="5438"/>
    <cellStyle name="_DEM-WP(C) Costs not in AURORA 2006GRC_Book2_Electric Rev Req Model (2009 GRC) Rebuttal REmoval of New  WH Solar AdjustMI 2" xfId="5439"/>
    <cellStyle name="_DEM-WP(C) Costs not in AURORA 2006GRC_Book2_Electric Rev Req Model (2009 GRC) Rebuttal REmoval of New  WH Solar AdjustMI 2 2" xfId="5440"/>
    <cellStyle name="_DEM-WP(C) Costs not in AURORA 2006GRC_Book2_Electric Rev Req Model (2009 GRC) Rebuttal REmoval of New  WH Solar AdjustMI 2 2 2" xfId="5441"/>
    <cellStyle name="_DEM-WP(C) Costs not in AURORA 2006GRC_Book2_Electric Rev Req Model (2009 GRC) Rebuttal REmoval of New  WH Solar AdjustMI 2 3" xfId="5442"/>
    <cellStyle name="_DEM-WP(C) Costs not in AURORA 2006GRC_Book2_Electric Rev Req Model (2009 GRC) Rebuttal REmoval of New  WH Solar AdjustMI 3" xfId="5443"/>
    <cellStyle name="_DEM-WP(C) Costs not in AURORA 2006GRC_Book2_Electric Rev Req Model (2009 GRC) Rebuttal REmoval of New  WH Solar AdjustMI 3 2" xfId="5444"/>
    <cellStyle name="_DEM-WP(C) Costs not in AURORA 2006GRC_Book2_Electric Rev Req Model (2009 GRC) Rebuttal REmoval of New  WH Solar AdjustMI 4" xfId="5445"/>
    <cellStyle name="_DEM-WP(C) Costs not in AURORA 2006GRC_Book2_Electric Rev Req Model (2009 GRC) Rebuttal REmoval of New  WH Solar AdjustMI_DEM-WP(C) ENERG10C--ctn Mid-C_042010 2010GRC" xfId="5446"/>
    <cellStyle name="_DEM-WP(C) Costs not in AURORA 2006GRC_Book2_Electric Rev Req Model (2009 GRC) Rebuttal REmoval of New  WH Solar AdjustMI_DEM-WP(C) ENERG10C--ctn Mid-C_042010 2010GRC 2" xfId="5447"/>
    <cellStyle name="_DEM-WP(C) Costs not in AURORA 2006GRC_Book2_Electric Rev Req Model (2009 GRC) Revised 01-18-2010" xfId="5448"/>
    <cellStyle name="_DEM-WP(C) Costs not in AURORA 2006GRC_Book2_Electric Rev Req Model (2009 GRC) Revised 01-18-2010 2" xfId="5449"/>
    <cellStyle name="_DEM-WP(C) Costs not in AURORA 2006GRC_Book2_Electric Rev Req Model (2009 GRC) Revised 01-18-2010 2 2" xfId="5450"/>
    <cellStyle name="_DEM-WP(C) Costs not in AURORA 2006GRC_Book2_Electric Rev Req Model (2009 GRC) Revised 01-18-2010 2 2 2" xfId="5451"/>
    <cellStyle name="_DEM-WP(C) Costs not in AURORA 2006GRC_Book2_Electric Rev Req Model (2009 GRC) Revised 01-18-2010 2 3" xfId="5452"/>
    <cellStyle name="_DEM-WP(C) Costs not in AURORA 2006GRC_Book2_Electric Rev Req Model (2009 GRC) Revised 01-18-2010 3" xfId="5453"/>
    <cellStyle name="_DEM-WP(C) Costs not in AURORA 2006GRC_Book2_Electric Rev Req Model (2009 GRC) Revised 01-18-2010 3 2" xfId="5454"/>
    <cellStyle name="_DEM-WP(C) Costs not in AURORA 2006GRC_Book2_Electric Rev Req Model (2009 GRC) Revised 01-18-2010 4" xfId="5455"/>
    <cellStyle name="_DEM-WP(C) Costs not in AURORA 2006GRC_Book2_Electric Rev Req Model (2009 GRC) Revised 01-18-2010_DEM-WP(C) ENERG10C--ctn Mid-C_042010 2010GRC" xfId="5456"/>
    <cellStyle name="_DEM-WP(C) Costs not in AURORA 2006GRC_Book2_Electric Rev Req Model (2009 GRC) Revised 01-18-2010_DEM-WP(C) ENERG10C--ctn Mid-C_042010 2010GRC 2" xfId="5457"/>
    <cellStyle name="_DEM-WP(C) Costs not in AURORA 2006GRC_Book2_Final Order Electric EXHIBIT A-1" xfId="5458"/>
    <cellStyle name="_DEM-WP(C) Costs not in AURORA 2006GRC_Book2_Final Order Electric EXHIBIT A-1 2" xfId="5459"/>
    <cellStyle name="_DEM-WP(C) Costs not in AURORA 2006GRC_Book2_Final Order Electric EXHIBIT A-1 2 2" xfId="5460"/>
    <cellStyle name="_DEM-WP(C) Costs not in AURORA 2006GRC_Book2_Final Order Electric EXHIBIT A-1 3" xfId="5461"/>
    <cellStyle name="_DEM-WP(C) Costs not in AURORA 2006GRC_Book4" xfId="5462"/>
    <cellStyle name="_DEM-WP(C) Costs not in AURORA 2006GRC_Book4 2" xfId="5463"/>
    <cellStyle name="_DEM-WP(C) Costs not in AURORA 2006GRC_Book4 2 2" xfId="5464"/>
    <cellStyle name="_DEM-WP(C) Costs not in AURORA 2006GRC_Book4 2 2 2" xfId="5465"/>
    <cellStyle name="_DEM-WP(C) Costs not in AURORA 2006GRC_Book4 2 3" xfId="5466"/>
    <cellStyle name="_DEM-WP(C) Costs not in AURORA 2006GRC_Book4 3" xfId="5467"/>
    <cellStyle name="_DEM-WP(C) Costs not in AURORA 2006GRC_Book4 3 2" xfId="5468"/>
    <cellStyle name="_DEM-WP(C) Costs not in AURORA 2006GRC_Book4 4" xfId="5469"/>
    <cellStyle name="_DEM-WP(C) Costs not in AURORA 2006GRC_Book4_DEM-WP(C) ENERG10C--ctn Mid-C_042010 2010GRC" xfId="5470"/>
    <cellStyle name="_DEM-WP(C) Costs not in AURORA 2006GRC_Book4_DEM-WP(C) ENERG10C--ctn Mid-C_042010 2010GRC 2" xfId="5471"/>
    <cellStyle name="_DEM-WP(C) Costs not in AURORA 2006GRC_Book9" xfId="5472"/>
    <cellStyle name="_DEM-WP(C) Costs not in AURORA 2006GRC_Book9 2" xfId="5473"/>
    <cellStyle name="_DEM-WP(C) Costs not in AURORA 2006GRC_Book9 2 2" xfId="5474"/>
    <cellStyle name="_DEM-WP(C) Costs not in AURORA 2006GRC_Book9 2 2 2" xfId="5475"/>
    <cellStyle name="_DEM-WP(C) Costs not in AURORA 2006GRC_Book9 2 3" xfId="5476"/>
    <cellStyle name="_DEM-WP(C) Costs not in AURORA 2006GRC_Book9 3" xfId="5477"/>
    <cellStyle name="_DEM-WP(C) Costs not in AURORA 2006GRC_Book9 3 2" xfId="5478"/>
    <cellStyle name="_DEM-WP(C) Costs not in AURORA 2006GRC_Book9 4" xfId="5479"/>
    <cellStyle name="_DEM-WP(C) Costs not in AURORA 2006GRC_Book9_DEM-WP(C) ENERG10C--ctn Mid-C_042010 2010GRC" xfId="5480"/>
    <cellStyle name="_DEM-WP(C) Costs not in AURORA 2006GRC_Book9_DEM-WP(C) ENERG10C--ctn Mid-C_042010 2010GRC 2" xfId="5481"/>
    <cellStyle name="_DEM-WP(C) Costs not in AURORA 2006GRC_Chelan PUD Power Costs (8-10)" xfId="5482"/>
    <cellStyle name="_DEM-WP(C) Costs not in AURORA 2006GRC_Chelan PUD Power Costs (8-10) 2" xfId="5483"/>
    <cellStyle name="_DEM-WP(C) Costs not in AURORA 2006GRC_DEM-WP(C) Chelan Power Costs" xfId="5484"/>
    <cellStyle name="_DEM-WP(C) Costs not in AURORA 2006GRC_DEM-WP(C) Chelan Power Costs 2" xfId="5485"/>
    <cellStyle name="_DEM-WP(C) Costs not in AURORA 2006GRC_DEM-WP(C) ENERG10C--ctn Mid-C_042010 2010GRC" xfId="5486"/>
    <cellStyle name="_DEM-WP(C) Costs not in AURORA 2006GRC_DEM-WP(C) ENERG10C--ctn Mid-C_042010 2010GRC 2" xfId="5487"/>
    <cellStyle name="_DEM-WP(C) Costs not in AURORA 2006GRC_DEM-WP(C) Gas Transport 2010GRC" xfId="5488"/>
    <cellStyle name="_DEM-WP(C) Costs not in AURORA 2006GRC_DEM-WP(C) Gas Transport 2010GRC 2" xfId="5489"/>
    <cellStyle name="_DEM-WP(C) Costs not in AURORA 2006GRC_Exh A-1 resulting from UE-112050 effective Jan 1 2012" xfId="5490"/>
    <cellStyle name="_DEM-WP(C) Costs not in AURORA 2006GRC_Exh A-1 resulting from UE-112050 effective Jan 1 2012 2" xfId="5491"/>
    <cellStyle name="_DEM-WP(C) Costs not in AURORA 2006GRC_Exh G - Klamath Peaker PPA fr C Locke 2-12" xfId="5492"/>
    <cellStyle name="_DEM-WP(C) Costs not in AURORA 2006GRC_Exh G - Klamath Peaker PPA fr C Locke 2-12 2" xfId="5493"/>
    <cellStyle name="_DEM-WP(C) Costs not in AURORA 2006GRC_Exhibit A-1 effective 4-1-11 fr S Free 12-11" xfId="5494"/>
    <cellStyle name="_DEM-WP(C) Costs not in AURORA 2006GRC_Exhibit A-1 effective 4-1-11 fr S Free 12-11 2" xfId="5495"/>
    <cellStyle name="_DEM-WP(C) Costs not in AURORA 2006GRC_LSRWEP LGIA like Acctg Petition Aug 2010" xfId="5496"/>
    <cellStyle name="_DEM-WP(C) Costs not in AURORA 2006GRC_LSRWEP LGIA like Acctg Petition Aug 2010 2" xfId="5497"/>
    <cellStyle name="_DEM-WP(C) Costs not in AURORA 2006GRC_Mint Farm Generation BPA" xfId="5498"/>
    <cellStyle name="_DEM-WP(C) Costs not in AURORA 2006GRC_NIM Summary" xfId="5499"/>
    <cellStyle name="_DEM-WP(C) Costs not in AURORA 2006GRC_NIM Summary 09GRC" xfId="5500"/>
    <cellStyle name="_DEM-WP(C) Costs not in AURORA 2006GRC_NIM Summary 09GRC 2" xfId="5501"/>
    <cellStyle name="_DEM-WP(C) Costs not in AURORA 2006GRC_NIM Summary 09GRC 2 2" xfId="5502"/>
    <cellStyle name="_DEM-WP(C) Costs not in AURORA 2006GRC_NIM Summary 09GRC 2 2 2" xfId="5503"/>
    <cellStyle name="_DEM-WP(C) Costs not in AURORA 2006GRC_NIM Summary 09GRC 2 3" xfId="5504"/>
    <cellStyle name="_DEM-WP(C) Costs not in AURORA 2006GRC_NIM Summary 09GRC 3" xfId="5505"/>
    <cellStyle name="_DEM-WP(C) Costs not in AURORA 2006GRC_NIM Summary 09GRC 3 2" xfId="5506"/>
    <cellStyle name="_DEM-WP(C) Costs not in AURORA 2006GRC_NIM Summary 09GRC 4" xfId="5507"/>
    <cellStyle name="_DEM-WP(C) Costs not in AURORA 2006GRC_NIM Summary 09GRC_DEM-WP(C) ENERG10C--ctn Mid-C_042010 2010GRC" xfId="5508"/>
    <cellStyle name="_DEM-WP(C) Costs not in AURORA 2006GRC_NIM Summary 09GRC_DEM-WP(C) ENERG10C--ctn Mid-C_042010 2010GRC 2" xfId="5509"/>
    <cellStyle name="_DEM-WP(C) Costs not in AURORA 2006GRC_NIM Summary 10" xfId="5510"/>
    <cellStyle name="_DEM-WP(C) Costs not in AURORA 2006GRC_NIM Summary 10 2" xfId="5511"/>
    <cellStyle name="_DEM-WP(C) Costs not in AURORA 2006GRC_NIM Summary 11" xfId="5512"/>
    <cellStyle name="_DEM-WP(C) Costs not in AURORA 2006GRC_NIM Summary 11 2" xfId="5513"/>
    <cellStyle name="_DEM-WP(C) Costs not in AURORA 2006GRC_NIM Summary 12" xfId="5514"/>
    <cellStyle name="_DEM-WP(C) Costs not in AURORA 2006GRC_NIM Summary 12 2" xfId="5515"/>
    <cellStyle name="_DEM-WP(C) Costs not in AURORA 2006GRC_NIM Summary 13" xfId="5516"/>
    <cellStyle name="_DEM-WP(C) Costs not in AURORA 2006GRC_NIM Summary 13 2" xfId="5517"/>
    <cellStyle name="_DEM-WP(C) Costs not in AURORA 2006GRC_NIM Summary 14" xfId="5518"/>
    <cellStyle name="_DEM-WP(C) Costs not in AURORA 2006GRC_NIM Summary 14 2" xfId="5519"/>
    <cellStyle name="_DEM-WP(C) Costs not in AURORA 2006GRC_NIM Summary 15" xfId="5520"/>
    <cellStyle name="_DEM-WP(C) Costs not in AURORA 2006GRC_NIM Summary 15 2" xfId="5521"/>
    <cellStyle name="_DEM-WP(C) Costs not in AURORA 2006GRC_NIM Summary 16" xfId="5522"/>
    <cellStyle name="_DEM-WP(C) Costs not in AURORA 2006GRC_NIM Summary 16 2" xfId="5523"/>
    <cellStyle name="_DEM-WP(C) Costs not in AURORA 2006GRC_NIM Summary 17" xfId="5524"/>
    <cellStyle name="_DEM-WP(C) Costs not in AURORA 2006GRC_NIM Summary 17 2" xfId="5525"/>
    <cellStyle name="_DEM-WP(C) Costs not in AURORA 2006GRC_NIM Summary 18" xfId="5526"/>
    <cellStyle name="_DEM-WP(C) Costs not in AURORA 2006GRC_NIM Summary 18 2" xfId="5527"/>
    <cellStyle name="_DEM-WP(C) Costs not in AURORA 2006GRC_NIM Summary 19" xfId="5528"/>
    <cellStyle name="_DEM-WP(C) Costs not in AURORA 2006GRC_NIM Summary 19 2" xfId="5529"/>
    <cellStyle name="_DEM-WP(C) Costs not in AURORA 2006GRC_NIM Summary 2" xfId="5530"/>
    <cellStyle name="_DEM-WP(C) Costs not in AURORA 2006GRC_NIM Summary 2 2" xfId="5531"/>
    <cellStyle name="_DEM-WP(C) Costs not in AURORA 2006GRC_NIM Summary 2 2 2" xfId="5532"/>
    <cellStyle name="_DEM-WP(C) Costs not in AURORA 2006GRC_NIM Summary 2 3" xfId="5533"/>
    <cellStyle name="_DEM-WP(C) Costs not in AURORA 2006GRC_NIM Summary 20" xfId="5534"/>
    <cellStyle name="_DEM-WP(C) Costs not in AURORA 2006GRC_NIM Summary 20 2" xfId="5535"/>
    <cellStyle name="_DEM-WP(C) Costs not in AURORA 2006GRC_NIM Summary 21" xfId="5536"/>
    <cellStyle name="_DEM-WP(C) Costs not in AURORA 2006GRC_NIM Summary 21 2" xfId="5537"/>
    <cellStyle name="_DEM-WP(C) Costs not in AURORA 2006GRC_NIM Summary 22" xfId="5538"/>
    <cellStyle name="_DEM-WP(C) Costs not in AURORA 2006GRC_NIM Summary 22 2" xfId="5539"/>
    <cellStyle name="_DEM-WP(C) Costs not in AURORA 2006GRC_NIM Summary 23" xfId="5540"/>
    <cellStyle name="_DEM-WP(C) Costs not in AURORA 2006GRC_NIM Summary 23 2" xfId="5541"/>
    <cellStyle name="_DEM-WP(C) Costs not in AURORA 2006GRC_NIM Summary 24" xfId="5542"/>
    <cellStyle name="_DEM-WP(C) Costs not in AURORA 2006GRC_NIM Summary 24 2" xfId="5543"/>
    <cellStyle name="_DEM-WP(C) Costs not in AURORA 2006GRC_NIM Summary 25" xfId="5544"/>
    <cellStyle name="_DEM-WP(C) Costs not in AURORA 2006GRC_NIM Summary 25 2" xfId="5545"/>
    <cellStyle name="_DEM-WP(C) Costs not in AURORA 2006GRC_NIM Summary 26" xfId="5546"/>
    <cellStyle name="_DEM-WP(C) Costs not in AURORA 2006GRC_NIM Summary 26 2" xfId="5547"/>
    <cellStyle name="_DEM-WP(C) Costs not in AURORA 2006GRC_NIM Summary 27" xfId="5548"/>
    <cellStyle name="_DEM-WP(C) Costs not in AURORA 2006GRC_NIM Summary 27 2" xfId="5549"/>
    <cellStyle name="_DEM-WP(C) Costs not in AURORA 2006GRC_NIM Summary 28" xfId="5550"/>
    <cellStyle name="_DEM-WP(C) Costs not in AURORA 2006GRC_NIM Summary 28 2" xfId="5551"/>
    <cellStyle name="_DEM-WP(C) Costs not in AURORA 2006GRC_NIM Summary 29" xfId="5552"/>
    <cellStyle name="_DEM-WP(C) Costs not in AURORA 2006GRC_NIM Summary 29 2" xfId="5553"/>
    <cellStyle name="_DEM-WP(C) Costs not in AURORA 2006GRC_NIM Summary 3" xfId="5554"/>
    <cellStyle name="_DEM-WP(C) Costs not in AURORA 2006GRC_NIM Summary 3 2" xfId="5555"/>
    <cellStyle name="_DEM-WP(C) Costs not in AURORA 2006GRC_NIM Summary 30" xfId="5556"/>
    <cellStyle name="_DEM-WP(C) Costs not in AURORA 2006GRC_NIM Summary 30 2" xfId="5557"/>
    <cellStyle name="_DEM-WP(C) Costs not in AURORA 2006GRC_NIM Summary 31" xfId="5558"/>
    <cellStyle name="_DEM-WP(C) Costs not in AURORA 2006GRC_NIM Summary 31 2" xfId="5559"/>
    <cellStyle name="_DEM-WP(C) Costs not in AURORA 2006GRC_NIM Summary 32" xfId="5560"/>
    <cellStyle name="_DEM-WP(C) Costs not in AURORA 2006GRC_NIM Summary 32 2" xfId="5561"/>
    <cellStyle name="_DEM-WP(C) Costs not in AURORA 2006GRC_NIM Summary 33" xfId="5562"/>
    <cellStyle name="_DEM-WP(C) Costs not in AURORA 2006GRC_NIM Summary 33 2" xfId="5563"/>
    <cellStyle name="_DEM-WP(C) Costs not in AURORA 2006GRC_NIM Summary 34" xfId="5564"/>
    <cellStyle name="_DEM-WP(C) Costs not in AURORA 2006GRC_NIM Summary 34 2" xfId="5565"/>
    <cellStyle name="_DEM-WP(C) Costs not in AURORA 2006GRC_NIM Summary 35" xfId="5566"/>
    <cellStyle name="_DEM-WP(C) Costs not in AURORA 2006GRC_NIM Summary 35 2" xfId="5567"/>
    <cellStyle name="_DEM-WP(C) Costs not in AURORA 2006GRC_NIM Summary 36" xfId="5568"/>
    <cellStyle name="_DEM-WP(C) Costs not in AURORA 2006GRC_NIM Summary 36 2" xfId="5569"/>
    <cellStyle name="_DEM-WP(C) Costs not in AURORA 2006GRC_NIM Summary 37" xfId="5570"/>
    <cellStyle name="_DEM-WP(C) Costs not in AURORA 2006GRC_NIM Summary 37 2" xfId="5571"/>
    <cellStyle name="_DEM-WP(C) Costs not in AURORA 2006GRC_NIM Summary 38" xfId="5572"/>
    <cellStyle name="_DEM-WP(C) Costs not in AURORA 2006GRC_NIM Summary 38 2" xfId="5573"/>
    <cellStyle name="_DEM-WP(C) Costs not in AURORA 2006GRC_NIM Summary 39" xfId="5574"/>
    <cellStyle name="_DEM-WP(C) Costs not in AURORA 2006GRC_NIM Summary 39 2" xfId="5575"/>
    <cellStyle name="_DEM-WP(C) Costs not in AURORA 2006GRC_NIM Summary 4" xfId="5576"/>
    <cellStyle name="_DEM-WP(C) Costs not in AURORA 2006GRC_NIM Summary 4 2" xfId="5577"/>
    <cellStyle name="_DEM-WP(C) Costs not in AURORA 2006GRC_NIM Summary 40" xfId="5578"/>
    <cellStyle name="_DEM-WP(C) Costs not in AURORA 2006GRC_NIM Summary 40 2" xfId="5579"/>
    <cellStyle name="_DEM-WP(C) Costs not in AURORA 2006GRC_NIM Summary 41" xfId="5580"/>
    <cellStyle name="_DEM-WP(C) Costs not in AURORA 2006GRC_NIM Summary 41 2" xfId="5581"/>
    <cellStyle name="_DEM-WP(C) Costs not in AURORA 2006GRC_NIM Summary 42" xfId="5582"/>
    <cellStyle name="_DEM-WP(C) Costs not in AURORA 2006GRC_NIM Summary 42 2" xfId="5583"/>
    <cellStyle name="_DEM-WP(C) Costs not in AURORA 2006GRC_NIM Summary 43" xfId="5584"/>
    <cellStyle name="_DEM-WP(C) Costs not in AURORA 2006GRC_NIM Summary 43 2" xfId="5585"/>
    <cellStyle name="_DEM-WP(C) Costs not in AURORA 2006GRC_NIM Summary 44" xfId="5586"/>
    <cellStyle name="_DEM-WP(C) Costs not in AURORA 2006GRC_NIM Summary 44 2" xfId="5587"/>
    <cellStyle name="_DEM-WP(C) Costs not in AURORA 2006GRC_NIM Summary 45" xfId="5588"/>
    <cellStyle name="_DEM-WP(C) Costs not in AURORA 2006GRC_NIM Summary 45 2" xfId="5589"/>
    <cellStyle name="_DEM-WP(C) Costs not in AURORA 2006GRC_NIM Summary 46" xfId="5590"/>
    <cellStyle name="_DEM-WP(C) Costs not in AURORA 2006GRC_NIM Summary 46 2" xfId="5591"/>
    <cellStyle name="_DEM-WP(C) Costs not in AURORA 2006GRC_NIM Summary 47" xfId="5592"/>
    <cellStyle name="_DEM-WP(C) Costs not in AURORA 2006GRC_NIM Summary 47 2" xfId="5593"/>
    <cellStyle name="_DEM-WP(C) Costs not in AURORA 2006GRC_NIM Summary 48" xfId="5594"/>
    <cellStyle name="_DEM-WP(C) Costs not in AURORA 2006GRC_NIM Summary 49" xfId="5595"/>
    <cellStyle name="_DEM-WP(C) Costs not in AURORA 2006GRC_NIM Summary 5" xfId="5596"/>
    <cellStyle name="_DEM-WP(C) Costs not in AURORA 2006GRC_NIM Summary 5 2" xfId="5597"/>
    <cellStyle name="_DEM-WP(C) Costs not in AURORA 2006GRC_NIM Summary 50" xfId="5598"/>
    <cellStyle name="_DEM-WP(C) Costs not in AURORA 2006GRC_NIM Summary 51" xfId="5599"/>
    <cellStyle name="_DEM-WP(C) Costs not in AURORA 2006GRC_NIM Summary 52" xfId="5600"/>
    <cellStyle name="_DEM-WP(C) Costs not in AURORA 2006GRC_NIM Summary 6" xfId="5601"/>
    <cellStyle name="_DEM-WP(C) Costs not in AURORA 2006GRC_NIM Summary 6 2" xfId="5602"/>
    <cellStyle name="_DEM-WP(C) Costs not in AURORA 2006GRC_NIM Summary 7" xfId="5603"/>
    <cellStyle name="_DEM-WP(C) Costs not in AURORA 2006GRC_NIM Summary 7 2" xfId="5604"/>
    <cellStyle name="_DEM-WP(C) Costs not in AURORA 2006GRC_NIM Summary 8" xfId="5605"/>
    <cellStyle name="_DEM-WP(C) Costs not in AURORA 2006GRC_NIM Summary 8 2" xfId="5606"/>
    <cellStyle name="_DEM-WP(C) Costs not in AURORA 2006GRC_NIM Summary 9" xfId="5607"/>
    <cellStyle name="_DEM-WP(C) Costs not in AURORA 2006GRC_NIM Summary 9 2" xfId="5608"/>
    <cellStyle name="_DEM-WP(C) Costs not in AURORA 2006GRC_NIM Summary_DEM-WP(C) ENERG10C--ctn Mid-C_042010 2010GRC" xfId="5609"/>
    <cellStyle name="_DEM-WP(C) Costs not in AURORA 2006GRC_NIM Summary_DEM-WP(C) ENERG10C--ctn Mid-C_042010 2010GRC 2" xfId="5610"/>
    <cellStyle name="_DEM-WP(C) Costs not in AURORA 2006GRC_PCA 10 -  Exhibit D Dec 2011" xfId="5611"/>
    <cellStyle name="_DEM-WP(C) Costs not in AURORA 2006GRC_PCA 10 -  Exhibit D Dec 2011 2" xfId="5612"/>
    <cellStyle name="_DEM-WP(C) Costs not in AURORA 2006GRC_PCA 10 -  Exhibit D from A Kellogg Jan 2011" xfId="5613"/>
    <cellStyle name="_DEM-WP(C) Costs not in AURORA 2006GRC_PCA 10 -  Exhibit D from A Kellogg Jan 2011 2" xfId="5614"/>
    <cellStyle name="_DEM-WP(C) Costs not in AURORA 2006GRC_PCA 10 -  Exhibit D from A Kellogg July 2011" xfId="5615"/>
    <cellStyle name="_DEM-WP(C) Costs not in AURORA 2006GRC_PCA 10 -  Exhibit D from A Kellogg July 2011 2" xfId="5616"/>
    <cellStyle name="_DEM-WP(C) Costs not in AURORA 2006GRC_PCA 10 -  Exhibit D from S Free Rcv'd 12-11" xfId="5617"/>
    <cellStyle name="_DEM-WP(C) Costs not in AURORA 2006GRC_PCA 10 -  Exhibit D from S Free Rcv'd 12-11 2" xfId="5618"/>
    <cellStyle name="_DEM-WP(C) Costs not in AURORA 2006GRC_PCA 11 -  Exhibit D Jan 2012 fr A Kellogg" xfId="5619"/>
    <cellStyle name="_DEM-WP(C) Costs not in AURORA 2006GRC_PCA 11 -  Exhibit D Jan 2012 fr A Kellogg 2" xfId="5620"/>
    <cellStyle name="_DEM-WP(C) Costs not in AURORA 2006GRC_PCA 11 -  Exhibit D Jan 2012 WF" xfId="5621"/>
    <cellStyle name="_DEM-WP(C) Costs not in AURORA 2006GRC_PCA 11 -  Exhibit D Jan 2012 WF 2" xfId="5622"/>
    <cellStyle name="_DEM-WP(C) Costs not in AURORA 2006GRC_PCA 9 -  Exhibit D April 2010" xfId="5623"/>
    <cellStyle name="_DEM-WP(C) Costs not in AURORA 2006GRC_PCA 9 -  Exhibit D April 2010 (3)" xfId="5624"/>
    <cellStyle name="_DEM-WP(C) Costs not in AURORA 2006GRC_PCA 9 -  Exhibit D April 2010 (3) 2" xfId="5625"/>
    <cellStyle name="_DEM-WP(C) Costs not in AURORA 2006GRC_PCA 9 -  Exhibit D April 2010 (3) 2 2" xfId="5626"/>
    <cellStyle name="_DEM-WP(C) Costs not in AURORA 2006GRC_PCA 9 -  Exhibit D April 2010 (3) 2 2 2" xfId="5627"/>
    <cellStyle name="_DEM-WP(C) Costs not in AURORA 2006GRC_PCA 9 -  Exhibit D April 2010 (3) 2 3" xfId="5628"/>
    <cellStyle name="_DEM-WP(C) Costs not in AURORA 2006GRC_PCA 9 -  Exhibit D April 2010 (3) 3" xfId="5629"/>
    <cellStyle name="_DEM-WP(C) Costs not in AURORA 2006GRC_PCA 9 -  Exhibit D April 2010 (3) 3 2" xfId="5630"/>
    <cellStyle name="_DEM-WP(C) Costs not in AURORA 2006GRC_PCA 9 -  Exhibit D April 2010 (3) 4" xfId="5631"/>
    <cellStyle name="_DEM-WP(C) Costs not in AURORA 2006GRC_PCA 9 -  Exhibit D April 2010 (3)_DEM-WP(C) ENERG10C--ctn Mid-C_042010 2010GRC" xfId="5632"/>
    <cellStyle name="_DEM-WP(C) Costs not in AURORA 2006GRC_PCA 9 -  Exhibit D April 2010 (3)_DEM-WP(C) ENERG10C--ctn Mid-C_042010 2010GRC 2" xfId="5633"/>
    <cellStyle name="_DEM-WP(C) Costs not in AURORA 2006GRC_PCA 9 -  Exhibit D April 2010 2" xfId="5634"/>
    <cellStyle name="_DEM-WP(C) Costs not in AURORA 2006GRC_PCA 9 -  Exhibit D April 2010 2 2" xfId="5635"/>
    <cellStyle name="_DEM-WP(C) Costs not in AURORA 2006GRC_PCA 9 -  Exhibit D April 2010 3" xfId="5636"/>
    <cellStyle name="_DEM-WP(C) Costs not in AURORA 2006GRC_PCA 9 -  Exhibit D April 2010 3 2" xfId="5637"/>
    <cellStyle name="_DEM-WP(C) Costs not in AURORA 2006GRC_PCA 9 -  Exhibit D April 2010 4" xfId="5638"/>
    <cellStyle name="_DEM-WP(C) Costs not in AURORA 2006GRC_PCA 9 -  Exhibit D April 2010 4 2" xfId="5639"/>
    <cellStyle name="_DEM-WP(C) Costs not in AURORA 2006GRC_PCA 9 -  Exhibit D April 2010 5" xfId="5640"/>
    <cellStyle name="_DEM-WP(C) Costs not in AURORA 2006GRC_PCA 9 -  Exhibit D April 2010 5 2" xfId="5641"/>
    <cellStyle name="_DEM-WP(C) Costs not in AURORA 2006GRC_PCA 9 -  Exhibit D April 2010 6" xfId="5642"/>
    <cellStyle name="_DEM-WP(C) Costs not in AURORA 2006GRC_PCA 9 -  Exhibit D April 2010 6 2" xfId="5643"/>
    <cellStyle name="_DEM-WP(C) Costs not in AURORA 2006GRC_PCA 9 -  Exhibit D April 2010 7" xfId="5644"/>
    <cellStyle name="_DEM-WP(C) Costs not in AURORA 2006GRC_PCA 9 -  Exhibit D Nov 2010" xfId="5645"/>
    <cellStyle name="_DEM-WP(C) Costs not in AURORA 2006GRC_PCA 9 -  Exhibit D Nov 2010 2" xfId="5646"/>
    <cellStyle name="_DEM-WP(C) Costs not in AURORA 2006GRC_PCA 9 -  Exhibit D Nov 2010 2 2" xfId="5647"/>
    <cellStyle name="_DEM-WP(C) Costs not in AURORA 2006GRC_PCA 9 -  Exhibit D Nov 2010 3" xfId="5648"/>
    <cellStyle name="_DEM-WP(C) Costs not in AURORA 2006GRC_PCA 9 - Exhibit D at August 2010" xfId="5649"/>
    <cellStyle name="_DEM-WP(C) Costs not in AURORA 2006GRC_PCA 9 - Exhibit D at August 2010 2" xfId="5650"/>
    <cellStyle name="_DEM-WP(C) Costs not in AURORA 2006GRC_PCA 9 - Exhibit D at August 2010 2 2" xfId="5651"/>
    <cellStyle name="_DEM-WP(C) Costs not in AURORA 2006GRC_PCA 9 - Exhibit D at August 2010 3" xfId="5652"/>
    <cellStyle name="_DEM-WP(C) Costs not in AURORA 2006GRC_PCA 9 - Exhibit D June 2010 GRC" xfId="5653"/>
    <cellStyle name="_DEM-WP(C) Costs not in AURORA 2006GRC_PCA 9 - Exhibit D June 2010 GRC 2" xfId="5654"/>
    <cellStyle name="_DEM-WP(C) Costs not in AURORA 2006GRC_PCA 9 - Exhibit D June 2010 GRC 2 2" xfId="5655"/>
    <cellStyle name="_DEM-WP(C) Costs not in AURORA 2006GRC_PCA 9 - Exhibit D June 2010 GRC 3" xfId="5656"/>
    <cellStyle name="_DEM-WP(C) Costs not in AURORA 2006GRC_Power Costs - Comparison bx Rbtl-Staff-Jt-PC" xfId="5657"/>
    <cellStyle name="_DEM-WP(C) Costs not in AURORA 2006GRC_Power Costs - Comparison bx Rbtl-Staff-Jt-PC 2" xfId="5658"/>
    <cellStyle name="_DEM-WP(C) Costs not in AURORA 2006GRC_Power Costs - Comparison bx Rbtl-Staff-Jt-PC 2 2" xfId="5659"/>
    <cellStyle name="_DEM-WP(C) Costs not in AURORA 2006GRC_Power Costs - Comparison bx Rbtl-Staff-Jt-PC 2 2 2" xfId="5660"/>
    <cellStyle name="_DEM-WP(C) Costs not in AURORA 2006GRC_Power Costs - Comparison bx Rbtl-Staff-Jt-PC 2 3" xfId="5661"/>
    <cellStyle name="_DEM-WP(C) Costs not in AURORA 2006GRC_Power Costs - Comparison bx Rbtl-Staff-Jt-PC 3" xfId="5662"/>
    <cellStyle name="_DEM-WP(C) Costs not in AURORA 2006GRC_Power Costs - Comparison bx Rbtl-Staff-Jt-PC 3 2" xfId="5663"/>
    <cellStyle name="_DEM-WP(C) Costs not in AURORA 2006GRC_Power Costs - Comparison bx Rbtl-Staff-Jt-PC 4" xfId="5664"/>
    <cellStyle name="_DEM-WP(C) Costs not in AURORA 2006GRC_Power Costs - Comparison bx Rbtl-Staff-Jt-PC_Adj Bench DR 3 for Initial Briefs (Electric)" xfId="5665"/>
    <cellStyle name="_DEM-WP(C) Costs not in AURORA 2006GRC_Power Costs - Comparison bx Rbtl-Staff-Jt-PC_Adj Bench DR 3 for Initial Briefs (Electric) 2" xfId="5666"/>
    <cellStyle name="_DEM-WP(C) Costs not in AURORA 2006GRC_Power Costs - Comparison bx Rbtl-Staff-Jt-PC_Adj Bench DR 3 for Initial Briefs (Electric) 2 2" xfId="5667"/>
    <cellStyle name="_DEM-WP(C) Costs not in AURORA 2006GRC_Power Costs - Comparison bx Rbtl-Staff-Jt-PC_Adj Bench DR 3 for Initial Briefs (Electric) 2 2 2" xfId="5668"/>
    <cellStyle name="_DEM-WP(C) Costs not in AURORA 2006GRC_Power Costs - Comparison bx Rbtl-Staff-Jt-PC_Adj Bench DR 3 for Initial Briefs (Electric) 2 3" xfId="5669"/>
    <cellStyle name="_DEM-WP(C) Costs not in AURORA 2006GRC_Power Costs - Comparison bx Rbtl-Staff-Jt-PC_Adj Bench DR 3 for Initial Briefs (Electric) 3" xfId="5670"/>
    <cellStyle name="_DEM-WP(C) Costs not in AURORA 2006GRC_Power Costs - Comparison bx Rbtl-Staff-Jt-PC_Adj Bench DR 3 for Initial Briefs (Electric) 3 2" xfId="5671"/>
    <cellStyle name="_DEM-WP(C) Costs not in AURORA 2006GRC_Power Costs - Comparison bx Rbtl-Staff-Jt-PC_Adj Bench DR 3 for Initial Briefs (Electric) 4" xfId="5672"/>
    <cellStyle name="_DEM-WP(C) Costs not in AURORA 2006GRC_Power Costs - Comparison bx Rbtl-Staff-Jt-PC_Adj Bench DR 3 for Initial Briefs (Electric)_DEM-WP(C) ENERG10C--ctn Mid-C_042010 2010GRC" xfId="5673"/>
    <cellStyle name="_DEM-WP(C) Costs not in AURORA 2006GRC_Power Costs - Comparison bx Rbtl-Staff-Jt-PC_Adj Bench DR 3 for Initial Briefs (Electric)_DEM-WP(C) ENERG10C--ctn Mid-C_042010 2010GRC 2" xfId="5674"/>
    <cellStyle name="_DEM-WP(C) Costs not in AURORA 2006GRC_Power Costs - Comparison bx Rbtl-Staff-Jt-PC_DEM-WP(C) ENERG10C--ctn Mid-C_042010 2010GRC" xfId="5675"/>
    <cellStyle name="_DEM-WP(C) Costs not in AURORA 2006GRC_Power Costs - Comparison bx Rbtl-Staff-Jt-PC_DEM-WP(C) ENERG10C--ctn Mid-C_042010 2010GRC 2" xfId="5676"/>
    <cellStyle name="_DEM-WP(C) Costs not in AURORA 2006GRC_Power Costs - Comparison bx Rbtl-Staff-Jt-PC_Electric Rev Req Model (2009 GRC) Rebuttal" xfId="5677"/>
    <cellStyle name="_DEM-WP(C) Costs not in AURORA 2006GRC_Power Costs - Comparison bx Rbtl-Staff-Jt-PC_Electric Rev Req Model (2009 GRC) Rebuttal 2" xfId="5678"/>
    <cellStyle name="_DEM-WP(C) Costs not in AURORA 2006GRC_Power Costs - Comparison bx Rbtl-Staff-Jt-PC_Electric Rev Req Model (2009 GRC) Rebuttal 2 2" xfId="5679"/>
    <cellStyle name="_DEM-WP(C) Costs not in AURORA 2006GRC_Power Costs - Comparison bx Rbtl-Staff-Jt-PC_Electric Rev Req Model (2009 GRC) Rebuttal 3" xfId="5680"/>
    <cellStyle name="_DEM-WP(C) Costs not in AURORA 2006GRC_Power Costs - Comparison bx Rbtl-Staff-Jt-PC_Electric Rev Req Model (2009 GRC) Rebuttal REmoval of New  WH Solar AdjustMI" xfId="5681"/>
    <cellStyle name="_DEM-WP(C) Costs not in AURORA 2006GRC_Power Costs - Comparison bx Rbtl-Staff-Jt-PC_Electric Rev Req Model (2009 GRC) Rebuttal REmoval of New  WH Solar AdjustMI 2" xfId="5682"/>
    <cellStyle name="_DEM-WP(C) Costs not in AURORA 2006GRC_Power Costs - Comparison bx Rbtl-Staff-Jt-PC_Electric Rev Req Model (2009 GRC) Rebuttal REmoval of New  WH Solar AdjustMI 2 2" xfId="5683"/>
    <cellStyle name="_DEM-WP(C) Costs not in AURORA 2006GRC_Power Costs - Comparison bx Rbtl-Staff-Jt-PC_Electric Rev Req Model (2009 GRC) Rebuttal REmoval of New  WH Solar AdjustMI 2 2 2" xfId="5684"/>
    <cellStyle name="_DEM-WP(C) Costs not in AURORA 2006GRC_Power Costs - Comparison bx Rbtl-Staff-Jt-PC_Electric Rev Req Model (2009 GRC) Rebuttal REmoval of New  WH Solar AdjustMI 2 3" xfId="5685"/>
    <cellStyle name="_DEM-WP(C) Costs not in AURORA 2006GRC_Power Costs - Comparison bx Rbtl-Staff-Jt-PC_Electric Rev Req Model (2009 GRC) Rebuttal REmoval of New  WH Solar AdjustMI 3" xfId="5686"/>
    <cellStyle name="_DEM-WP(C) Costs not in AURORA 2006GRC_Power Costs - Comparison bx Rbtl-Staff-Jt-PC_Electric Rev Req Model (2009 GRC) Rebuttal REmoval of New  WH Solar AdjustMI 3 2" xfId="5687"/>
    <cellStyle name="_DEM-WP(C) Costs not in AURORA 2006GRC_Power Costs - Comparison bx Rbtl-Staff-Jt-PC_Electric Rev Req Model (2009 GRC) Rebuttal REmoval of New  WH Solar AdjustMI 4" xfId="5688"/>
    <cellStyle name="_DEM-WP(C) Costs not in AURORA 2006GRC_Power Costs - Comparison bx Rbtl-Staff-Jt-PC_Electric Rev Req Model (2009 GRC) Rebuttal REmoval of New  WH Solar AdjustMI_DEM-WP(C) ENERG10C--ctn Mid-C_042010 2010GRC" xfId="5689"/>
    <cellStyle name="_DEM-WP(C) Costs not in AURORA 2006GRC_Power Costs - Comparison bx Rbtl-Staff-Jt-PC_Electric Rev Req Model (2009 GRC) Rebuttal REmoval of New  WH Solar AdjustMI_DEM-WP(C) ENERG10C--ctn Mid-C_042010 2010GRC 2" xfId="5690"/>
    <cellStyle name="_DEM-WP(C) Costs not in AURORA 2006GRC_Power Costs - Comparison bx Rbtl-Staff-Jt-PC_Electric Rev Req Model (2009 GRC) Revised 01-18-2010" xfId="5691"/>
    <cellStyle name="_DEM-WP(C) Costs not in AURORA 2006GRC_Power Costs - Comparison bx Rbtl-Staff-Jt-PC_Electric Rev Req Model (2009 GRC) Revised 01-18-2010 2" xfId="5692"/>
    <cellStyle name="_DEM-WP(C) Costs not in AURORA 2006GRC_Power Costs - Comparison bx Rbtl-Staff-Jt-PC_Electric Rev Req Model (2009 GRC) Revised 01-18-2010 2 2" xfId="5693"/>
    <cellStyle name="_DEM-WP(C) Costs not in AURORA 2006GRC_Power Costs - Comparison bx Rbtl-Staff-Jt-PC_Electric Rev Req Model (2009 GRC) Revised 01-18-2010 2 2 2" xfId="5694"/>
    <cellStyle name="_DEM-WP(C) Costs not in AURORA 2006GRC_Power Costs - Comparison bx Rbtl-Staff-Jt-PC_Electric Rev Req Model (2009 GRC) Revised 01-18-2010 2 3" xfId="5695"/>
    <cellStyle name="_DEM-WP(C) Costs not in AURORA 2006GRC_Power Costs - Comparison bx Rbtl-Staff-Jt-PC_Electric Rev Req Model (2009 GRC) Revised 01-18-2010 3" xfId="5696"/>
    <cellStyle name="_DEM-WP(C) Costs not in AURORA 2006GRC_Power Costs - Comparison bx Rbtl-Staff-Jt-PC_Electric Rev Req Model (2009 GRC) Revised 01-18-2010 3 2" xfId="5697"/>
    <cellStyle name="_DEM-WP(C) Costs not in AURORA 2006GRC_Power Costs - Comparison bx Rbtl-Staff-Jt-PC_Electric Rev Req Model (2009 GRC) Revised 01-18-2010 4" xfId="5698"/>
    <cellStyle name="_DEM-WP(C) Costs not in AURORA 2006GRC_Power Costs - Comparison bx Rbtl-Staff-Jt-PC_Electric Rev Req Model (2009 GRC) Revised 01-18-2010_DEM-WP(C) ENERG10C--ctn Mid-C_042010 2010GRC" xfId="5699"/>
    <cellStyle name="_DEM-WP(C) Costs not in AURORA 2006GRC_Power Costs - Comparison bx Rbtl-Staff-Jt-PC_Electric Rev Req Model (2009 GRC) Revised 01-18-2010_DEM-WP(C) ENERG10C--ctn Mid-C_042010 2010GRC 2" xfId="5700"/>
    <cellStyle name="_DEM-WP(C) Costs not in AURORA 2006GRC_Power Costs - Comparison bx Rbtl-Staff-Jt-PC_Final Order Electric EXHIBIT A-1" xfId="5701"/>
    <cellStyle name="_DEM-WP(C) Costs not in AURORA 2006GRC_Power Costs - Comparison bx Rbtl-Staff-Jt-PC_Final Order Electric EXHIBIT A-1 2" xfId="5702"/>
    <cellStyle name="_DEM-WP(C) Costs not in AURORA 2006GRC_Power Costs - Comparison bx Rbtl-Staff-Jt-PC_Final Order Electric EXHIBIT A-1 2 2" xfId="5703"/>
    <cellStyle name="_DEM-WP(C) Costs not in AURORA 2006GRC_Power Costs - Comparison bx Rbtl-Staff-Jt-PC_Final Order Electric EXHIBIT A-1 3" xfId="5704"/>
    <cellStyle name="_DEM-WP(C) Costs not in AURORA 2006GRC_Production Adj 4.37" xfId="21265"/>
    <cellStyle name="_DEM-WP(C) Costs not in AURORA 2006GRC_Purchased Power Adj 4.03" xfId="21266"/>
    <cellStyle name="_DEM-WP(C) Costs not in AURORA 2006GRC_Rebuttal Power Costs" xfId="5705"/>
    <cellStyle name="_DEM-WP(C) Costs not in AURORA 2006GRC_Rebuttal Power Costs 2" xfId="5706"/>
    <cellStyle name="_DEM-WP(C) Costs not in AURORA 2006GRC_Rebuttal Power Costs 2 2" xfId="5707"/>
    <cellStyle name="_DEM-WP(C) Costs not in AURORA 2006GRC_Rebuttal Power Costs 2 2 2" xfId="5708"/>
    <cellStyle name="_DEM-WP(C) Costs not in AURORA 2006GRC_Rebuttal Power Costs 2 3" xfId="5709"/>
    <cellStyle name="_DEM-WP(C) Costs not in AURORA 2006GRC_Rebuttal Power Costs 3" xfId="5710"/>
    <cellStyle name="_DEM-WP(C) Costs not in AURORA 2006GRC_Rebuttal Power Costs 3 2" xfId="5711"/>
    <cellStyle name="_DEM-WP(C) Costs not in AURORA 2006GRC_Rebuttal Power Costs 4" xfId="5712"/>
    <cellStyle name="_DEM-WP(C) Costs not in AURORA 2006GRC_Rebuttal Power Costs_Adj Bench DR 3 for Initial Briefs (Electric)" xfId="5713"/>
    <cellStyle name="_DEM-WP(C) Costs not in AURORA 2006GRC_Rebuttal Power Costs_Adj Bench DR 3 for Initial Briefs (Electric) 2" xfId="5714"/>
    <cellStyle name="_DEM-WP(C) Costs not in AURORA 2006GRC_Rebuttal Power Costs_Adj Bench DR 3 for Initial Briefs (Electric) 2 2" xfId="5715"/>
    <cellStyle name="_DEM-WP(C) Costs not in AURORA 2006GRC_Rebuttal Power Costs_Adj Bench DR 3 for Initial Briefs (Electric) 2 2 2" xfId="5716"/>
    <cellStyle name="_DEM-WP(C) Costs not in AURORA 2006GRC_Rebuttal Power Costs_Adj Bench DR 3 for Initial Briefs (Electric) 2 3" xfId="5717"/>
    <cellStyle name="_DEM-WP(C) Costs not in AURORA 2006GRC_Rebuttal Power Costs_Adj Bench DR 3 for Initial Briefs (Electric) 3" xfId="5718"/>
    <cellStyle name="_DEM-WP(C) Costs not in AURORA 2006GRC_Rebuttal Power Costs_Adj Bench DR 3 for Initial Briefs (Electric) 3 2" xfId="5719"/>
    <cellStyle name="_DEM-WP(C) Costs not in AURORA 2006GRC_Rebuttal Power Costs_Adj Bench DR 3 for Initial Briefs (Electric) 4" xfId="5720"/>
    <cellStyle name="_DEM-WP(C) Costs not in AURORA 2006GRC_Rebuttal Power Costs_Adj Bench DR 3 for Initial Briefs (Electric)_DEM-WP(C) ENERG10C--ctn Mid-C_042010 2010GRC" xfId="5721"/>
    <cellStyle name="_DEM-WP(C) Costs not in AURORA 2006GRC_Rebuttal Power Costs_Adj Bench DR 3 for Initial Briefs (Electric)_DEM-WP(C) ENERG10C--ctn Mid-C_042010 2010GRC 2" xfId="5722"/>
    <cellStyle name="_DEM-WP(C) Costs not in AURORA 2006GRC_Rebuttal Power Costs_DEM-WP(C) ENERG10C--ctn Mid-C_042010 2010GRC" xfId="5723"/>
    <cellStyle name="_DEM-WP(C) Costs not in AURORA 2006GRC_Rebuttal Power Costs_DEM-WP(C) ENERG10C--ctn Mid-C_042010 2010GRC 2" xfId="5724"/>
    <cellStyle name="_DEM-WP(C) Costs not in AURORA 2006GRC_Rebuttal Power Costs_Electric Rev Req Model (2009 GRC) Rebuttal" xfId="5725"/>
    <cellStyle name="_DEM-WP(C) Costs not in AURORA 2006GRC_Rebuttal Power Costs_Electric Rev Req Model (2009 GRC) Rebuttal 2" xfId="5726"/>
    <cellStyle name="_DEM-WP(C) Costs not in AURORA 2006GRC_Rebuttal Power Costs_Electric Rev Req Model (2009 GRC) Rebuttal 2 2" xfId="5727"/>
    <cellStyle name="_DEM-WP(C) Costs not in AURORA 2006GRC_Rebuttal Power Costs_Electric Rev Req Model (2009 GRC) Rebuttal 3" xfId="5728"/>
    <cellStyle name="_DEM-WP(C) Costs not in AURORA 2006GRC_Rebuttal Power Costs_Electric Rev Req Model (2009 GRC) Rebuttal REmoval of New  WH Solar AdjustMI" xfId="5729"/>
    <cellStyle name="_DEM-WP(C) Costs not in AURORA 2006GRC_Rebuttal Power Costs_Electric Rev Req Model (2009 GRC) Rebuttal REmoval of New  WH Solar AdjustMI 2" xfId="5730"/>
    <cellStyle name="_DEM-WP(C) Costs not in AURORA 2006GRC_Rebuttal Power Costs_Electric Rev Req Model (2009 GRC) Rebuttal REmoval of New  WH Solar AdjustMI 2 2" xfId="5731"/>
    <cellStyle name="_DEM-WP(C) Costs not in AURORA 2006GRC_Rebuttal Power Costs_Electric Rev Req Model (2009 GRC) Rebuttal REmoval of New  WH Solar AdjustMI 2 2 2" xfId="5732"/>
    <cellStyle name="_DEM-WP(C) Costs not in AURORA 2006GRC_Rebuttal Power Costs_Electric Rev Req Model (2009 GRC) Rebuttal REmoval of New  WH Solar AdjustMI 2 3" xfId="5733"/>
    <cellStyle name="_DEM-WP(C) Costs not in AURORA 2006GRC_Rebuttal Power Costs_Electric Rev Req Model (2009 GRC) Rebuttal REmoval of New  WH Solar AdjustMI 3" xfId="5734"/>
    <cellStyle name="_DEM-WP(C) Costs not in AURORA 2006GRC_Rebuttal Power Costs_Electric Rev Req Model (2009 GRC) Rebuttal REmoval of New  WH Solar AdjustMI 3 2" xfId="5735"/>
    <cellStyle name="_DEM-WP(C) Costs not in AURORA 2006GRC_Rebuttal Power Costs_Electric Rev Req Model (2009 GRC) Rebuttal REmoval of New  WH Solar AdjustMI 4" xfId="5736"/>
    <cellStyle name="_DEM-WP(C) Costs not in AURORA 2006GRC_Rebuttal Power Costs_Electric Rev Req Model (2009 GRC) Rebuttal REmoval of New  WH Solar AdjustMI_DEM-WP(C) ENERG10C--ctn Mid-C_042010 2010GRC" xfId="5737"/>
    <cellStyle name="_DEM-WP(C) Costs not in AURORA 2006GRC_Rebuttal Power Costs_Electric Rev Req Model (2009 GRC) Rebuttal REmoval of New  WH Solar AdjustMI_DEM-WP(C) ENERG10C--ctn Mid-C_042010 2010GRC 2" xfId="5738"/>
    <cellStyle name="_DEM-WP(C) Costs not in AURORA 2006GRC_Rebuttal Power Costs_Electric Rev Req Model (2009 GRC) Revised 01-18-2010" xfId="5739"/>
    <cellStyle name="_DEM-WP(C) Costs not in AURORA 2006GRC_Rebuttal Power Costs_Electric Rev Req Model (2009 GRC) Revised 01-18-2010 2" xfId="5740"/>
    <cellStyle name="_DEM-WP(C) Costs not in AURORA 2006GRC_Rebuttal Power Costs_Electric Rev Req Model (2009 GRC) Revised 01-18-2010 2 2" xfId="5741"/>
    <cellStyle name="_DEM-WP(C) Costs not in AURORA 2006GRC_Rebuttal Power Costs_Electric Rev Req Model (2009 GRC) Revised 01-18-2010 2 2 2" xfId="5742"/>
    <cellStyle name="_DEM-WP(C) Costs not in AURORA 2006GRC_Rebuttal Power Costs_Electric Rev Req Model (2009 GRC) Revised 01-18-2010 2 3" xfId="5743"/>
    <cellStyle name="_DEM-WP(C) Costs not in AURORA 2006GRC_Rebuttal Power Costs_Electric Rev Req Model (2009 GRC) Revised 01-18-2010 3" xfId="5744"/>
    <cellStyle name="_DEM-WP(C) Costs not in AURORA 2006GRC_Rebuttal Power Costs_Electric Rev Req Model (2009 GRC) Revised 01-18-2010 3 2" xfId="5745"/>
    <cellStyle name="_DEM-WP(C) Costs not in AURORA 2006GRC_Rebuttal Power Costs_Electric Rev Req Model (2009 GRC) Revised 01-18-2010 4" xfId="5746"/>
    <cellStyle name="_DEM-WP(C) Costs not in AURORA 2006GRC_Rebuttal Power Costs_Electric Rev Req Model (2009 GRC) Revised 01-18-2010_DEM-WP(C) ENERG10C--ctn Mid-C_042010 2010GRC" xfId="5747"/>
    <cellStyle name="_DEM-WP(C) Costs not in AURORA 2006GRC_Rebuttal Power Costs_Electric Rev Req Model (2009 GRC) Revised 01-18-2010_DEM-WP(C) ENERG10C--ctn Mid-C_042010 2010GRC 2" xfId="5748"/>
    <cellStyle name="_DEM-WP(C) Costs not in AURORA 2006GRC_Rebuttal Power Costs_Final Order Electric EXHIBIT A-1" xfId="5749"/>
    <cellStyle name="_DEM-WP(C) Costs not in AURORA 2006GRC_Rebuttal Power Costs_Final Order Electric EXHIBIT A-1 2" xfId="5750"/>
    <cellStyle name="_DEM-WP(C) Costs not in AURORA 2006GRC_Rebuttal Power Costs_Final Order Electric EXHIBIT A-1 2 2" xfId="5751"/>
    <cellStyle name="_DEM-WP(C) Costs not in AURORA 2006GRC_Rebuttal Power Costs_Final Order Electric EXHIBIT A-1 3" xfId="5752"/>
    <cellStyle name="_DEM-WP(C) Costs not in AURORA 2006GRC_ROR 5.02" xfId="21267"/>
    <cellStyle name="_DEM-WP(C) Costs not in AURORA 2006GRC_Transmission Workbook for May BOD" xfId="5753"/>
    <cellStyle name="_DEM-WP(C) Costs not in AURORA 2006GRC_Transmission Workbook for May BOD 2" xfId="5754"/>
    <cellStyle name="_DEM-WP(C) Costs not in AURORA 2006GRC_Transmission Workbook for May BOD 2 2" xfId="5755"/>
    <cellStyle name="_DEM-WP(C) Costs not in AURORA 2006GRC_Transmission Workbook for May BOD 2 2 2" xfId="5756"/>
    <cellStyle name="_DEM-WP(C) Costs not in AURORA 2006GRC_Transmission Workbook for May BOD 2 3" xfId="5757"/>
    <cellStyle name="_DEM-WP(C) Costs not in AURORA 2006GRC_Transmission Workbook for May BOD 3" xfId="5758"/>
    <cellStyle name="_DEM-WP(C) Costs not in AURORA 2006GRC_Transmission Workbook for May BOD 3 2" xfId="5759"/>
    <cellStyle name="_DEM-WP(C) Costs not in AURORA 2006GRC_Transmission Workbook for May BOD 4" xfId="5760"/>
    <cellStyle name="_DEM-WP(C) Costs not in AURORA 2006GRC_Transmission Workbook for May BOD_DEM-WP(C) ENERG10C--ctn Mid-C_042010 2010GRC" xfId="5761"/>
    <cellStyle name="_DEM-WP(C) Costs not in AURORA 2006GRC_Transmission Workbook for May BOD_DEM-WP(C) ENERG10C--ctn Mid-C_042010 2010GRC 2" xfId="5762"/>
    <cellStyle name="_DEM-WP(C) Costs not in AURORA 2006GRC_Wind Integration 10GRC" xfId="5763"/>
    <cellStyle name="_DEM-WP(C) Costs not in AURORA 2006GRC_Wind Integration 10GRC 2" xfId="5764"/>
    <cellStyle name="_DEM-WP(C) Costs not in AURORA 2006GRC_Wind Integration 10GRC 2 2" xfId="5765"/>
    <cellStyle name="_DEM-WP(C) Costs not in AURORA 2006GRC_Wind Integration 10GRC 2 2 2" xfId="5766"/>
    <cellStyle name="_DEM-WP(C) Costs not in AURORA 2006GRC_Wind Integration 10GRC 2 3" xfId="5767"/>
    <cellStyle name="_DEM-WP(C) Costs not in AURORA 2006GRC_Wind Integration 10GRC 3" xfId="5768"/>
    <cellStyle name="_DEM-WP(C) Costs not in AURORA 2006GRC_Wind Integration 10GRC 3 2" xfId="5769"/>
    <cellStyle name="_DEM-WP(C) Costs not in AURORA 2006GRC_Wind Integration 10GRC 4" xfId="5770"/>
    <cellStyle name="_DEM-WP(C) Costs not in AURORA 2006GRC_Wind Integration 10GRC_DEM-WP(C) ENERG10C--ctn Mid-C_042010 2010GRC" xfId="5771"/>
    <cellStyle name="_DEM-WP(C) Costs not in AURORA 2006GRC_Wind Integration 10GRC_DEM-WP(C) ENERG10C--ctn Mid-C_042010 2010GRC 2" xfId="5772"/>
    <cellStyle name="_DEM-WP(C) Costs not in AURORA 2007GRC" xfId="5773"/>
    <cellStyle name="_DEM-WP(C) Costs not in AURORA 2007GRC 2" xfId="5774"/>
    <cellStyle name="_DEM-WP(C) Costs not in AURORA 2007GRC 2 2" xfId="5775"/>
    <cellStyle name="_DEM-WP(C) Costs not in AURORA 2007GRC 2 2 2" xfId="5776"/>
    <cellStyle name="_DEM-WP(C) Costs not in AURORA 2007GRC 2 3" xfId="5777"/>
    <cellStyle name="_DEM-WP(C) Costs not in AURORA 2007GRC 3" xfId="5778"/>
    <cellStyle name="_DEM-WP(C) Costs not in AURORA 2007GRC 3 2" xfId="5779"/>
    <cellStyle name="_DEM-WP(C) Costs not in AURORA 2007GRC 4" xfId="5780"/>
    <cellStyle name="_DEM-WP(C) Costs not in AURORA 2007GRC Update" xfId="5781"/>
    <cellStyle name="_DEM-WP(C) Costs not in AURORA 2007GRC Update 2" xfId="5782"/>
    <cellStyle name="_DEM-WP(C) Costs not in AURORA 2007GRC Update 2 2" xfId="5783"/>
    <cellStyle name="_DEM-WP(C) Costs not in AURORA 2007GRC Update 2 2 2" xfId="5784"/>
    <cellStyle name="_DEM-WP(C) Costs not in AURORA 2007GRC Update 2 3" xfId="5785"/>
    <cellStyle name="_DEM-WP(C) Costs not in AURORA 2007GRC Update 3" xfId="5786"/>
    <cellStyle name="_DEM-WP(C) Costs not in AURORA 2007GRC Update 3 2" xfId="5787"/>
    <cellStyle name="_DEM-WP(C) Costs not in AURORA 2007GRC Update 4" xfId="5788"/>
    <cellStyle name="_DEM-WP(C) Costs not in AURORA 2007GRC Update_DEM-WP(C) ENERG10C--ctn Mid-C_042010 2010GRC" xfId="5789"/>
    <cellStyle name="_DEM-WP(C) Costs not in AURORA 2007GRC Update_DEM-WP(C) ENERG10C--ctn Mid-C_042010 2010GRC 2" xfId="5790"/>
    <cellStyle name="_DEM-WP(C) Costs not in AURORA 2007GRC Update_NIM Summary" xfId="5791"/>
    <cellStyle name="_DEM-WP(C) Costs not in AURORA 2007GRC Update_NIM Summary 2" xfId="5792"/>
    <cellStyle name="_DEM-WP(C) Costs not in AURORA 2007GRC Update_NIM Summary 2 2" xfId="5793"/>
    <cellStyle name="_DEM-WP(C) Costs not in AURORA 2007GRC Update_NIM Summary 2 2 2" xfId="5794"/>
    <cellStyle name="_DEM-WP(C) Costs not in AURORA 2007GRC Update_NIM Summary 2 3" xfId="5795"/>
    <cellStyle name="_DEM-WP(C) Costs not in AURORA 2007GRC Update_NIM Summary 3" xfId="5796"/>
    <cellStyle name="_DEM-WP(C) Costs not in AURORA 2007GRC Update_NIM Summary 3 2" xfId="5797"/>
    <cellStyle name="_DEM-WP(C) Costs not in AURORA 2007GRC Update_NIM Summary 4" xfId="5798"/>
    <cellStyle name="_DEM-WP(C) Costs not in AURORA 2007GRC Update_NIM Summary_DEM-WP(C) ENERG10C--ctn Mid-C_042010 2010GRC" xfId="5799"/>
    <cellStyle name="_DEM-WP(C) Costs not in AURORA 2007GRC Update_NIM Summary_DEM-WP(C) ENERG10C--ctn Mid-C_042010 2010GRC 2" xfId="5800"/>
    <cellStyle name="_DEM-WP(C) Costs not in AURORA 2007GRC_16.37E Wild Horse Expansion DeferralRevwrkingfile SF" xfId="5801"/>
    <cellStyle name="_DEM-WP(C) Costs not in AURORA 2007GRC_16.37E Wild Horse Expansion DeferralRevwrkingfile SF 2" xfId="5802"/>
    <cellStyle name="_DEM-WP(C) Costs not in AURORA 2007GRC_16.37E Wild Horse Expansion DeferralRevwrkingfile SF 2 2" xfId="5803"/>
    <cellStyle name="_DEM-WP(C) Costs not in AURORA 2007GRC_16.37E Wild Horse Expansion DeferralRevwrkingfile SF 2 2 2" xfId="5804"/>
    <cellStyle name="_DEM-WP(C) Costs not in AURORA 2007GRC_16.37E Wild Horse Expansion DeferralRevwrkingfile SF 2 3" xfId="5805"/>
    <cellStyle name="_DEM-WP(C) Costs not in AURORA 2007GRC_16.37E Wild Horse Expansion DeferralRevwrkingfile SF 3" xfId="5806"/>
    <cellStyle name="_DEM-WP(C) Costs not in AURORA 2007GRC_16.37E Wild Horse Expansion DeferralRevwrkingfile SF 3 2" xfId="5807"/>
    <cellStyle name="_DEM-WP(C) Costs not in AURORA 2007GRC_16.37E Wild Horse Expansion DeferralRevwrkingfile SF 4" xfId="5808"/>
    <cellStyle name="_DEM-WP(C) Costs not in AURORA 2007GRC_16.37E Wild Horse Expansion DeferralRevwrkingfile SF_DEM-WP(C) ENERG10C--ctn Mid-C_042010 2010GRC" xfId="5809"/>
    <cellStyle name="_DEM-WP(C) Costs not in AURORA 2007GRC_16.37E Wild Horse Expansion DeferralRevwrkingfile SF_DEM-WP(C) ENERG10C--ctn Mid-C_042010 2010GRC 2" xfId="5810"/>
    <cellStyle name="_DEM-WP(C) Costs not in AURORA 2007GRC_2009 GRC Compl Filing - Exhibit D" xfId="5811"/>
    <cellStyle name="_DEM-WP(C) Costs not in AURORA 2007GRC_2009 GRC Compl Filing - Exhibit D 2" xfId="5812"/>
    <cellStyle name="_DEM-WP(C) Costs not in AURORA 2007GRC_2009 GRC Compl Filing - Exhibit D 2 2" xfId="5813"/>
    <cellStyle name="_DEM-WP(C) Costs not in AURORA 2007GRC_2009 GRC Compl Filing - Exhibit D 2 2 2" xfId="5814"/>
    <cellStyle name="_DEM-WP(C) Costs not in AURORA 2007GRC_2009 GRC Compl Filing - Exhibit D 2 3" xfId="5815"/>
    <cellStyle name="_DEM-WP(C) Costs not in AURORA 2007GRC_2009 GRC Compl Filing - Exhibit D 3" xfId="5816"/>
    <cellStyle name="_DEM-WP(C) Costs not in AURORA 2007GRC_2009 GRC Compl Filing - Exhibit D 3 2" xfId="5817"/>
    <cellStyle name="_DEM-WP(C) Costs not in AURORA 2007GRC_2009 GRC Compl Filing - Exhibit D 4" xfId="5818"/>
    <cellStyle name="_DEM-WP(C) Costs not in AURORA 2007GRC_2009 GRC Compl Filing - Exhibit D_DEM-WP(C) ENERG10C--ctn Mid-C_042010 2010GRC" xfId="5819"/>
    <cellStyle name="_DEM-WP(C) Costs not in AURORA 2007GRC_2009 GRC Compl Filing - Exhibit D_DEM-WP(C) ENERG10C--ctn Mid-C_042010 2010GRC 2" xfId="5820"/>
    <cellStyle name="_DEM-WP(C) Costs not in AURORA 2007GRC_Adj Bench DR 3 for Initial Briefs (Electric)" xfId="5821"/>
    <cellStyle name="_DEM-WP(C) Costs not in AURORA 2007GRC_Adj Bench DR 3 for Initial Briefs (Electric) 2" xfId="5822"/>
    <cellStyle name="_DEM-WP(C) Costs not in AURORA 2007GRC_Adj Bench DR 3 for Initial Briefs (Electric) 2 2" xfId="5823"/>
    <cellStyle name="_DEM-WP(C) Costs not in AURORA 2007GRC_Adj Bench DR 3 for Initial Briefs (Electric) 2 2 2" xfId="5824"/>
    <cellStyle name="_DEM-WP(C) Costs not in AURORA 2007GRC_Adj Bench DR 3 for Initial Briefs (Electric) 2 3" xfId="5825"/>
    <cellStyle name="_DEM-WP(C) Costs not in AURORA 2007GRC_Adj Bench DR 3 for Initial Briefs (Electric) 3" xfId="5826"/>
    <cellStyle name="_DEM-WP(C) Costs not in AURORA 2007GRC_Adj Bench DR 3 for Initial Briefs (Electric) 3 2" xfId="5827"/>
    <cellStyle name="_DEM-WP(C) Costs not in AURORA 2007GRC_Adj Bench DR 3 for Initial Briefs (Electric) 4" xfId="5828"/>
    <cellStyle name="_DEM-WP(C) Costs not in AURORA 2007GRC_Adj Bench DR 3 for Initial Briefs (Electric)_DEM-WP(C) ENERG10C--ctn Mid-C_042010 2010GRC" xfId="5829"/>
    <cellStyle name="_DEM-WP(C) Costs not in AURORA 2007GRC_Adj Bench DR 3 for Initial Briefs (Electric)_DEM-WP(C) ENERG10C--ctn Mid-C_042010 2010GRC 2" xfId="5830"/>
    <cellStyle name="_DEM-WP(C) Costs not in AURORA 2007GRC_Book1" xfId="5831"/>
    <cellStyle name="_DEM-WP(C) Costs not in AURORA 2007GRC_Book1 2" xfId="5832"/>
    <cellStyle name="_DEM-WP(C) Costs not in AURORA 2007GRC_Book2" xfId="5833"/>
    <cellStyle name="_DEM-WP(C) Costs not in AURORA 2007GRC_Book2 2" xfId="5834"/>
    <cellStyle name="_DEM-WP(C) Costs not in AURORA 2007GRC_Book2 2 2" xfId="5835"/>
    <cellStyle name="_DEM-WP(C) Costs not in AURORA 2007GRC_Book2 2 2 2" xfId="5836"/>
    <cellStyle name="_DEM-WP(C) Costs not in AURORA 2007GRC_Book2 2 3" xfId="5837"/>
    <cellStyle name="_DEM-WP(C) Costs not in AURORA 2007GRC_Book2 3" xfId="5838"/>
    <cellStyle name="_DEM-WP(C) Costs not in AURORA 2007GRC_Book2 3 2" xfId="5839"/>
    <cellStyle name="_DEM-WP(C) Costs not in AURORA 2007GRC_Book2 4" xfId="5840"/>
    <cellStyle name="_DEM-WP(C) Costs not in AURORA 2007GRC_Book2_DEM-WP(C) ENERG10C--ctn Mid-C_042010 2010GRC" xfId="5841"/>
    <cellStyle name="_DEM-WP(C) Costs not in AURORA 2007GRC_Book2_DEM-WP(C) ENERG10C--ctn Mid-C_042010 2010GRC 2" xfId="5842"/>
    <cellStyle name="_DEM-WP(C) Costs not in AURORA 2007GRC_Book4" xfId="5843"/>
    <cellStyle name="_DEM-WP(C) Costs not in AURORA 2007GRC_Book4 2" xfId="5844"/>
    <cellStyle name="_DEM-WP(C) Costs not in AURORA 2007GRC_Book4 2 2" xfId="5845"/>
    <cellStyle name="_DEM-WP(C) Costs not in AURORA 2007GRC_Book4 2 2 2" xfId="5846"/>
    <cellStyle name="_DEM-WP(C) Costs not in AURORA 2007GRC_Book4 2 3" xfId="5847"/>
    <cellStyle name="_DEM-WP(C) Costs not in AURORA 2007GRC_Book4 3" xfId="5848"/>
    <cellStyle name="_DEM-WP(C) Costs not in AURORA 2007GRC_Book4 3 2" xfId="5849"/>
    <cellStyle name="_DEM-WP(C) Costs not in AURORA 2007GRC_Book4 4" xfId="5850"/>
    <cellStyle name="_DEM-WP(C) Costs not in AURORA 2007GRC_Book4_DEM-WP(C) ENERG10C--ctn Mid-C_042010 2010GRC" xfId="5851"/>
    <cellStyle name="_DEM-WP(C) Costs not in AURORA 2007GRC_Book4_DEM-WP(C) ENERG10C--ctn Mid-C_042010 2010GRC 2" xfId="5852"/>
    <cellStyle name="_DEM-WP(C) Costs not in AURORA 2007GRC_DEM-WP(C) ENERG10C--ctn Mid-C_042010 2010GRC" xfId="5853"/>
    <cellStyle name="_DEM-WP(C) Costs not in AURORA 2007GRC_DEM-WP(C) ENERG10C--ctn Mid-C_042010 2010GRC 2" xfId="5854"/>
    <cellStyle name="_DEM-WP(C) Costs not in AURORA 2007GRC_Electric Rev Req Model (2009 GRC) " xfId="5855"/>
    <cellStyle name="_DEM-WP(C) Costs not in AURORA 2007GRC_Electric Rev Req Model (2009 GRC)  2" xfId="5856"/>
    <cellStyle name="_DEM-WP(C) Costs not in AURORA 2007GRC_Electric Rev Req Model (2009 GRC)  2 2" xfId="5857"/>
    <cellStyle name="_DEM-WP(C) Costs not in AURORA 2007GRC_Electric Rev Req Model (2009 GRC)  2 2 2" xfId="5858"/>
    <cellStyle name="_DEM-WP(C) Costs not in AURORA 2007GRC_Electric Rev Req Model (2009 GRC)  2 3" xfId="5859"/>
    <cellStyle name="_DEM-WP(C) Costs not in AURORA 2007GRC_Electric Rev Req Model (2009 GRC)  3" xfId="5860"/>
    <cellStyle name="_DEM-WP(C) Costs not in AURORA 2007GRC_Electric Rev Req Model (2009 GRC)  3 2" xfId="5861"/>
    <cellStyle name="_DEM-WP(C) Costs not in AURORA 2007GRC_Electric Rev Req Model (2009 GRC)  4" xfId="5862"/>
    <cellStyle name="_DEM-WP(C) Costs not in AURORA 2007GRC_Electric Rev Req Model (2009 GRC) _DEM-WP(C) ENERG10C--ctn Mid-C_042010 2010GRC" xfId="5863"/>
    <cellStyle name="_DEM-WP(C) Costs not in AURORA 2007GRC_Electric Rev Req Model (2009 GRC) _DEM-WP(C) ENERG10C--ctn Mid-C_042010 2010GRC 2" xfId="5864"/>
    <cellStyle name="_DEM-WP(C) Costs not in AURORA 2007GRC_Electric Rev Req Model (2009 GRC) Rebuttal" xfId="5865"/>
    <cellStyle name="_DEM-WP(C) Costs not in AURORA 2007GRC_Electric Rev Req Model (2009 GRC) Rebuttal 2" xfId="5866"/>
    <cellStyle name="_DEM-WP(C) Costs not in AURORA 2007GRC_Electric Rev Req Model (2009 GRC) Rebuttal 2 2" xfId="5867"/>
    <cellStyle name="_DEM-WP(C) Costs not in AURORA 2007GRC_Electric Rev Req Model (2009 GRC) Rebuttal 3" xfId="5868"/>
    <cellStyle name="_DEM-WP(C) Costs not in AURORA 2007GRC_Electric Rev Req Model (2009 GRC) Rebuttal REmoval of New  WH Solar AdjustMI" xfId="5869"/>
    <cellStyle name="_DEM-WP(C) Costs not in AURORA 2007GRC_Electric Rev Req Model (2009 GRC) Rebuttal REmoval of New  WH Solar AdjustMI 2" xfId="5870"/>
    <cellStyle name="_DEM-WP(C) Costs not in AURORA 2007GRC_Electric Rev Req Model (2009 GRC) Rebuttal REmoval of New  WH Solar AdjustMI 2 2" xfId="5871"/>
    <cellStyle name="_DEM-WP(C) Costs not in AURORA 2007GRC_Electric Rev Req Model (2009 GRC) Rebuttal REmoval of New  WH Solar AdjustMI 2 2 2" xfId="5872"/>
    <cellStyle name="_DEM-WP(C) Costs not in AURORA 2007GRC_Electric Rev Req Model (2009 GRC) Rebuttal REmoval of New  WH Solar AdjustMI 2 3" xfId="5873"/>
    <cellStyle name="_DEM-WP(C) Costs not in AURORA 2007GRC_Electric Rev Req Model (2009 GRC) Rebuttal REmoval of New  WH Solar AdjustMI 3" xfId="5874"/>
    <cellStyle name="_DEM-WP(C) Costs not in AURORA 2007GRC_Electric Rev Req Model (2009 GRC) Rebuttal REmoval of New  WH Solar AdjustMI 3 2" xfId="5875"/>
    <cellStyle name="_DEM-WP(C) Costs not in AURORA 2007GRC_Electric Rev Req Model (2009 GRC) Rebuttal REmoval of New  WH Solar AdjustMI 4" xfId="5876"/>
    <cellStyle name="_DEM-WP(C) Costs not in AURORA 2007GRC_Electric Rev Req Model (2009 GRC) Rebuttal REmoval of New  WH Solar AdjustMI_DEM-WP(C) ENERG10C--ctn Mid-C_042010 2010GRC" xfId="5877"/>
    <cellStyle name="_DEM-WP(C) Costs not in AURORA 2007GRC_Electric Rev Req Model (2009 GRC) Rebuttal REmoval of New  WH Solar AdjustMI_DEM-WP(C) ENERG10C--ctn Mid-C_042010 2010GRC 2" xfId="5878"/>
    <cellStyle name="_DEM-WP(C) Costs not in AURORA 2007GRC_Electric Rev Req Model (2009 GRC) Revised 01-18-2010" xfId="5879"/>
    <cellStyle name="_DEM-WP(C) Costs not in AURORA 2007GRC_Electric Rev Req Model (2009 GRC) Revised 01-18-2010 2" xfId="5880"/>
    <cellStyle name="_DEM-WP(C) Costs not in AURORA 2007GRC_Electric Rev Req Model (2009 GRC) Revised 01-18-2010 2 2" xfId="5881"/>
    <cellStyle name="_DEM-WP(C) Costs not in AURORA 2007GRC_Electric Rev Req Model (2009 GRC) Revised 01-18-2010 2 2 2" xfId="5882"/>
    <cellStyle name="_DEM-WP(C) Costs not in AURORA 2007GRC_Electric Rev Req Model (2009 GRC) Revised 01-18-2010 2 3" xfId="5883"/>
    <cellStyle name="_DEM-WP(C) Costs not in AURORA 2007GRC_Electric Rev Req Model (2009 GRC) Revised 01-18-2010 3" xfId="5884"/>
    <cellStyle name="_DEM-WP(C) Costs not in AURORA 2007GRC_Electric Rev Req Model (2009 GRC) Revised 01-18-2010 3 2" xfId="5885"/>
    <cellStyle name="_DEM-WP(C) Costs not in AURORA 2007GRC_Electric Rev Req Model (2009 GRC) Revised 01-18-2010 4" xfId="5886"/>
    <cellStyle name="_DEM-WP(C) Costs not in AURORA 2007GRC_Electric Rev Req Model (2009 GRC) Revised 01-18-2010_DEM-WP(C) ENERG10C--ctn Mid-C_042010 2010GRC" xfId="5887"/>
    <cellStyle name="_DEM-WP(C) Costs not in AURORA 2007GRC_Electric Rev Req Model (2009 GRC) Revised 01-18-2010_DEM-WP(C) ENERG10C--ctn Mid-C_042010 2010GRC 2" xfId="5888"/>
    <cellStyle name="_DEM-WP(C) Costs not in AURORA 2007GRC_Electric Rev Req Model (2010 GRC)" xfId="5889"/>
    <cellStyle name="_DEM-WP(C) Costs not in AURORA 2007GRC_Electric Rev Req Model (2010 GRC) 2" xfId="5890"/>
    <cellStyle name="_DEM-WP(C) Costs not in AURORA 2007GRC_Electric Rev Req Model (2010 GRC) SF" xfId="5891"/>
    <cellStyle name="_DEM-WP(C) Costs not in AURORA 2007GRC_Electric Rev Req Model (2010 GRC) SF 2" xfId="5892"/>
    <cellStyle name="_DEM-WP(C) Costs not in AURORA 2007GRC_Final Order Electric EXHIBIT A-1" xfId="5893"/>
    <cellStyle name="_DEM-WP(C) Costs not in AURORA 2007GRC_Final Order Electric EXHIBIT A-1 2" xfId="5894"/>
    <cellStyle name="_DEM-WP(C) Costs not in AURORA 2007GRC_Final Order Electric EXHIBIT A-1 2 2" xfId="5895"/>
    <cellStyle name="_DEM-WP(C) Costs not in AURORA 2007GRC_Final Order Electric EXHIBIT A-1 3" xfId="5896"/>
    <cellStyle name="_DEM-WP(C) Costs not in AURORA 2007GRC_NIM Summary" xfId="5897"/>
    <cellStyle name="_DEM-WP(C) Costs not in AURORA 2007GRC_NIM Summary 2" xfId="5898"/>
    <cellStyle name="_DEM-WP(C) Costs not in AURORA 2007GRC_NIM Summary 2 2" xfId="5899"/>
    <cellStyle name="_DEM-WP(C) Costs not in AURORA 2007GRC_NIM Summary 2 2 2" xfId="5900"/>
    <cellStyle name="_DEM-WP(C) Costs not in AURORA 2007GRC_NIM Summary 2 3" xfId="5901"/>
    <cellStyle name="_DEM-WP(C) Costs not in AURORA 2007GRC_NIM Summary 3" xfId="5902"/>
    <cellStyle name="_DEM-WP(C) Costs not in AURORA 2007GRC_NIM Summary 3 2" xfId="5903"/>
    <cellStyle name="_DEM-WP(C) Costs not in AURORA 2007GRC_NIM Summary 4" xfId="5904"/>
    <cellStyle name="_DEM-WP(C) Costs not in AURORA 2007GRC_NIM Summary_DEM-WP(C) ENERG10C--ctn Mid-C_042010 2010GRC" xfId="5905"/>
    <cellStyle name="_DEM-WP(C) Costs not in AURORA 2007GRC_NIM Summary_DEM-WP(C) ENERG10C--ctn Mid-C_042010 2010GRC 2" xfId="5906"/>
    <cellStyle name="_DEM-WP(C) Costs not in AURORA 2007GRC_NIM+O&amp;M Monthly" xfId="5907"/>
    <cellStyle name="_DEM-WP(C) Costs not in AURORA 2007GRC_NIM+O&amp;M Monthly 2" xfId="5908"/>
    <cellStyle name="_DEM-WP(C) Costs not in AURORA 2007GRC_Power Costs - Comparison bx Rbtl-Staff-Jt-PC" xfId="5909"/>
    <cellStyle name="_DEM-WP(C) Costs not in AURORA 2007GRC_Power Costs - Comparison bx Rbtl-Staff-Jt-PC 2" xfId="5910"/>
    <cellStyle name="_DEM-WP(C) Costs not in AURORA 2007GRC_Power Costs - Comparison bx Rbtl-Staff-Jt-PC 2 2" xfId="5911"/>
    <cellStyle name="_DEM-WP(C) Costs not in AURORA 2007GRC_Power Costs - Comparison bx Rbtl-Staff-Jt-PC 2 2 2" xfId="5912"/>
    <cellStyle name="_DEM-WP(C) Costs not in AURORA 2007GRC_Power Costs - Comparison bx Rbtl-Staff-Jt-PC 2 3" xfId="5913"/>
    <cellStyle name="_DEM-WP(C) Costs not in AURORA 2007GRC_Power Costs - Comparison bx Rbtl-Staff-Jt-PC 3" xfId="5914"/>
    <cellStyle name="_DEM-WP(C) Costs not in AURORA 2007GRC_Power Costs - Comparison bx Rbtl-Staff-Jt-PC 3 2" xfId="5915"/>
    <cellStyle name="_DEM-WP(C) Costs not in AURORA 2007GRC_Power Costs - Comparison bx Rbtl-Staff-Jt-PC 4" xfId="5916"/>
    <cellStyle name="_DEM-WP(C) Costs not in AURORA 2007GRC_Power Costs - Comparison bx Rbtl-Staff-Jt-PC_DEM-WP(C) ENERG10C--ctn Mid-C_042010 2010GRC" xfId="5917"/>
    <cellStyle name="_DEM-WP(C) Costs not in AURORA 2007GRC_Power Costs - Comparison bx Rbtl-Staff-Jt-PC_DEM-WP(C) ENERG10C--ctn Mid-C_042010 2010GRC 2" xfId="5918"/>
    <cellStyle name="_DEM-WP(C) Costs not in AURORA 2007GRC_Rebuttal Power Costs" xfId="5919"/>
    <cellStyle name="_DEM-WP(C) Costs not in AURORA 2007GRC_Rebuttal Power Costs 2" xfId="5920"/>
    <cellStyle name="_DEM-WP(C) Costs not in AURORA 2007GRC_Rebuttal Power Costs 2 2" xfId="5921"/>
    <cellStyle name="_DEM-WP(C) Costs not in AURORA 2007GRC_Rebuttal Power Costs 2 2 2" xfId="5922"/>
    <cellStyle name="_DEM-WP(C) Costs not in AURORA 2007GRC_Rebuttal Power Costs 2 3" xfId="5923"/>
    <cellStyle name="_DEM-WP(C) Costs not in AURORA 2007GRC_Rebuttal Power Costs 3" xfId="5924"/>
    <cellStyle name="_DEM-WP(C) Costs not in AURORA 2007GRC_Rebuttal Power Costs 3 2" xfId="5925"/>
    <cellStyle name="_DEM-WP(C) Costs not in AURORA 2007GRC_Rebuttal Power Costs 4" xfId="5926"/>
    <cellStyle name="_DEM-WP(C) Costs not in AURORA 2007GRC_Rebuttal Power Costs_DEM-WP(C) ENERG10C--ctn Mid-C_042010 2010GRC" xfId="5927"/>
    <cellStyle name="_DEM-WP(C) Costs not in AURORA 2007GRC_Rebuttal Power Costs_DEM-WP(C) ENERG10C--ctn Mid-C_042010 2010GRC 2" xfId="5928"/>
    <cellStyle name="_DEM-WP(C) Costs not in AURORA 2007GRC_TENASKA REGULATORY ASSET" xfId="5929"/>
    <cellStyle name="_DEM-WP(C) Costs not in AURORA 2007GRC_TENASKA REGULATORY ASSET 2" xfId="5930"/>
    <cellStyle name="_DEM-WP(C) Costs not in AURORA 2007GRC_TENASKA REGULATORY ASSET 2 2" xfId="5931"/>
    <cellStyle name="_DEM-WP(C) Costs not in AURORA 2007GRC_TENASKA REGULATORY ASSET 3" xfId="5932"/>
    <cellStyle name="_DEM-WP(C) Costs not in AURORA 2007PCORC" xfId="5933"/>
    <cellStyle name="_DEM-WP(C) Costs not in AURORA 2007PCORC 2" xfId="5934"/>
    <cellStyle name="_DEM-WP(C) Costs not in AURORA 2007PCORC 2 2" xfId="5935"/>
    <cellStyle name="_DEM-WP(C) Costs not in AURORA 2007PCORC 2 2 2" xfId="5936"/>
    <cellStyle name="_DEM-WP(C) Costs not in AURORA 2007PCORC 2 3" xfId="5937"/>
    <cellStyle name="_DEM-WP(C) Costs not in AURORA 2007PCORC 3" xfId="5938"/>
    <cellStyle name="_DEM-WP(C) Costs not in AURORA 2007PCORC 3 2" xfId="5939"/>
    <cellStyle name="_DEM-WP(C) Costs not in AURORA 2007PCORC 4" xfId="5940"/>
    <cellStyle name="_DEM-WP(C) Costs not in AURORA 2007PCORC_Chelan PUD Power Costs (8-10)" xfId="5941"/>
    <cellStyle name="_DEM-WP(C) Costs not in AURORA 2007PCORC_Chelan PUD Power Costs (8-10) 2" xfId="5942"/>
    <cellStyle name="_DEM-WP(C) Costs not in AURORA 2007PCORC_DEM-WP(C) ENERG10C--ctn Mid-C_042010 2010GRC" xfId="5943"/>
    <cellStyle name="_DEM-WP(C) Costs not in AURORA 2007PCORC_DEM-WP(C) ENERG10C--ctn Mid-C_042010 2010GRC 2" xfId="5944"/>
    <cellStyle name="_DEM-WP(C) Costs not in AURORA 2007PCORC_NIM Summary" xfId="5945"/>
    <cellStyle name="_DEM-WP(C) Costs not in AURORA 2007PCORC_NIM Summary 2" xfId="5946"/>
    <cellStyle name="_DEM-WP(C) Costs not in AURORA 2007PCORC_NIM Summary 2 2" xfId="5947"/>
    <cellStyle name="_DEM-WP(C) Costs not in AURORA 2007PCORC_NIM Summary 2 2 2" xfId="5948"/>
    <cellStyle name="_DEM-WP(C) Costs not in AURORA 2007PCORC_NIM Summary 2 3" xfId="5949"/>
    <cellStyle name="_DEM-WP(C) Costs not in AURORA 2007PCORC_NIM Summary 3" xfId="5950"/>
    <cellStyle name="_DEM-WP(C) Costs not in AURORA 2007PCORC_NIM Summary 3 2" xfId="5951"/>
    <cellStyle name="_DEM-WP(C) Costs not in AURORA 2007PCORC_NIM Summary 4" xfId="5952"/>
    <cellStyle name="_DEM-WP(C) Costs not in AURORA 2007PCORC_NIM Summary_DEM-WP(C) ENERG10C--ctn Mid-C_042010 2010GRC" xfId="5953"/>
    <cellStyle name="_DEM-WP(C) Costs not in AURORA 2007PCORC_NIM Summary_DEM-WP(C) ENERG10C--ctn Mid-C_042010 2010GRC 2" xfId="5954"/>
    <cellStyle name="_DEM-WP(C) Costs not in AURORA 2007PCORC-5.07Update" xfId="5955"/>
    <cellStyle name="_DEM-WP(C) Costs not in AURORA 2007PCORC-5.07Update 2" xfId="5956"/>
    <cellStyle name="_DEM-WP(C) Costs not in AURORA 2007PCORC-5.07Update 2 2" xfId="5957"/>
    <cellStyle name="_DEM-WP(C) Costs not in AURORA 2007PCORC-5.07Update 2 2 2" xfId="5958"/>
    <cellStyle name="_DEM-WP(C) Costs not in AURORA 2007PCORC-5.07Update 2 3" xfId="5959"/>
    <cellStyle name="_DEM-WP(C) Costs not in AURORA 2007PCORC-5.07Update 3" xfId="5960"/>
    <cellStyle name="_DEM-WP(C) Costs not in AURORA 2007PCORC-5.07Update 3 2" xfId="5961"/>
    <cellStyle name="_DEM-WP(C) Costs not in AURORA 2007PCORC-5.07Update 4" xfId="5962"/>
    <cellStyle name="_DEM-WP(C) Costs not in AURORA 2007PCORC-5.07Update 4 2" xfId="5963"/>
    <cellStyle name="_DEM-WP(C) Costs not in AURORA 2007PCORC-5.07Update 5" xfId="5964"/>
    <cellStyle name="_DEM-WP(C) Costs not in AURORA 2007PCORC-5.07Update 5 2" xfId="5965"/>
    <cellStyle name="_DEM-WP(C) Costs not in AURORA 2007PCORC-5.07Update 6" xfId="5966"/>
    <cellStyle name="_DEM-WP(C) Costs not in AURORA 2007PCORC-5.07Update 6 2" xfId="5967"/>
    <cellStyle name="_DEM-WP(C) Costs not in AURORA 2007PCORC-5.07Update_16.37E Wild Horse Expansion DeferralRevwrkingfile SF" xfId="5968"/>
    <cellStyle name="_DEM-WP(C) Costs not in AURORA 2007PCORC-5.07Update_16.37E Wild Horse Expansion DeferralRevwrkingfile SF 2" xfId="5969"/>
    <cellStyle name="_DEM-WP(C) Costs not in AURORA 2007PCORC-5.07Update_16.37E Wild Horse Expansion DeferralRevwrkingfile SF 2 2" xfId="5970"/>
    <cellStyle name="_DEM-WP(C) Costs not in AURORA 2007PCORC-5.07Update_16.37E Wild Horse Expansion DeferralRevwrkingfile SF 2 2 2" xfId="5971"/>
    <cellStyle name="_DEM-WP(C) Costs not in AURORA 2007PCORC-5.07Update_16.37E Wild Horse Expansion DeferralRevwrkingfile SF 2 3" xfId="5972"/>
    <cellStyle name="_DEM-WP(C) Costs not in AURORA 2007PCORC-5.07Update_16.37E Wild Horse Expansion DeferralRevwrkingfile SF 3" xfId="5973"/>
    <cellStyle name="_DEM-WP(C) Costs not in AURORA 2007PCORC-5.07Update_16.37E Wild Horse Expansion DeferralRevwrkingfile SF 3 2" xfId="5974"/>
    <cellStyle name="_DEM-WP(C) Costs not in AURORA 2007PCORC-5.07Update_16.37E Wild Horse Expansion DeferralRevwrkingfile SF 4" xfId="5975"/>
    <cellStyle name="_DEM-WP(C) Costs not in AURORA 2007PCORC-5.07Update_16.37E Wild Horse Expansion DeferralRevwrkingfile SF_DEM-WP(C) ENERG10C--ctn Mid-C_042010 2010GRC" xfId="5976"/>
    <cellStyle name="_DEM-WP(C) Costs not in AURORA 2007PCORC-5.07Update_16.37E Wild Horse Expansion DeferralRevwrkingfile SF_DEM-WP(C) ENERG10C--ctn Mid-C_042010 2010GRC 2" xfId="5977"/>
    <cellStyle name="_DEM-WP(C) Costs not in AURORA 2007PCORC-5.07Update_2009 GRC Compl Filing - Exhibit D" xfId="5978"/>
    <cellStyle name="_DEM-WP(C) Costs not in AURORA 2007PCORC-5.07Update_2009 GRC Compl Filing - Exhibit D 2" xfId="5979"/>
    <cellStyle name="_DEM-WP(C) Costs not in AURORA 2007PCORC-5.07Update_2009 GRC Compl Filing - Exhibit D 2 2" xfId="5980"/>
    <cellStyle name="_DEM-WP(C) Costs not in AURORA 2007PCORC-5.07Update_2009 GRC Compl Filing - Exhibit D 2 2 2" xfId="5981"/>
    <cellStyle name="_DEM-WP(C) Costs not in AURORA 2007PCORC-5.07Update_2009 GRC Compl Filing - Exhibit D 2 3" xfId="5982"/>
    <cellStyle name="_DEM-WP(C) Costs not in AURORA 2007PCORC-5.07Update_2009 GRC Compl Filing - Exhibit D 3" xfId="5983"/>
    <cellStyle name="_DEM-WP(C) Costs not in AURORA 2007PCORC-5.07Update_2009 GRC Compl Filing - Exhibit D 3 2" xfId="5984"/>
    <cellStyle name="_DEM-WP(C) Costs not in AURORA 2007PCORC-5.07Update_2009 GRC Compl Filing - Exhibit D 4" xfId="5985"/>
    <cellStyle name="_DEM-WP(C) Costs not in AURORA 2007PCORC-5.07Update_2009 GRC Compl Filing - Exhibit D_DEM-WP(C) ENERG10C--ctn Mid-C_042010 2010GRC" xfId="5986"/>
    <cellStyle name="_DEM-WP(C) Costs not in AURORA 2007PCORC-5.07Update_2009 GRC Compl Filing - Exhibit D_DEM-WP(C) ENERG10C--ctn Mid-C_042010 2010GRC 2" xfId="5987"/>
    <cellStyle name="_DEM-WP(C) Costs not in AURORA 2007PCORC-5.07Update_Adj Bench DR 3 for Initial Briefs (Electric)" xfId="5988"/>
    <cellStyle name="_DEM-WP(C) Costs not in AURORA 2007PCORC-5.07Update_Adj Bench DR 3 for Initial Briefs (Electric) 2" xfId="5989"/>
    <cellStyle name="_DEM-WP(C) Costs not in AURORA 2007PCORC-5.07Update_Adj Bench DR 3 for Initial Briefs (Electric) 2 2" xfId="5990"/>
    <cellStyle name="_DEM-WP(C) Costs not in AURORA 2007PCORC-5.07Update_Adj Bench DR 3 for Initial Briefs (Electric) 2 2 2" xfId="5991"/>
    <cellStyle name="_DEM-WP(C) Costs not in AURORA 2007PCORC-5.07Update_Adj Bench DR 3 for Initial Briefs (Electric) 2 3" xfId="5992"/>
    <cellStyle name="_DEM-WP(C) Costs not in AURORA 2007PCORC-5.07Update_Adj Bench DR 3 for Initial Briefs (Electric) 3" xfId="5993"/>
    <cellStyle name="_DEM-WP(C) Costs not in AURORA 2007PCORC-5.07Update_Adj Bench DR 3 for Initial Briefs (Electric) 3 2" xfId="5994"/>
    <cellStyle name="_DEM-WP(C) Costs not in AURORA 2007PCORC-5.07Update_Adj Bench DR 3 for Initial Briefs (Electric) 4" xfId="5995"/>
    <cellStyle name="_DEM-WP(C) Costs not in AURORA 2007PCORC-5.07Update_Adj Bench DR 3 for Initial Briefs (Electric)_DEM-WP(C) ENERG10C--ctn Mid-C_042010 2010GRC" xfId="5996"/>
    <cellStyle name="_DEM-WP(C) Costs not in AURORA 2007PCORC-5.07Update_Adj Bench DR 3 for Initial Briefs (Electric)_DEM-WP(C) ENERG10C--ctn Mid-C_042010 2010GRC 2" xfId="5997"/>
    <cellStyle name="_DEM-WP(C) Costs not in AURORA 2007PCORC-5.07Update_Book1" xfId="5998"/>
    <cellStyle name="_DEM-WP(C) Costs not in AURORA 2007PCORC-5.07Update_Book1 2" xfId="5999"/>
    <cellStyle name="_DEM-WP(C) Costs not in AURORA 2007PCORC-5.07Update_Book2" xfId="6000"/>
    <cellStyle name="_DEM-WP(C) Costs not in AURORA 2007PCORC-5.07Update_Book2 2" xfId="6001"/>
    <cellStyle name="_DEM-WP(C) Costs not in AURORA 2007PCORC-5.07Update_Book2 2 2" xfId="6002"/>
    <cellStyle name="_DEM-WP(C) Costs not in AURORA 2007PCORC-5.07Update_Book2 2 2 2" xfId="6003"/>
    <cellStyle name="_DEM-WP(C) Costs not in AURORA 2007PCORC-5.07Update_Book2 2 3" xfId="6004"/>
    <cellStyle name="_DEM-WP(C) Costs not in AURORA 2007PCORC-5.07Update_Book2 3" xfId="6005"/>
    <cellStyle name="_DEM-WP(C) Costs not in AURORA 2007PCORC-5.07Update_Book2 3 2" xfId="6006"/>
    <cellStyle name="_DEM-WP(C) Costs not in AURORA 2007PCORC-5.07Update_Book2 4" xfId="6007"/>
    <cellStyle name="_DEM-WP(C) Costs not in AURORA 2007PCORC-5.07Update_Book2_DEM-WP(C) ENERG10C--ctn Mid-C_042010 2010GRC" xfId="6008"/>
    <cellStyle name="_DEM-WP(C) Costs not in AURORA 2007PCORC-5.07Update_Book2_DEM-WP(C) ENERG10C--ctn Mid-C_042010 2010GRC 2" xfId="6009"/>
    <cellStyle name="_DEM-WP(C) Costs not in AURORA 2007PCORC-5.07Update_Book4" xfId="6010"/>
    <cellStyle name="_DEM-WP(C) Costs not in AURORA 2007PCORC-5.07Update_Book4 2" xfId="6011"/>
    <cellStyle name="_DEM-WP(C) Costs not in AURORA 2007PCORC-5.07Update_Book4 2 2" xfId="6012"/>
    <cellStyle name="_DEM-WP(C) Costs not in AURORA 2007PCORC-5.07Update_Book4 2 2 2" xfId="6013"/>
    <cellStyle name="_DEM-WP(C) Costs not in AURORA 2007PCORC-5.07Update_Book4 2 3" xfId="6014"/>
    <cellStyle name="_DEM-WP(C) Costs not in AURORA 2007PCORC-5.07Update_Book4 3" xfId="6015"/>
    <cellStyle name="_DEM-WP(C) Costs not in AURORA 2007PCORC-5.07Update_Book4 3 2" xfId="6016"/>
    <cellStyle name="_DEM-WP(C) Costs not in AURORA 2007PCORC-5.07Update_Book4 4" xfId="6017"/>
    <cellStyle name="_DEM-WP(C) Costs not in AURORA 2007PCORC-5.07Update_Book4_DEM-WP(C) ENERG10C--ctn Mid-C_042010 2010GRC" xfId="6018"/>
    <cellStyle name="_DEM-WP(C) Costs not in AURORA 2007PCORC-5.07Update_Book4_DEM-WP(C) ENERG10C--ctn Mid-C_042010 2010GRC 2" xfId="6019"/>
    <cellStyle name="_DEM-WP(C) Costs not in AURORA 2007PCORC-5.07Update_Chelan PUD Power Costs (8-10)" xfId="6020"/>
    <cellStyle name="_DEM-WP(C) Costs not in AURORA 2007PCORC-5.07Update_Chelan PUD Power Costs (8-10) 2" xfId="6021"/>
    <cellStyle name="_DEM-WP(C) Costs not in AURORA 2007PCORC-5.07Update_Colstrip 1&amp;2 Annual O&amp;M Budgets" xfId="6022"/>
    <cellStyle name="_DEM-WP(C) Costs not in AURORA 2007PCORC-5.07Update_Colstrip 1&amp;2 Annual O&amp;M Budgets 2" xfId="6023"/>
    <cellStyle name="_DEM-WP(C) Costs not in AURORA 2007PCORC-5.07Update_Colstrip 1&amp;2 Annual O&amp;M Budgets 3" xfId="6024"/>
    <cellStyle name="_DEM-WP(C) Costs not in AURORA 2007PCORC-5.07Update_Confidential Material" xfId="6025"/>
    <cellStyle name="_DEM-WP(C) Costs not in AURORA 2007PCORC-5.07Update_Confidential Material 2" xfId="6026"/>
    <cellStyle name="_DEM-WP(C) Costs not in AURORA 2007PCORC-5.07Update_DEM-WP(C) Colstrip 12 Coal Cost Forecast 2010GRC" xfId="6027"/>
    <cellStyle name="_DEM-WP(C) Costs not in AURORA 2007PCORC-5.07Update_DEM-WP(C) Colstrip 12 Coal Cost Forecast 2010GRC 2" xfId="6028"/>
    <cellStyle name="_DEM-WP(C) Costs not in AURORA 2007PCORC-5.07Update_DEM-WP(C) ENERG10C--ctn Mid-C_042010 2010GRC" xfId="6029"/>
    <cellStyle name="_DEM-WP(C) Costs not in AURORA 2007PCORC-5.07Update_DEM-WP(C) ENERG10C--ctn Mid-C_042010 2010GRC 2" xfId="6030"/>
    <cellStyle name="_DEM-WP(C) Costs not in AURORA 2007PCORC-5.07Update_DEM-WP(C) Production O&amp;M 2009GRC Rebuttal" xfId="6031"/>
    <cellStyle name="_DEM-WP(C) Costs not in AURORA 2007PCORC-5.07Update_DEM-WP(C) Production O&amp;M 2009GRC Rebuttal 2" xfId="6032"/>
    <cellStyle name="_DEM-WP(C) Costs not in AURORA 2007PCORC-5.07Update_DEM-WP(C) Production O&amp;M 2009GRC Rebuttal 2 2" xfId="6033"/>
    <cellStyle name="_DEM-WP(C) Costs not in AURORA 2007PCORC-5.07Update_DEM-WP(C) Production O&amp;M 2009GRC Rebuttal 2 2 2" xfId="6034"/>
    <cellStyle name="_DEM-WP(C) Costs not in AURORA 2007PCORC-5.07Update_DEM-WP(C) Production O&amp;M 2009GRC Rebuttal 2 3" xfId="6035"/>
    <cellStyle name="_DEM-WP(C) Costs not in AURORA 2007PCORC-5.07Update_DEM-WP(C) Production O&amp;M 2009GRC Rebuttal 3" xfId="6036"/>
    <cellStyle name="_DEM-WP(C) Costs not in AURORA 2007PCORC-5.07Update_DEM-WP(C) Production O&amp;M 2009GRC Rebuttal 3 2" xfId="6037"/>
    <cellStyle name="_DEM-WP(C) Costs not in AURORA 2007PCORC-5.07Update_DEM-WP(C) Production O&amp;M 2009GRC Rebuttal 4" xfId="6038"/>
    <cellStyle name="_DEM-WP(C) Costs not in AURORA 2007PCORC-5.07Update_DEM-WP(C) Production O&amp;M 2009GRC Rebuttal_Adj Bench DR 3 for Initial Briefs (Electric)" xfId="6039"/>
    <cellStyle name="_DEM-WP(C) Costs not in AURORA 2007PCORC-5.07Update_DEM-WP(C) Production O&amp;M 2009GRC Rebuttal_Adj Bench DR 3 for Initial Briefs (Electric) 2" xfId="6040"/>
    <cellStyle name="_DEM-WP(C) Costs not in AURORA 2007PCORC-5.07Update_DEM-WP(C) Production O&amp;M 2009GRC Rebuttal_Adj Bench DR 3 for Initial Briefs (Electric) 2 2" xfId="6041"/>
    <cellStyle name="_DEM-WP(C) Costs not in AURORA 2007PCORC-5.07Update_DEM-WP(C) Production O&amp;M 2009GRC Rebuttal_Adj Bench DR 3 for Initial Briefs (Electric) 2 2 2" xfId="6042"/>
    <cellStyle name="_DEM-WP(C) Costs not in AURORA 2007PCORC-5.07Update_DEM-WP(C) Production O&amp;M 2009GRC Rebuttal_Adj Bench DR 3 for Initial Briefs (Electric) 2 3" xfId="6043"/>
    <cellStyle name="_DEM-WP(C) Costs not in AURORA 2007PCORC-5.07Update_DEM-WP(C) Production O&amp;M 2009GRC Rebuttal_Adj Bench DR 3 for Initial Briefs (Electric) 3" xfId="6044"/>
    <cellStyle name="_DEM-WP(C) Costs not in AURORA 2007PCORC-5.07Update_DEM-WP(C) Production O&amp;M 2009GRC Rebuttal_Adj Bench DR 3 for Initial Briefs (Electric) 3 2" xfId="6045"/>
    <cellStyle name="_DEM-WP(C) Costs not in AURORA 2007PCORC-5.07Update_DEM-WP(C) Production O&amp;M 2009GRC Rebuttal_Adj Bench DR 3 for Initial Briefs (Electric) 4" xfId="6046"/>
    <cellStyle name="_DEM-WP(C) Costs not in AURORA 2007PCORC-5.07Update_DEM-WP(C) Production O&amp;M 2009GRC Rebuttal_Adj Bench DR 3 for Initial Briefs (Electric)_DEM-WP(C) ENERG10C--ctn Mid-C_042010 2010GRC" xfId="6047"/>
    <cellStyle name="_DEM-WP(C) Costs not in AURORA 2007PCORC-5.07Update_DEM-WP(C) Production O&amp;M 2009GRC Rebuttal_Adj Bench DR 3 for Initial Briefs (Electric)_DEM-WP(C) ENERG10C--ctn Mid-C_042010 2010GRC 2" xfId="6048"/>
    <cellStyle name="_DEM-WP(C) Costs not in AURORA 2007PCORC-5.07Update_DEM-WP(C) Production O&amp;M 2009GRC Rebuttal_Book2" xfId="6049"/>
    <cellStyle name="_DEM-WP(C) Costs not in AURORA 2007PCORC-5.07Update_DEM-WP(C) Production O&amp;M 2009GRC Rebuttal_Book2 2" xfId="6050"/>
    <cellStyle name="_DEM-WP(C) Costs not in AURORA 2007PCORC-5.07Update_DEM-WP(C) Production O&amp;M 2009GRC Rebuttal_Book2 2 2" xfId="6051"/>
    <cellStyle name="_DEM-WP(C) Costs not in AURORA 2007PCORC-5.07Update_DEM-WP(C) Production O&amp;M 2009GRC Rebuttal_Book2 2 2 2" xfId="6052"/>
    <cellStyle name="_DEM-WP(C) Costs not in AURORA 2007PCORC-5.07Update_DEM-WP(C) Production O&amp;M 2009GRC Rebuttal_Book2 2 3" xfId="6053"/>
    <cellStyle name="_DEM-WP(C) Costs not in AURORA 2007PCORC-5.07Update_DEM-WP(C) Production O&amp;M 2009GRC Rebuttal_Book2 3" xfId="6054"/>
    <cellStyle name="_DEM-WP(C) Costs not in AURORA 2007PCORC-5.07Update_DEM-WP(C) Production O&amp;M 2009GRC Rebuttal_Book2 3 2" xfId="6055"/>
    <cellStyle name="_DEM-WP(C) Costs not in AURORA 2007PCORC-5.07Update_DEM-WP(C) Production O&amp;M 2009GRC Rebuttal_Book2 4" xfId="6056"/>
    <cellStyle name="_DEM-WP(C) Costs not in AURORA 2007PCORC-5.07Update_DEM-WP(C) Production O&amp;M 2009GRC Rebuttal_Book2_Adj Bench DR 3 for Initial Briefs (Electric)" xfId="6057"/>
    <cellStyle name="_DEM-WP(C) Costs not in AURORA 2007PCORC-5.07Update_DEM-WP(C) Production O&amp;M 2009GRC Rebuttal_Book2_Adj Bench DR 3 for Initial Briefs (Electric) 2" xfId="6058"/>
    <cellStyle name="_DEM-WP(C) Costs not in AURORA 2007PCORC-5.07Update_DEM-WP(C) Production O&amp;M 2009GRC Rebuttal_Book2_Adj Bench DR 3 for Initial Briefs (Electric) 2 2" xfId="6059"/>
    <cellStyle name="_DEM-WP(C) Costs not in AURORA 2007PCORC-5.07Update_DEM-WP(C) Production O&amp;M 2009GRC Rebuttal_Book2_Adj Bench DR 3 for Initial Briefs (Electric) 2 2 2" xfId="6060"/>
    <cellStyle name="_DEM-WP(C) Costs not in AURORA 2007PCORC-5.07Update_DEM-WP(C) Production O&amp;M 2009GRC Rebuttal_Book2_Adj Bench DR 3 for Initial Briefs (Electric) 2 3" xfId="6061"/>
    <cellStyle name="_DEM-WP(C) Costs not in AURORA 2007PCORC-5.07Update_DEM-WP(C) Production O&amp;M 2009GRC Rebuttal_Book2_Adj Bench DR 3 for Initial Briefs (Electric) 3" xfId="6062"/>
    <cellStyle name="_DEM-WP(C) Costs not in AURORA 2007PCORC-5.07Update_DEM-WP(C) Production O&amp;M 2009GRC Rebuttal_Book2_Adj Bench DR 3 for Initial Briefs (Electric) 3 2" xfId="6063"/>
    <cellStyle name="_DEM-WP(C) Costs not in AURORA 2007PCORC-5.07Update_DEM-WP(C) Production O&amp;M 2009GRC Rebuttal_Book2_Adj Bench DR 3 for Initial Briefs (Electric) 4" xfId="6064"/>
    <cellStyle name="_DEM-WP(C) Costs not in AURORA 2007PCORC-5.07Update_DEM-WP(C) Production O&amp;M 2009GRC Rebuttal_Book2_Adj Bench DR 3 for Initial Briefs (Electric)_DEM-WP(C) ENERG10C--ctn Mid-C_042010 2010GRC" xfId="6065"/>
    <cellStyle name="_DEM-WP(C) Costs not in AURORA 2007PCORC-5.07Update_DEM-WP(C) Production O&amp;M 2009GRC Rebuttal_Book2_Adj Bench DR 3 for Initial Briefs (Electric)_DEM-WP(C) ENERG10C--ctn Mid-C_042010 2010GRC 2" xfId="6066"/>
    <cellStyle name="_DEM-WP(C) Costs not in AURORA 2007PCORC-5.07Update_DEM-WP(C) Production O&amp;M 2009GRC Rebuttal_Book2_DEM-WP(C) ENERG10C--ctn Mid-C_042010 2010GRC" xfId="6067"/>
    <cellStyle name="_DEM-WP(C) Costs not in AURORA 2007PCORC-5.07Update_DEM-WP(C) Production O&amp;M 2009GRC Rebuttal_Book2_DEM-WP(C) ENERG10C--ctn Mid-C_042010 2010GRC 2" xfId="6068"/>
    <cellStyle name="_DEM-WP(C) Costs not in AURORA 2007PCORC-5.07Update_DEM-WP(C) Production O&amp;M 2009GRC Rebuttal_Book2_Electric Rev Req Model (2009 GRC) Rebuttal" xfId="6069"/>
    <cellStyle name="_DEM-WP(C) Costs not in AURORA 2007PCORC-5.07Update_DEM-WP(C) Production O&amp;M 2009GRC Rebuttal_Book2_Electric Rev Req Model (2009 GRC) Rebuttal 2" xfId="6070"/>
    <cellStyle name="_DEM-WP(C) Costs not in AURORA 2007PCORC-5.07Update_DEM-WP(C) Production O&amp;M 2009GRC Rebuttal_Book2_Electric Rev Req Model (2009 GRC) Rebuttal 2 2" xfId="6071"/>
    <cellStyle name="_DEM-WP(C) Costs not in AURORA 2007PCORC-5.07Update_DEM-WP(C) Production O&amp;M 2009GRC Rebuttal_Book2_Electric Rev Req Model (2009 GRC) Rebuttal 3" xfId="6072"/>
    <cellStyle name="_DEM-WP(C) Costs not in AURORA 2007PCORC-5.07Update_DEM-WP(C) Production O&amp;M 2009GRC Rebuttal_Book2_Electric Rev Req Model (2009 GRC) Rebuttal REmoval of New  WH Solar AdjustMI" xfId="6073"/>
    <cellStyle name="_DEM-WP(C) Costs not in AURORA 2007PCORC-5.07Update_DEM-WP(C) Production O&amp;M 2009GRC Rebuttal_Book2_Electric Rev Req Model (2009 GRC) Rebuttal REmoval of New  WH Solar AdjustMI 2" xfId="6074"/>
    <cellStyle name="_DEM-WP(C) Costs not in AURORA 2007PCORC-5.07Update_DEM-WP(C) Production O&amp;M 2009GRC Rebuttal_Book2_Electric Rev Req Model (2009 GRC) Rebuttal REmoval of New  WH Solar AdjustMI 2 2" xfId="6075"/>
    <cellStyle name="_DEM-WP(C) Costs not in AURORA 2007PCORC-5.07Update_DEM-WP(C) Production O&amp;M 2009GRC Rebuttal_Book2_Electric Rev Req Model (2009 GRC) Rebuttal REmoval of New  WH Solar AdjustMI 2 2 2" xfId="6076"/>
    <cellStyle name="_DEM-WP(C) Costs not in AURORA 2007PCORC-5.07Update_DEM-WP(C) Production O&amp;M 2009GRC Rebuttal_Book2_Electric Rev Req Model (2009 GRC) Rebuttal REmoval of New  WH Solar AdjustMI 2 3" xfId="6077"/>
    <cellStyle name="_DEM-WP(C) Costs not in AURORA 2007PCORC-5.07Update_DEM-WP(C) Production O&amp;M 2009GRC Rebuttal_Book2_Electric Rev Req Model (2009 GRC) Rebuttal REmoval of New  WH Solar AdjustMI 3" xfId="6078"/>
    <cellStyle name="_DEM-WP(C) Costs not in AURORA 2007PCORC-5.07Update_DEM-WP(C) Production O&amp;M 2009GRC Rebuttal_Book2_Electric Rev Req Model (2009 GRC) Rebuttal REmoval of New  WH Solar AdjustMI 3 2" xfId="6079"/>
    <cellStyle name="_DEM-WP(C) Costs not in AURORA 2007PCORC-5.07Update_DEM-WP(C) Production O&amp;M 2009GRC Rebuttal_Book2_Electric Rev Req Model (2009 GRC) Rebuttal REmoval of New  WH Solar AdjustMI 4" xfId="6080"/>
    <cellStyle name="_DEM-WP(C) Costs not in AURORA 2007PCORC-5.07Update_DEM-WP(C) Production O&amp;M 2009GRC Rebuttal_Book2_Electric Rev Req Model (2009 GRC) Rebuttal REmoval of New  WH Solar AdjustMI_DEM-WP(C) ENERG10C--ctn Mid-C_042010 2010GRC" xfId="6081"/>
    <cellStyle name="_DEM-WP(C) Costs not in AURORA 2007PCORC-5.07Update_DEM-WP(C) Production O&amp;M 2009GRC Rebuttal_Book2_Electric Rev Req Model (2009 GRC) Rebuttal REmoval of New  WH Solar AdjustMI_DEM-WP(C) ENERG10C--ctn Mid-C_042010 2010GRC 2" xfId="6082"/>
    <cellStyle name="_DEM-WP(C) Costs not in AURORA 2007PCORC-5.07Update_DEM-WP(C) Production O&amp;M 2009GRC Rebuttal_Book2_Electric Rev Req Model (2009 GRC) Revised 01-18-2010" xfId="6083"/>
    <cellStyle name="_DEM-WP(C) Costs not in AURORA 2007PCORC-5.07Update_DEM-WP(C) Production O&amp;M 2009GRC Rebuttal_Book2_Electric Rev Req Model (2009 GRC) Revised 01-18-2010 2" xfId="6084"/>
    <cellStyle name="_DEM-WP(C) Costs not in AURORA 2007PCORC-5.07Update_DEM-WP(C) Production O&amp;M 2009GRC Rebuttal_Book2_Electric Rev Req Model (2009 GRC) Revised 01-18-2010 2 2" xfId="6085"/>
    <cellStyle name="_DEM-WP(C) Costs not in AURORA 2007PCORC-5.07Update_DEM-WP(C) Production O&amp;M 2009GRC Rebuttal_Book2_Electric Rev Req Model (2009 GRC) Revised 01-18-2010 2 2 2" xfId="6086"/>
    <cellStyle name="_DEM-WP(C) Costs not in AURORA 2007PCORC-5.07Update_DEM-WP(C) Production O&amp;M 2009GRC Rebuttal_Book2_Electric Rev Req Model (2009 GRC) Revised 01-18-2010 2 3" xfId="6087"/>
    <cellStyle name="_DEM-WP(C) Costs not in AURORA 2007PCORC-5.07Update_DEM-WP(C) Production O&amp;M 2009GRC Rebuttal_Book2_Electric Rev Req Model (2009 GRC) Revised 01-18-2010 3" xfId="6088"/>
    <cellStyle name="_DEM-WP(C) Costs not in AURORA 2007PCORC-5.07Update_DEM-WP(C) Production O&amp;M 2009GRC Rebuttal_Book2_Electric Rev Req Model (2009 GRC) Revised 01-18-2010 3 2" xfId="6089"/>
    <cellStyle name="_DEM-WP(C) Costs not in AURORA 2007PCORC-5.07Update_DEM-WP(C) Production O&amp;M 2009GRC Rebuttal_Book2_Electric Rev Req Model (2009 GRC) Revised 01-18-2010 4" xfId="6090"/>
    <cellStyle name="_DEM-WP(C) Costs not in AURORA 2007PCORC-5.07Update_DEM-WP(C) Production O&amp;M 2009GRC Rebuttal_Book2_Electric Rev Req Model (2009 GRC) Revised 01-18-2010_DEM-WP(C) ENERG10C--ctn Mid-C_042010 2010GRC" xfId="6091"/>
    <cellStyle name="_DEM-WP(C) Costs not in AURORA 2007PCORC-5.07Update_DEM-WP(C) Production O&amp;M 2009GRC Rebuttal_Book2_Electric Rev Req Model (2009 GRC) Revised 01-18-2010_DEM-WP(C) ENERG10C--ctn Mid-C_042010 2010GRC 2" xfId="6092"/>
    <cellStyle name="_DEM-WP(C) Costs not in AURORA 2007PCORC-5.07Update_DEM-WP(C) Production O&amp;M 2009GRC Rebuttal_Book2_Final Order Electric EXHIBIT A-1" xfId="6093"/>
    <cellStyle name="_DEM-WP(C) Costs not in AURORA 2007PCORC-5.07Update_DEM-WP(C) Production O&amp;M 2009GRC Rebuttal_Book2_Final Order Electric EXHIBIT A-1 2" xfId="6094"/>
    <cellStyle name="_DEM-WP(C) Costs not in AURORA 2007PCORC-5.07Update_DEM-WP(C) Production O&amp;M 2009GRC Rebuttal_Book2_Final Order Electric EXHIBIT A-1 2 2" xfId="6095"/>
    <cellStyle name="_DEM-WP(C) Costs not in AURORA 2007PCORC-5.07Update_DEM-WP(C) Production O&amp;M 2009GRC Rebuttal_Book2_Final Order Electric EXHIBIT A-1 3" xfId="6096"/>
    <cellStyle name="_DEM-WP(C) Costs not in AURORA 2007PCORC-5.07Update_DEM-WP(C) Production O&amp;M 2009GRC Rebuttal_DEM-WP(C) ENERG10C--ctn Mid-C_042010 2010GRC" xfId="6097"/>
    <cellStyle name="_DEM-WP(C) Costs not in AURORA 2007PCORC-5.07Update_DEM-WP(C) Production O&amp;M 2009GRC Rebuttal_DEM-WP(C) ENERG10C--ctn Mid-C_042010 2010GRC 2" xfId="6098"/>
    <cellStyle name="_DEM-WP(C) Costs not in AURORA 2007PCORC-5.07Update_DEM-WP(C) Production O&amp;M 2009GRC Rebuttal_Electric Rev Req Model (2009 GRC) Rebuttal" xfId="6099"/>
    <cellStyle name="_DEM-WP(C) Costs not in AURORA 2007PCORC-5.07Update_DEM-WP(C) Production O&amp;M 2009GRC Rebuttal_Electric Rev Req Model (2009 GRC) Rebuttal 2" xfId="6100"/>
    <cellStyle name="_DEM-WP(C) Costs not in AURORA 2007PCORC-5.07Update_DEM-WP(C) Production O&amp;M 2009GRC Rebuttal_Electric Rev Req Model (2009 GRC) Rebuttal 2 2" xfId="6101"/>
    <cellStyle name="_DEM-WP(C) Costs not in AURORA 2007PCORC-5.07Update_DEM-WP(C) Production O&amp;M 2009GRC Rebuttal_Electric Rev Req Model (2009 GRC) Rebuttal 3" xfId="6102"/>
    <cellStyle name="_DEM-WP(C) Costs not in AURORA 2007PCORC-5.07Update_DEM-WP(C) Production O&amp;M 2009GRC Rebuttal_Electric Rev Req Model (2009 GRC) Rebuttal REmoval of New  WH Solar AdjustMI" xfId="6103"/>
    <cellStyle name="_DEM-WP(C) Costs not in AURORA 2007PCORC-5.07Update_DEM-WP(C) Production O&amp;M 2009GRC Rebuttal_Electric Rev Req Model (2009 GRC) Rebuttal REmoval of New  WH Solar AdjustMI 2" xfId="6104"/>
    <cellStyle name="_DEM-WP(C) Costs not in AURORA 2007PCORC-5.07Update_DEM-WP(C) Production O&amp;M 2009GRC Rebuttal_Electric Rev Req Model (2009 GRC) Rebuttal REmoval of New  WH Solar AdjustMI 2 2" xfId="6105"/>
    <cellStyle name="_DEM-WP(C) Costs not in AURORA 2007PCORC-5.07Update_DEM-WP(C) Production O&amp;M 2009GRC Rebuttal_Electric Rev Req Model (2009 GRC) Rebuttal REmoval of New  WH Solar AdjustMI 2 2 2" xfId="6106"/>
    <cellStyle name="_DEM-WP(C) Costs not in AURORA 2007PCORC-5.07Update_DEM-WP(C) Production O&amp;M 2009GRC Rebuttal_Electric Rev Req Model (2009 GRC) Rebuttal REmoval of New  WH Solar AdjustMI 2 3" xfId="6107"/>
    <cellStyle name="_DEM-WP(C) Costs not in AURORA 2007PCORC-5.07Update_DEM-WP(C) Production O&amp;M 2009GRC Rebuttal_Electric Rev Req Model (2009 GRC) Rebuttal REmoval of New  WH Solar AdjustMI 3" xfId="6108"/>
    <cellStyle name="_DEM-WP(C) Costs not in AURORA 2007PCORC-5.07Update_DEM-WP(C) Production O&amp;M 2009GRC Rebuttal_Electric Rev Req Model (2009 GRC) Rebuttal REmoval of New  WH Solar AdjustMI 3 2" xfId="6109"/>
    <cellStyle name="_DEM-WP(C) Costs not in AURORA 2007PCORC-5.07Update_DEM-WP(C) Production O&amp;M 2009GRC Rebuttal_Electric Rev Req Model (2009 GRC) Rebuttal REmoval of New  WH Solar AdjustMI 4" xfId="6110"/>
    <cellStyle name="_DEM-WP(C) Costs not in AURORA 2007PCORC-5.07Update_DEM-WP(C) Production O&amp;M 2009GRC Rebuttal_Electric Rev Req Model (2009 GRC) Rebuttal REmoval of New  WH Solar AdjustMI_DEM-WP(C) ENERG10C--ctn Mid-C_042010 2010GRC" xfId="6111"/>
    <cellStyle name="_DEM-WP(C) Costs not in AURORA 2007PCORC-5.07Update_DEM-WP(C) Production O&amp;M 2009GRC Rebuttal_Electric Rev Req Model (2009 GRC) Rebuttal REmoval of New  WH Solar AdjustMI_DEM-WP(C) ENERG10C--ctn Mid-C_042010 2010GRC 2" xfId="6112"/>
    <cellStyle name="_DEM-WP(C) Costs not in AURORA 2007PCORC-5.07Update_DEM-WP(C) Production O&amp;M 2009GRC Rebuttal_Electric Rev Req Model (2009 GRC) Revised 01-18-2010" xfId="6113"/>
    <cellStyle name="_DEM-WP(C) Costs not in AURORA 2007PCORC-5.07Update_DEM-WP(C) Production O&amp;M 2009GRC Rebuttal_Electric Rev Req Model (2009 GRC) Revised 01-18-2010 2" xfId="6114"/>
    <cellStyle name="_DEM-WP(C) Costs not in AURORA 2007PCORC-5.07Update_DEM-WP(C) Production O&amp;M 2009GRC Rebuttal_Electric Rev Req Model (2009 GRC) Revised 01-18-2010 2 2" xfId="6115"/>
    <cellStyle name="_DEM-WP(C) Costs not in AURORA 2007PCORC-5.07Update_DEM-WP(C) Production O&amp;M 2009GRC Rebuttal_Electric Rev Req Model (2009 GRC) Revised 01-18-2010 2 2 2" xfId="6116"/>
    <cellStyle name="_DEM-WP(C) Costs not in AURORA 2007PCORC-5.07Update_DEM-WP(C) Production O&amp;M 2009GRC Rebuttal_Electric Rev Req Model (2009 GRC) Revised 01-18-2010 2 3" xfId="6117"/>
    <cellStyle name="_DEM-WP(C) Costs not in AURORA 2007PCORC-5.07Update_DEM-WP(C) Production O&amp;M 2009GRC Rebuttal_Electric Rev Req Model (2009 GRC) Revised 01-18-2010 3" xfId="6118"/>
    <cellStyle name="_DEM-WP(C) Costs not in AURORA 2007PCORC-5.07Update_DEM-WP(C) Production O&amp;M 2009GRC Rebuttal_Electric Rev Req Model (2009 GRC) Revised 01-18-2010 3 2" xfId="6119"/>
    <cellStyle name="_DEM-WP(C) Costs not in AURORA 2007PCORC-5.07Update_DEM-WP(C) Production O&amp;M 2009GRC Rebuttal_Electric Rev Req Model (2009 GRC) Revised 01-18-2010 4" xfId="6120"/>
    <cellStyle name="_DEM-WP(C) Costs not in AURORA 2007PCORC-5.07Update_DEM-WP(C) Production O&amp;M 2009GRC Rebuttal_Electric Rev Req Model (2009 GRC) Revised 01-18-2010_DEM-WP(C) ENERG10C--ctn Mid-C_042010 2010GRC" xfId="6121"/>
    <cellStyle name="_DEM-WP(C) Costs not in AURORA 2007PCORC-5.07Update_DEM-WP(C) Production O&amp;M 2009GRC Rebuttal_Electric Rev Req Model (2009 GRC) Revised 01-18-2010_DEM-WP(C) ENERG10C--ctn Mid-C_042010 2010GRC 2" xfId="6122"/>
    <cellStyle name="_DEM-WP(C) Costs not in AURORA 2007PCORC-5.07Update_DEM-WP(C) Production O&amp;M 2009GRC Rebuttal_Final Order Electric EXHIBIT A-1" xfId="6123"/>
    <cellStyle name="_DEM-WP(C) Costs not in AURORA 2007PCORC-5.07Update_DEM-WP(C) Production O&amp;M 2009GRC Rebuttal_Final Order Electric EXHIBIT A-1 2" xfId="6124"/>
    <cellStyle name="_DEM-WP(C) Costs not in AURORA 2007PCORC-5.07Update_DEM-WP(C) Production O&amp;M 2009GRC Rebuttal_Final Order Electric EXHIBIT A-1 2 2" xfId="6125"/>
    <cellStyle name="_DEM-WP(C) Costs not in AURORA 2007PCORC-5.07Update_DEM-WP(C) Production O&amp;M 2009GRC Rebuttal_Final Order Electric EXHIBIT A-1 3" xfId="6126"/>
    <cellStyle name="_DEM-WP(C) Costs not in AURORA 2007PCORC-5.07Update_DEM-WP(C) Production O&amp;M 2009GRC Rebuttal_Rebuttal Power Costs" xfId="6127"/>
    <cellStyle name="_DEM-WP(C) Costs not in AURORA 2007PCORC-5.07Update_DEM-WP(C) Production O&amp;M 2009GRC Rebuttal_Rebuttal Power Costs 2" xfId="6128"/>
    <cellStyle name="_DEM-WP(C) Costs not in AURORA 2007PCORC-5.07Update_DEM-WP(C) Production O&amp;M 2009GRC Rebuttal_Rebuttal Power Costs 2 2" xfId="6129"/>
    <cellStyle name="_DEM-WP(C) Costs not in AURORA 2007PCORC-5.07Update_DEM-WP(C) Production O&amp;M 2009GRC Rebuttal_Rebuttal Power Costs 2 2 2" xfId="6130"/>
    <cellStyle name="_DEM-WP(C) Costs not in AURORA 2007PCORC-5.07Update_DEM-WP(C) Production O&amp;M 2009GRC Rebuttal_Rebuttal Power Costs 2 3" xfId="6131"/>
    <cellStyle name="_DEM-WP(C) Costs not in AURORA 2007PCORC-5.07Update_DEM-WP(C) Production O&amp;M 2009GRC Rebuttal_Rebuttal Power Costs 3" xfId="6132"/>
    <cellStyle name="_DEM-WP(C) Costs not in AURORA 2007PCORC-5.07Update_DEM-WP(C) Production O&amp;M 2009GRC Rebuttal_Rebuttal Power Costs 3 2" xfId="6133"/>
    <cellStyle name="_DEM-WP(C) Costs not in AURORA 2007PCORC-5.07Update_DEM-WP(C) Production O&amp;M 2009GRC Rebuttal_Rebuttal Power Costs 4" xfId="6134"/>
    <cellStyle name="_DEM-WP(C) Costs not in AURORA 2007PCORC-5.07Update_DEM-WP(C) Production O&amp;M 2009GRC Rebuttal_Rebuttal Power Costs_Adj Bench DR 3 for Initial Briefs (Electric)" xfId="6135"/>
    <cellStyle name="_DEM-WP(C) Costs not in AURORA 2007PCORC-5.07Update_DEM-WP(C) Production O&amp;M 2009GRC Rebuttal_Rebuttal Power Costs_Adj Bench DR 3 for Initial Briefs (Electric) 2" xfId="6136"/>
    <cellStyle name="_DEM-WP(C) Costs not in AURORA 2007PCORC-5.07Update_DEM-WP(C) Production O&amp;M 2009GRC Rebuttal_Rebuttal Power Costs_Adj Bench DR 3 for Initial Briefs (Electric) 2 2" xfId="6137"/>
    <cellStyle name="_DEM-WP(C) Costs not in AURORA 2007PCORC-5.07Update_DEM-WP(C) Production O&amp;M 2009GRC Rebuttal_Rebuttal Power Costs_Adj Bench DR 3 for Initial Briefs (Electric) 2 2 2" xfId="6138"/>
    <cellStyle name="_DEM-WP(C) Costs not in AURORA 2007PCORC-5.07Update_DEM-WP(C) Production O&amp;M 2009GRC Rebuttal_Rebuttal Power Costs_Adj Bench DR 3 for Initial Briefs (Electric) 2 3" xfId="6139"/>
    <cellStyle name="_DEM-WP(C) Costs not in AURORA 2007PCORC-5.07Update_DEM-WP(C) Production O&amp;M 2009GRC Rebuttal_Rebuttal Power Costs_Adj Bench DR 3 for Initial Briefs (Electric) 3" xfId="6140"/>
    <cellStyle name="_DEM-WP(C) Costs not in AURORA 2007PCORC-5.07Update_DEM-WP(C) Production O&amp;M 2009GRC Rebuttal_Rebuttal Power Costs_Adj Bench DR 3 for Initial Briefs (Electric) 3 2" xfId="6141"/>
    <cellStyle name="_DEM-WP(C) Costs not in AURORA 2007PCORC-5.07Update_DEM-WP(C) Production O&amp;M 2009GRC Rebuttal_Rebuttal Power Costs_Adj Bench DR 3 for Initial Briefs (Electric) 4" xfId="6142"/>
    <cellStyle name="_DEM-WP(C) Costs not in AURORA 2007PCORC-5.07Update_DEM-WP(C) Production O&amp;M 2009GRC Rebuttal_Rebuttal Power Costs_Adj Bench DR 3 for Initial Briefs (Electric)_DEM-WP(C) ENERG10C--ctn Mid-C_042010 2010GRC" xfId="6143"/>
    <cellStyle name="_DEM-WP(C) Costs not in AURORA 2007PCORC-5.07Update_DEM-WP(C) Production O&amp;M 2009GRC Rebuttal_Rebuttal Power Costs_Adj Bench DR 3 for Initial Briefs (Electric)_DEM-WP(C) ENERG10C--ctn Mid-C_042010 2010GRC 2" xfId="6144"/>
    <cellStyle name="_DEM-WP(C) Costs not in AURORA 2007PCORC-5.07Update_DEM-WP(C) Production O&amp;M 2009GRC Rebuttal_Rebuttal Power Costs_DEM-WP(C) ENERG10C--ctn Mid-C_042010 2010GRC" xfId="6145"/>
    <cellStyle name="_DEM-WP(C) Costs not in AURORA 2007PCORC-5.07Update_DEM-WP(C) Production O&amp;M 2009GRC Rebuttal_Rebuttal Power Costs_DEM-WP(C) ENERG10C--ctn Mid-C_042010 2010GRC 2" xfId="6146"/>
    <cellStyle name="_DEM-WP(C) Costs not in AURORA 2007PCORC-5.07Update_DEM-WP(C) Production O&amp;M 2009GRC Rebuttal_Rebuttal Power Costs_Electric Rev Req Model (2009 GRC) Rebuttal" xfId="6147"/>
    <cellStyle name="_DEM-WP(C) Costs not in AURORA 2007PCORC-5.07Update_DEM-WP(C) Production O&amp;M 2009GRC Rebuttal_Rebuttal Power Costs_Electric Rev Req Model (2009 GRC) Rebuttal 2" xfId="6148"/>
    <cellStyle name="_DEM-WP(C) Costs not in AURORA 2007PCORC-5.07Update_DEM-WP(C) Production O&amp;M 2009GRC Rebuttal_Rebuttal Power Costs_Electric Rev Req Model (2009 GRC) Rebuttal 2 2" xfId="6149"/>
    <cellStyle name="_DEM-WP(C) Costs not in AURORA 2007PCORC-5.07Update_DEM-WP(C) Production O&amp;M 2009GRC Rebuttal_Rebuttal Power Costs_Electric Rev Req Model (2009 GRC) Rebuttal 3" xfId="6150"/>
    <cellStyle name="_DEM-WP(C) Costs not in AURORA 2007PCORC-5.07Update_DEM-WP(C) Production O&amp;M 2009GRC Rebuttal_Rebuttal Power Costs_Electric Rev Req Model (2009 GRC) Rebuttal REmoval of New  WH Solar AdjustMI" xfId="6151"/>
    <cellStyle name="_DEM-WP(C) Costs not in AURORA 2007PCORC-5.07Update_DEM-WP(C) Production O&amp;M 2009GRC Rebuttal_Rebuttal Power Costs_Electric Rev Req Model (2009 GRC) Rebuttal REmoval of New  WH Solar AdjustMI 2" xfId="6152"/>
    <cellStyle name="_DEM-WP(C) Costs not in AURORA 2007PCORC-5.07Update_DEM-WP(C) Production O&amp;M 2009GRC Rebuttal_Rebuttal Power Costs_Electric Rev Req Model (2009 GRC) Rebuttal REmoval of New  WH Solar AdjustMI 2 2" xfId="6153"/>
    <cellStyle name="_DEM-WP(C) Costs not in AURORA 2007PCORC-5.07Update_DEM-WP(C) Production O&amp;M 2009GRC Rebuttal_Rebuttal Power Costs_Electric Rev Req Model (2009 GRC) Rebuttal REmoval of New  WH Solar AdjustMI 2 2 2" xfId="6154"/>
    <cellStyle name="_DEM-WP(C) Costs not in AURORA 2007PCORC-5.07Update_DEM-WP(C) Production O&amp;M 2009GRC Rebuttal_Rebuttal Power Costs_Electric Rev Req Model (2009 GRC) Rebuttal REmoval of New  WH Solar AdjustMI 2 3" xfId="6155"/>
    <cellStyle name="_DEM-WP(C) Costs not in AURORA 2007PCORC-5.07Update_DEM-WP(C) Production O&amp;M 2009GRC Rebuttal_Rebuttal Power Costs_Electric Rev Req Model (2009 GRC) Rebuttal REmoval of New  WH Solar AdjustMI 3" xfId="6156"/>
    <cellStyle name="_DEM-WP(C) Costs not in AURORA 2007PCORC-5.07Update_DEM-WP(C) Production O&amp;M 2009GRC Rebuttal_Rebuttal Power Costs_Electric Rev Req Model (2009 GRC) Rebuttal REmoval of New  WH Solar AdjustMI 3 2" xfId="6157"/>
    <cellStyle name="_DEM-WP(C) Costs not in AURORA 2007PCORC-5.07Update_DEM-WP(C) Production O&amp;M 2009GRC Rebuttal_Rebuttal Power Costs_Electric Rev Req Model (2009 GRC) Rebuttal REmoval of New  WH Solar AdjustMI 4" xfId="6158"/>
    <cellStyle name="_DEM-WP(C) Costs not in AURORA 2007PCORC-5.07Update_DEM-WP(C) Production O&amp;M 2009GRC Rebuttal_Rebuttal Power Costs_Electric Rev Req Model (2009 GRC) Rebuttal REmoval of New  WH Solar AdjustMI_DEM-WP(C) ENERG10C--ctn Mid-C_042010 2010GRC" xfId="6159"/>
    <cellStyle name="_DEM-WP(C) Costs not in AURORA 2007PCORC-5.07Update_DEM-WP(C) Production O&amp;M 2009GRC Rebuttal_Rebuttal Power Costs_Electric Rev Req Model (2009 GRC) Rebuttal REmoval of New  WH Solar AdjustMI_DEM-WP(C) ENERG10C--ctn Mid-C_042010 2010GRC 2" xfId="6160"/>
    <cellStyle name="_DEM-WP(C) Costs not in AURORA 2007PCORC-5.07Update_DEM-WP(C) Production O&amp;M 2009GRC Rebuttal_Rebuttal Power Costs_Electric Rev Req Model (2009 GRC) Revised 01-18-2010" xfId="6161"/>
    <cellStyle name="_DEM-WP(C) Costs not in AURORA 2007PCORC-5.07Update_DEM-WP(C) Production O&amp;M 2009GRC Rebuttal_Rebuttal Power Costs_Electric Rev Req Model (2009 GRC) Revised 01-18-2010 2" xfId="6162"/>
    <cellStyle name="_DEM-WP(C) Costs not in AURORA 2007PCORC-5.07Update_DEM-WP(C) Production O&amp;M 2009GRC Rebuttal_Rebuttal Power Costs_Electric Rev Req Model (2009 GRC) Revised 01-18-2010 2 2" xfId="6163"/>
    <cellStyle name="_DEM-WP(C) Costs not in AURORA 2007PCORC-5.07Update_DEM-WP(C) Production O&amp;M 2009GRC Rebuttal_Rebuttal Power Costs_Electric Rev Req Model (2009 GRC) Revised 01-18-2010 2 2 2" xfId="6164"/>
    <cellStyle name="_DEM-WP(C) Costs not in AURORA 2007PCORC-5.07Update_DEM-WP(C) Production O&amp;M 2009GRC Rebuttal_Rebuttal Power Costs_Electric Rev Req Model (2009 GRC) Revised 01-18-2010 2 3" xfId="6165"/>
    <cellStyle name="_DEM-WP(C) Costs not in AURORA 2007PCORC-5.07Update_DEM-WP(C) Production O&amp;M 2009GRC Rebuttal_Rebuttal Power Costs_Electric Rev Req Model (2009 GRC) Revised 01-18-2010 3" xfId="6166"/>
    <cellStyle name="_DEM-WP(C) Costs not in AURORA 2007PCORC-5.07Update_DEM-WP(C) Production O&amp;M 2009GRC Rebuttal_Rebuttal Power Costs_Electric Rev Req Model (2009 GRC) Revised 01-18-2010 3 2" xfId="6167"/>
    <cellStyle name="_DEM-WP(C) Costs not in AURORA 2007PCORC-5.07Update_DEM-WP(C) Production O&amp;M 2009GRC Rebuttal_Rebuttal Power Costs_Electric Rev Req Model (2009 GRC) Revised 01-18-2010 4" xfId="6168"/>
    <cellStyle name="_DEM-WP(C) Costs not in AURORA 2007PCORC-5.07Update_DEM-WP(C) Production O&amp;M 2009GRC Rebuttal_Rebuttal Power Costs_Electric Rev Req Model (2009 GRC) Revised 01-18-2010_DEM-WP(C) ENERG10C--ctn Mid-C_042010 2010GRC" xfId="6169"/>
    <cellStyle name="_DEM-WP(C) Costs not in AURORA 2007PCORC-5.07Update_DEM-WP(C) Production O&amp;M 2009GRC Rebuttal_Rebuttal Power Costs_Electric Rev Req Model (2009 GRC) Revised 01-18-2010_DEM-WP(C) ENERG10C--ctn Mid-C_042010 2010GRC 2" xfId="6170"/>
    <cellStyle name="_DEM-WP(C) Costs not in AURORA 2007PCORC-5.07Update_DEM-WP(C) Production O&amp;M 2009GRC Rebuttal_Rebuttal Power Costs_Final Order Electric EXHIBIT A-1" xfId="6171"/>
    <cellStyle name="_DEM-WP(C) Costs not in AURORA 2007PCORC-5.07Update_DEM-WP(C) Production O&amp;M 2009GRC Rebuttal_Rebuttal Power Costs_Final Order Electric EXHIBIT A-1 2" xfId="6172"/>
    <cellStyle name="_DEM-WP(C) Costs not in AURORA 2007PCORC-5.07Update_DEM-WP(C) Production O&amp;M 2009GRC Rebuttal_Rebuttal Power Costs_Final Order Electric EXHIBIT A-1 2 2" xfId="6173"/>
    <cellStyle name="_DEM-WP(C) Costs not in AURORA 2007PCORC-5.07Update_DEM-WP(C) Production O&amp;M 2009GRC Rebuttal_Rebuttal Power Costs_Final Order Electric EXHIBIT A-1 3" xfId="6174"/>
    <cellStyle name="_DEM-WP(C) Costs not in AURORA 2007PCORC-5.07Update_DEM-WP(C) Production O&amp;M 2010GRC As-Filed" xfId="6175"/>
    <cellStyle name="_DEM-WP(C) Costs not in AURORA 2007PCORC-5.07Update_DEM-WP(C) Production O&amp;M 2010GRC As-Filed 2" xfId="6176"/>
    <cellStyle name="_DEM-WP(C) Costs not in AURORA 2007PCORC-5.07Update_DEM-WP(C) Production O&amp;M 2010GRC As-Filed 2 2" xfId="6177"/>
    <cellStyle name="_DEM-WP(C) Costs not in AURORA 2007PCORC-5.07Update_DEM-WP(C) Production O&amp;M 2010GRC As-Filed 2 3" xfId="6178"/>
    <cellStyle name="_DEM-WP(C) Costs not in AURORA 2007PCORC-5.07Update_DEM-WP(C) Production O&amp;M 2010GRC As-Filed 3" xfId="6179"/>
    <cellStyle name="_DEM-WP(C) Costs not in AURORA 2007PCORC-5.07Update_DEM-WP(C) Production O&amp;M 2010GRC As-Filed 3 2" xfId="6180"/>
    <cellStyle name="_DEM-WP(C) Costs not in AURORA 2007PCORC-5.07Update_DEM-WP(C) Production O&amp;M 2010GRC As-Filed 4" xfId="6181"/>
    <cellStyle name="_DEM-WP(C) Costs not in AURORA 2007PCORC-5.07Update_DEM-WP(C) Production O&amp;M 2010GRC As-Filed 4 2" xfId="6182"/>
    <cellStyle name="_DEM-WP(C) Costs not in AURORA 2007PCORC-5.07Update_DEM-WP(C) Production O&amp;M 2010GRC As-Filed 5" xfId="6183"/>
    <cellStyle name="_DEM-WP(C) Costs not in AURORA 2007PCORC-5.07Update_DEM-WP(C) Production O&amp;M 2010GRC As-Filed 5 2" xfId="6184"/>
    <cellStyle name="_DEM-WP(C) Costs not in AURORA 2007PCORC-5.07Update_DEM-WP(C) Production O&amp;M 2010GRC As-Filed 6" xfId="6185"/>
    <cellStyle name="_DEM-WP(C) Costs not in AURORA 2007PCORC-5.07Update_DEM-WP(C) Production O&amp;M 2010GRC As-Filed 6 2" xfId="6186"/>
    <cellStyle name="_DEM-WP(C) Costs not in AURORA 2007PCORC-5.07Update_Electric Rev Req Model (2009 GRC) " xfId="6187"/>
    <cellStyle name="_DEM-WP(C) Costs not in AURORA 2007PCORC-5.07Update_Electric Rev Req Model (2009 GRC)  2" xfId="6188"/>
    <cellStyle name="_DEM-WP(C) Costs not in AURORA 2007PCORC-5.07Update_Electric Rev Req Model (2009 GRC)  2 2" xfId="6189"/>
    <cellStyle name="_DEM-WP(C) Costs not in AURORA 2007PCORC-5.07Update_Electric Rev Req Model (2009 GRC)  2 2 2" xfId="6190"/>
    <cellStyle name="_DEM-WP(C) Costs not in AURORA 2007PCORC-5.07Update_Electric Rev Req Model (2009 GRC)  2 3" xfId="6191"/>
    <cellStyle name="_DEM-WP(C) Costs not in AURORA 2007PCORC-5.07Update_Electric Rev Req Model (2009 GRC)  3" xfId="6192"/>
    <cellStyle name="_DEM-WP(C) Costs not in AURORA 2007PCORC-5.07Update_Electric Rev Req Model (2009 GRC)  3 2" xfId="6193"/>
    <cellStyle name="_DEM-WP(C) Costs not in AURORA 2007PCORC-5.07Update_Electric Rev Req Model (2009 GRC)  4" xfId="6194"/>
    <cellStyle name="_DEM-WP(C) Costs not in AURORA 2007PCORC-5.07Update_Electric Rev Req Model (2009 GRC) _DEM-WP(C) ENERG10C--ctn Mid-C_042010 2010GRC" xfId="6195"/>
    <cellStyle name="_DEM-WP(C) Costs not in AURORA 2007PCORC-5.07Update_Electric Rev Req Model (2009 GRC) _DEM-WP(C) ENERG10C--ctn Mid-C_042010 2010GRC 2" xfId="6196"/>
    <cellStyle name="_DEM-WP(C) Costs not in AURORA 2007PCORC-5.07Update_Electric Rev Req Model (2009 GRC) Rebuttal" xfId="6197"/>
    <cellStyle name="_DEM-WP(C) Costs not in AURORA 2007PCORC-5.07Update_Electric Rev Req Model (2009 GRC) Rebuttal 2" xfId="6198"/>
    <cellStyle name="_DEM-WP(C) Costs not in AURORA 2007PCORC-5.07Update_Electric Rev Req Model (2009 GRC) Rebuttal 2 2" xfId="6199"/>
    <cellStyle name="_DEM-WP(C) Costs not in AURORA 2007PCORC-5.07Update_Electric Rev Req Model (2009 GRC) Rebuttal 3" xfId="6200"/>
    <cellStyle name="_DEM-WP(C) Costs not in AURORA 2007PCORC-5.07Update_Electric Rev Req Model (2009 GRC) Rebuttal REmoval of New  WH Solar AdjustMI" xfId="6201"/>
    <cellStyle name="_DEM-WP(C) Costs not in AURORA 2007PCORC-5.07Update_Electric Rev Req Model (2009 GRC) Rebuttal REmoval of New  WH Solar AdjustMI 2" xfId="6202"/>
    <cellStyle name="_DEM-WP(C) Costs not in AURORA 2007PCORC-5.07Update_Electric Rev Req Model (2009 GRC) Rebuttal REmoval of New  WH Solar AdjustMI 2 2" xfId="6203"/>
    <cellStyle name="_DEM-WP(C) Costs not in AURORA 2007PCORC-5.07Update_Electric Rev Req Model (2009 GRC) Rebuttal REmoval of New  WH Solar AdjustMI 2 2 2" xfId="6204"/>
    <cellStyle name="_DEM-WP(C) Costs not in AURORA 2007PCORC-5.07Update_Electric Rev Req Model (2009 GRC) Rebuttal REmoval of New  WH Solar AdjustMI 2 3" xfId="6205"/>
    <cellStyle name="_DEM-WP(C) Costs not in AURORA 2007PCORC-5.07Update_Electric Rev Req Model (2009 GRC) Rebuttal REmoval of New  WH Solar AdjustMI 3" xfId="6206"/>
    <cellStyle name="_DEM-WP(C) Costs not in AURORA 2007PCORC-5.07Update_Electric Rev Req Model (2009 GRC) Rebuttal REmoval of New  WH Solar AdjustMI 3 2" xfId="6207"/>
    <cellStyle name="_DEM-WP(C) Costs not in AURORA 2007PCORC-5.07Update_Electric Rev Req Model (2009 GRC) Rebuttal REmoval of New  WH Solar AdjustMI 4" xfId="6208"/>
    <cellStyle name="_DEM-WP(C) Costs not in AURORA 2007PCORC-5.07Update_Electric Rev Req Model (2009 GRC) Rebuttal REmoval of New  WH Solar AdjustMI_DEM-WP(C) ENERG10C--ctn Mid-C_042010 2010GRC" xfId="6209"/>
    <cellStyle name="_DEM-WP(C) Costs not in AURORA 2007PCORC-5.07Update_Electric Rev Req Model (2009 GRC) Rebuttal REmoval of New  WH Solar AdjustMI_DEM-WP(C) ENERG10C--ctn Mid-C_042010 2010GRC 2" xfId="6210"/>
    <cellStyle name="_DEM-WP(C) Costs not in AURORA 2007PCORC-5.07Update_Electric Rev Req Model (2009 GRC) Revised 01-18-2010" xfId="6211"/>
    <cellStyle name="_DEM-WP(C) Costs not in AURORA 2007PCORC-5.07Update_Electric Rev Req Model (2009 GRC) Revised 01-18-2010 2" xfId="6212"/>
    <cellStyle name="_DEM-WP(C) Costs not in AURORA 2007PCORC-5.07Update_Electric Rev Req Model (2009 GRC) Revised 01-18-2010 2 2" xfId="6213"/>
    <cellStyle name="_DEM-WP(C) Costs not in AURORA 2007PCORC-5.07Update_Electric Rev Req Model (2009 GRC) Revised 01-18-2010 2 2 2" xfId="6214"/>
    <cellStyle name="_DEM-WP(C) Costs not in AURORA 2007PCORC-5.07Update_Electric Rev Req Model (2009 GRC) Revised 01-18-2010 2 3" xfId="6215"/>
    <cellStyle name="_DEM-WP(C) Costs not in AURORA 2007PCORC-5.07Update_Electric Rev Req Model (2009 GRC) Revised 01-18-2010 3" xfId="6216"/>
    <cellStyle name="_DEM-WP(C) Costs not in AURORA 2007PCORC-5.07Update_Electric Rev Req Model (2009 GRC) Revised 01-18-2010 3 2" xfId="6217"/>
    <cellStyle name="_DEM-WP(C) Costs not in AURORA 2007PCORC-5.07Update_Electric Rev Req Model (2009 GRC) Revised 01-18-2010 4" xfId="6218"/>
    <cellStyle name="_DEM-WP(C) Costs not in AURORA 2007PCORC-5.07Update_Electric Rev Req Model (2009 GRC) Revised 01-18-2010_DEM-WP(C) ENERG10C--ctn Mid-C_042010 2010GRC" xfId="6219"/>
    <cellStyle name="_DEM-WP(C) Costs not in AURORA 2007PCORC-5.07Update_Electric Rev Req Model (2009 GRC) Revised 01-18-2010_DEM-WP(C) ENERG10C--ctn Mid-C_042010 2010GRC 2" xfId="6220"/>
    <cellStyle name="_DEM-WP(C) Costs not in AURORA 2007PCORC-5.07Update_Electric Rev Req Model (2010 GRC)" xfId="6221"/>
    <cellStyle name="_DEM-WP(C) Costs not in AURORA 2007PCORC-5.07Update_Electric Rev Req Model (2010 GRC) 2" xfId="6222"/>
    <cellStyle name="_DEM-WP(C) Costs not in AURORA 2007PCORC-5.07Update_Electric Rev Req Model (2010 GRC) SF" xfId="6223"/>
    <cellStyle name="_DEM-WP(C) Costs not in AURORA 2007PCORC-5.07Update_Electric Rev Req Model (2010 GRC) SF 2" xfId="6224"/>
    <cellStyle name="_DEM-WP(C) Costs not in AURORA 2007PCORC-5.07Update_Final Order Electric EXHIBIT A-1" xfId="6225"/>
    <cellStyle name="_DEM-WP(C) Costs not in AURORA 2007PCORC-5.07Update_Final Order Electric EXHIBIT A-1 2" xfId="6226"/>
    <cellStyle name="_DEM-WP(C) Costs not in AURORA 2007PCORC-5.07Update_Final Order Electric EXHIBIT A-1 2 2" xfId="6227"/>
    <cellStyle name="_DEM-WP(C) Costs not in AURORA 2007PCORC-5.07Update_Final Order Electric EXHIBIT A-1 3" xfId="6228"/>
    <cellStyle name="_DEM-WP(C) Costs not in AURORA 2007PCORC-5.07Update_NIM Summary" xfId="6229"/>
    <cellStyle name="_DEM-WP(C) Costs not in AURORA 2007PCORC-5.07Update_NIM Summary 09GRC" xfId="6230"/>
    <cellStyle name="_DEM-WP(C) Costs not in AURORA 2007PCORC-5.07Update_NIM Summary 09GRC 2" xfId="6231"/>
    <cellStyle name="_DEM-WP(C) Costs not in AURORA 2007PCORC-5.07Update_NIM Summary 09GRC 2 2" xfId="6232"/>
    <cellStyle name="_DEM-WP(C) Costs not in AURORA 2007PCORC-5.07Update_NIM Summary 09GRC 2 2 2" xfId="6233"/>
    <cellStyle name="_DEM-WP(C) Costs not in AURORA 2007PCORC-5.07Update_NIM Summary 09GRC 2 3" xfId="6234"/>
    <cellStyle name="_DEM-WP(C) Costs not in AURORA 2007PCORC-5.07Update_NIM Summary 09GRC 3" xfId="6235"/>
    <cellStyle name="_DEM-WP(C) Costs not in AURORA 2007PCORC-5.07Update_NIM Summary 09GRC 3 2" xfId="6236"/>
    <cellStyle name="_DEM-WP(C) Costs not in AURORA 2007PCORC-5.07Update_NIM Summary 09GRC 4" xfId="6237"/>
    <cellStyle name="_DEM-WP(C) Costs not in AURORA 2007PCORC-5.07Update_NIM Summary 09GRC_DEM-WP(C) ENERG10C--ctn Mid-C_042010 2010GRC" xfId="6238"/>
    <cellStyle name="_DEM-WP(C) Costs not in AURORA 2007PCORC-5.07Update_NIM Summary 09GRC_DEM-WP(C) ENERG10C--ctn Mid-C_042010 2010GRC 2" xfId="6239"/>
    <cellStyle name="_DEM-WP(C) Costs not in AURORA 2007PCORC-5.07Update_NIM Summary 09GRC_NIM Summary" xfId="6240"/>
    <cellStyle name="_DEM-WP(C) Costs not in AURORA 2007PCORC-5.07Update_NIM Summary 09GRC_NIM Summary 2" xfId="6241"/>
    <cellStyle name="_DEM-WP(C) Costs not in AURORA 2007PCORC-5.07Update_NIM Summary 09GRC_NIM Summary 2 2" xfId="6242"/>
    <cellStyle name="_DEM-WP(C) Costs not in AURORA 2007PCORC-5.07Update_NIM Summary 09GRC_NIM Summary 2 2 2" xfId="6243"/>
    <cellStyle name="_DEM-WP(C) Costs not in AURORA 2007PCORC-5.07Update_NIM Summary 09GRC_NIM Summary 2 3" xfId="6244"/>
    <cellStyle name="_DEM-WP(C) Costs not in AURORA 2007PCORC-5.07Update_NIM Summary 09GRC_NIM Summary 3" xfId="6245"/>
    <cellStyle name="_DEM-WP(C) Costs not in AURORA 2007PCORC-5.07Update_NIM Summary 09GRC_NIM Summary 3 2" xfId="6246"/>
    <cellStyle name="_DEM-WP(C) Costs not in AURORA 2007PCORC-5.07Update_NIM Summary 09GRC_NIM Summary 4" xfId="6247"/>
    <cellStyle name="_DEM-WP(C) Costs not in AURORA 2007PCORC-5.07Update_NIM Summary 09GRC_NIM Summary_DEM-WP(C) ENERG10C--ctn Mid-C_042010 2010GRC" xfId="6248"/>
    <cellStyle name="_DEM-WP(C) Costs not in AURORA 2007PCORC-5.07Update_NIM Summary 09GRC_NIM Summary_DEM-WP(C) ENERG10C--ctn Mid-C_042010 2010GRC 2" xfId="6249"/>
    <cellStyle name="_DEM-WP(C) Costs not in AURORA 2007PCORC-5.07Update_NIM Summary 10" xfId="6250"/>
    <cellStyle name="_DEM-WP(C) Costs not in AURORA 2007PCORC-5.07Update_NIM Summary 10 2" xfId="6251"/>
    <cellStyle name="_DEM-WP(C) Costs not in AURORA 2007PCORC-5.07Update_NIM Summary 11" xfId="6252"/>
    <cellStyle name="_DEM-WP(C) Costs not in AURORA 2007PCORC-5.07Update_NIM Summary 11 2" xfId="6253"/>
    <cellStyle name="_DEM-WP(C) Costs not in AURORA 2007PCORC-5.07Update_NIM Summary 12" xfId="6254"/>
    <cellStyle name="_DEM-WP(C) Costs not in AURORA 2007PCORC-5.07Update_NIM Summary 12 2" xfId="6255"/>
    <cellStyle name="_DEM-WP(C) Costs not in AURORA 2007PCORC-5.07Update_NIM Summary 13" xfId="6256"/>
    <cellStyle name="_DEM-WP(C) Costs not in AURORA 2007PCORC-5.07Update_NIM Summary 13 2" xfId="6257"/>
    <cellStyle name="_DEM-WP(C) Costs not in AURORA 2007PCORC-5.07Update_NIM Summary 14" xfId="6258"/>
    <cellStyle name="_DEM-WP(C) Costs not in AURORA 2007PCORC-5.07Update_NIM Summary 14 2" xfId="6259"/>
    <cellStyle name="_DEM-WP(C) Costs not in AURORA 2007PCORC-5.07Update_NIM Summary 15" xfId="6260"/>
    <cellStyle name="_DEM-WP(C) Costs not in AURORA 2007PCORC-5.07Update_NIM Summary 15 2" xfId="6261"/>
    <cellStyle name="_DEM-WP(C) Costs not in AURORA 2007PCORC-5.07Update_NIM Summary 16" xfId="6262"/>
    <cellStyle name="_DEM-WP(C) Costs not in AURORA 2007PCORC-5.07Update_NIM Summary 16 2" xfId="6263"/>
    <cellStyle name="_DEM-WP(C) Costs not in AURORA 2007PCORC-5.07Update_NIM Summary 17" xfId="6264"/>
    <cellStyle name="_DEM-WP(C) Costs not in AURORA 2007PCORC-5.07Update_NIM Summary 17 2" xfId="6265"/>
    <cellStyle name="_DEM-WP(C) Costs not in AURORA 2007PCORC-5.07Update_NIM Summary 18" xfId="6266"/>
    <cellStyle name="_DEM-WP(C) Costs not in AURORA 2007PCORC-5.07Update_NIM Summary 18 2" xfId="6267"/>
    <cellStyle name="_DEM-WP(C) Costs not in AURORA 2007PCORC-5.07Update_NIM Summary 19" xfId="6268"/>
    <cellStyle name="_DEM-WP(C) Costs not in AURORA 2007PCORC-5.07Update_NIM Summary 19 2" xfId="6269"/>
    <cellStyle name="_DEM-WP(C) Costs not in AURORA 2007PCORC-5.07Update_NIM Summary 2" xfId="6270"/>
    <cellStyle name="_DEM-WP(C) Costs not in AURORA 2007PCORC-5.07Update_NIM Summary 2 2" xfId="6271"/>
    <cellStyle name="_DEM-WP(C) Costs not in AURORA 2007PCORC-5.07Update_NIM Summary 2 2 2" xfId="6272"/>
    <cellStyle name="_DEM-WP(C) Costs not in AURORA 2007PCORC-5.07Update_NIM Summary 2 3" xfId="6273"/>
    <cellStyle name="_DEM-WP(C) Costs not in AURORA 2007PCORC-5.07Update_NIM Summary 20" xfId="6274"/>
    <cellStyle name="_DEM-WP(C) Costs not in AURORA 2007PCORC-5.07Update_NIM Summary 20 2" xfId="6275"/>
    <cellStyle name="_DEM-WP(C) Costs not in AURORA 2007PCORC-5.07Update_NIM Summary 21" xfId="6276"/>
    <cellStyle name="_DEM-WP(C) Costs not in AURORA 2007PCORC-5.07Update_NIM Summary 21 2" xfId="6277"/>
    <cellStyle name="_DEM-WP(C) Costs not in AURORA 2007PCORC-5.07Update_NIM Summary 22" xfId="6278"/>
    <cellStyle name="_DEM-WP(C) Costs not in AURORA 2007PCORC-5.07Update_NIM Summary 22 2" xfId="6279"/>
    <cellStyle name="_DEM-WP(C) Costs not in AURORA 2007PCORC-5.07Update_NIM Summary 23" xfId="6280"/>
    <cellStyle name="_DEM-WP(C) Costs not in AURORA 2007PCORC-5.07Update_NIM Summary 23 2" xfId="6281"/>
    <cellStyle name="_DEM-WP(C) Costs not in AURORA 2007PCORC-5.07Update_NIM Summary 24" xfId="6282"/>
    <cellStyle name="_DEM-WP(C) Costs not in AURORA 2007PCORC-5.07Update_NIM Summary 24 2" xfId="6283"/>
    <cellStyle name="_DEM-WP(C) Costs not in AURORA 2007PCORC-5.07Update_NIM Summary 25" xfId="6284"/>
    <cellStyle name="_DEM-WP(C) Costs not in AURORA 2007PCORC-5.07Update_NIM Summary 25 2" xfId="6285"/>
    <cellStyle name="_DEM-WP(C) Costs not in AURORA 2007PCORC-5.07Update_NIM Summary 26" xfId="6286"/>
    <cellStyle name="_DEM-WP(C) Costs not in AURORA 2007PCORC-5.07Update_NIM Summary 26 2" xfId="6287"/>
    <cellStyle name="_DEM-WP(C) Costs not in AURORA 2007PCORC-5.07Update_NIM Summary 27" xfId="6288"/>
    <cellStyle name="_DEM-WP(C) Costs not in AURORA 2007PCORC-5.07Update_NIM Summary 27 2" xfId="6289"/>
    <cellStyle name="_DEM-WP(C) Costs not in AURORA 2007PCORC-5.07Update_NIM Summary 28" xfId="6290"/>
    <cellStyle name="_DEM-WP(C) Costs not in AURORA 2007PCORC-5.07Update_NIM Summary 28 2" xfId="6291"/>
    <cellStyle name="_DEM-WP(C) Costs not in AURORA 2007PCORC-5.07Update_NIM Summary 29" xfId="6292"/>
    <cellStyle name="_DEM-WP(C) Costs not in AURORA 2007PCORC-5.07Update_NIM Summary 29 2" xfId="6293"/>
    <cellStyle name="_DEM-WP(C) Costs not in AURORA 2007PCORC-5.07Update_NIM Summary 3" xfId="6294"/>
    <cellStyle name="_DEM-WP(C) Costs not in AURORA 2007PCORC-5.07Update_NIM Summary 3 2" xfId="6295"/>
    <cellStyle name="_DEM-WP(C) Costs not in AURORA 2007PCORC-5.07Update_NIM Summary 30" xfId="6296"/>
    <cellStyle name="_DEM-WP(C) Costs not in AURORA 2007PCORC-5.07Update_NIM Summary 30 2" xfId="6297"/>
    <cellStyle name="_DEM-WP(C) Costs not in AURORA 2007PCORC-5.07Update_NIM Summary 31" xfId="6298"/>
    <cellStyle name="_DEM-WP(C) Costs not in AURORA 2007PCORC-5.07Update_NIM Summary 31 2" xfId="6299"/>
    <cellStyle name="_DEM-WP(C) Costs not in AURORA 2007PCORC-5.07Update_NIM Summary 32" xfId="6300"/>
    <cellStyle name="_DEM-WP(C) Costs not in AURORA 2007PCORC-5.07Update_NIM Summary 32 2" xfId="6301"/>
    <cellStyle name="_DEM-WP(C) Costs not in AURORA 2007PCORC-5.07Update_NIM Summary 33" xfId="6302"/>
    <cellStyle name="_DEM-WP(C) Costs not in AURORA 2007PCORC-5.07Update_NIM Summary 33 2" xfId="6303"/>
    <cellStyle name="_DEM-WP(C) Costs not in AURORA 2007PCORC-5.07Update_NIM Summary 34" xfId="6304"/>
    <cellStyle name="_DEM-WP(C) Costs not in AURORA 2007PCORC-5.07Update_NIM Summary 34 2" xfId="6305"/>
    <cellStyle name="_DEM-WP(C) Costs not in AURORA 2007PCORC-5.07Update_NIM Summary 35" xfId="6306"/>
    <cellStyle name="_DEM-WP(C) Costs not in AURORA 2007PCORC-5.07Update_NIM Summary 35 2" xfId="6307"/>
    <cellStyle name="_DEM-WP(C) Costs not in AURORA 2007PCORC-5.07Update_NIM Summary 36" xfId="6308"/>
    <cellStyle name="_DEM-WP(C) Costs not in AURORA 2007PCORC-5.07Update_NIM Summary 36 2" xfId="6309"/>
    <cellStyle name="_DEM-WP(C) Costs not in AURORA 2007PCORC-5.07Update_NIM Summary 37" xfId="6310"/>
    <cellStyle name="_DEM-WP(C) Costs not in AURORA 2007PCORC-5.07Update_NIM Summary 37 2" xfId="6311"/>
    <cellStyle name="_DEM-WP(C) Costs not in AURORA 2007PCORC-5.07Update_NIM Summary 38" xfId="6312"/>
    <cellStyle name="_DEM-WP(C) Costs not in AURORA 2007PCORC-5.07Update_NIM Summary 38 2" xfId="6313"/>
    <cellStyle name="_DEM-WP(C) Costs not in AURORA 2007PCORC-5.07Update_NIM Summary 39" xfId="6314"/>
    <cellStyle name="_DEM-WP(C) Costs not in AURORA 2007PCORC-5.07Update_NIM Summary 39 2" xfId="6315"/>
    <cellStyle name="_DEM-WP(C) Costs not in AURORA 2007PCORC-5.07Update_NIM Summary 4" xfId="6316"/>
    <cellStyle name="_DEM-WP(C) Costs not in AURORA 2007PCORC-5.07Update_NIM Summary 4 2" xfId="6317"/>
    <cellStyle name="_DEM-WP(C) Costs not in AURORA 2007PCORC-5.07Update_NIM Summary 40" xfId="6318"/>
    <cellStyle name="_DEM-WP(C) Costs not in AURORA 2007PCORC-5.07Update_NIM Summary 40 2" xfId="6319"/>
    <cellStyle name="_DEM-WP(C) Costs not in AURORA 2007PCORC-5.07Update_NIM Summary 41" xfId="6320"/>
    <cellStyle name="_DEM-WP(C) Costs not in AURORA 2007PCORC-5.07Update_NIM Summary 41 2" xfId="6321"/>
    <cellStyle name="_DEM-WP(C) Costs not in AURORA 2007PCORC-5.07Update_NIM Summary 42" xfId="6322"/>
    <cellStyle name="_DEM-WP(C) Costs not in AURORA 2007PCORC-5.07Update_NIM Summary 42 2" xfId="6323"/>
    <cellStyle name="_DEM-WP(C) Costs not in AURORA 2007PCORC-5.07Update_NIM Summary 43" xfId="6324"/>
    <cellStyle name="_DEM-WP(C) Costs not in AURORA 2007PCORC-5.07Update_NIM Summary 43 2" xfId="6325"/>
    <cellStyle name="_DEM-WP(C) Costs not in AURORA 2007PCORC-5.07Update_NIM Summary 44" xfId="6326"/>
    <cellStyle name="_DEM-WP(C) Costs not in AURORA 2007PCORC-5.07Update_NIM Summary 44 2" xfId="6327"/>
    <cellStyle name="_DEM-WP(C) Costs not in AURORA 2007PCORC-5.07Update_NIM Summary 45" xfId="6328"/>
    <cellStyle name="_DEM-WP(C) Costs not in AURORA 2007PCORC-5.07Update_NIM Summary 45 2" xfId="6329"/>
    <cellStyle name="_DEM-WP(C) Costs not in AURORA 2007PCORC-5.07Update_NIM Summary 46" xfId="6330"/>
    <cellStyle name="_DEM-WP(C) Costs not in AURORA 2007PCORC-5.07Update_NIM Summary 46 2" xfId="6331"/>
    <cellStyle name="_DEM-WP(C) Costs not in AURORA 2007PCORC-5.07Update_NIM Summary 47" xfId="6332"/>
    <cellStyle name="_DEM-WP(C) Costs not in AURORA 2007PCORC-5.07Update_NIM Summary 47 2" xfId="6333"/>
    <cellStyle name="_DEM-WP(C) Costs not in AURORA 2007PCORC-5.07Update_NIM Summary 48" xfId="6334"/>
    <cellStyle name="_DEM-WP(C) Costs not in AURORA 2007PCORC-5.07Update_NIM Summary 49" xfId="6335"/>
    <cellStyle name="_DEM-WP(C) Costs not in AURORA 2007PCORC-5.07Update_NIM Summary 5" xfId="6336"/>
    <cellStyle name="_DEM-WP(C) Costs not in AURORA 2007PCORC-5.07Update_NIM Summary 5 2" xfId="6337"/>
    <cellStyle name="_DEM-WP(C) Costs not in AURORA 2007PCORC-5.07Update_NIM Summary 50" xfId="6338"/>
    <cellStyle name="_DEM-WP(C) Costs not in AURORA 2007PCORC-5.07Update_NIM Summary 51" xfId="6339"/>
    <cellStyle name="_DEM-WP(C) Costs not in AURORA 2007PCORC-5.07Update_NIM Summary 52" xfId="6340"/>
    <cellStyle name="_DEM-WP(C) Costs not in AURORA 2007PCORC-5.07Update_NIM Summary 6" xfId="6341"/>
    <cellStyle name="_DEM-WP(C) Costs not in AURORA 2007PCORC-5.07Update_NIM Summary 6 2" xfId="6342"/>
    <cellStyle name="_DEM-WP(C) Costs not in AURORA 2007PCORC-5.07Update_NIM Summary 7" xfId="6343"/>
    <cellStyle name="_DEM-WP(C) Costs not in AURORA 2007PCORC-5.07Update_NIM Summary 7 2" xfId="6344"/>
    <cellStyle name="_DEM-WP(C) Costs not in AURORA 2007PCORC-5.07Update_NIM Summary 8" xfId="6345"/>
    <cellStyle name="_DEM-WP(C) Costs not in AURORA 2007PCORC-5.07Update_NIM Summary 8 2" xfId="6346"/>
    <cellStyle name="_DEM-WP(C) Costs not in AURORA 2007PCORC-5.07Update_NIM Summary 9" xfId="6347"/>
    <cellStyle name="_DEM-WP(C) Costs not in AURORA 2007PCORC-5.07Update_NIM Summary 9 2" xfId="6348"/>
    <cellStyle name="_DEM-WP(C) Costs not in AURORA 2007PCORC-5.07Update_NIM Summary_DEM-WP(C) ENERG10C--ctn Mid-C_042010 2010GRC" xfId="6349"/>
    <cellStyle name="_DEM-WP(C) Costs not in AURORA 2007PCORC-5.07Update_NIM Summary_DEM-WP(C) ENERG10C--ctn Mid-C_042010 2010GRC 2" xfId="6350"/>
    <cellStyle name="_DEM-WP(C) Costs not in AURORA 2007PCORC-5.07Update_NIM+O&amp;M Monthly" xfId="6351"/>
    <cellStyle name="_DEM-WP(C) Costs not in AURORA 2007PCORC-5.07Update_NIM+O&amp;M Monthly 2" xfId="6352"/>
    <cellStyle name="_DEM-WP(C) Costs not in AURORA 2007PCORC-5.07Update_Power Costs - Comparison bx Rbtl-Staff-Jt-PC" xfId="6353"/>
    <cellStyle name="_DEM-WP(C) Costs not in AURORA 2007PCORC-5.07Update_Power Costs - Comparison bx Rbtl-Staff-Jt-PC 2" xfId="6354"/>
    <cellStyle name="_DEM-WP(C) Costs not in AURORA 2007PCORC-5.07Update_Power Costs - Comparison bx Rbtl-Staff-Jt-PC 2 2" xfId="6355"/>
    <cellStyle name="_DEM-WP(C) Costs not in AURORA 2007PCORC-5.07Update_Power Costs - Comparison bx Rbtl-Staff-Jt-PC 2 2 2" xfId="6356"/>
    <cellStyle name="_DEM-WP(C) Costs not in AURORA 2007PCORC-5.07Update_Power Costs - Comparison bx Rbtl-Staff-Jt-PC 2 3" xfId="6357"/>
    <cellStyle name="_DEM-WP(C) Costs not in AURORA 2007PCORC-5.07Update_Power Costs - Comparison bx Rbtl-Staff-Jt-PC 3" xfId="6358"/>
    <cellStyle name="_DEM-WP(C) Costs not in AURORA 2007PCORC-5.07Update_Power Costs - Comparison bx Rbtl-Staff-Jt-PC 3 2" xfId="6359"/>
    <cellStyle name="_DEM-WP(C) Costs not in AURORA 2007PCORC-5.07Update_Power Costs - Comparison bx Rbtl-Staff-Jt-PC 4" xfId="6360"/>
    <cellStyle name="_DEM-WP(C) Costs not in AURORA 2007PCORC-5.07Update_Power Costs - Comparison bx Rbtl-Staff-Jt-PC_DEM-WP(C) ENERG10C--ctn Mid-C_042010 2010GRC" xfId="6361"/>
    <cellStyle name="_DEM-WP(C) Costs not in AURORA 2007PCORC-5.07Update_Power Costs - Comparison bx Rbtl-Staff-Jt-PC_DEM-WP(C) ENERG10C--ctn Mid-C_042010 2010GRC 2" xfId="6362"/>
    <cellStyle name="_DEM-WP(C) Costs not in AURORA 2007PCORC-5.07Update_Rebuttal Power Costs" xfId="6363"/>
    <cellStyle name="_DEM-WP(C) Costs not in AURORA 2007PCORC-5.07Update_Rebuttal Power Costs 2" xfId="6364"/>
    <cellStyle name="_DEM-WP(C) Costs not in AURORA 2007PCORC-5.07Update_Rebuttal Power Costs 2 2" xfId="6365"/>
    <cellStyle name="_DEM-WP(C) Costs not in AURORA 2007PCORC-5.07Update_Rebuttal Power Costs 2 2 2" xfId="6366"/>
    <cellStyle name="_DEM-WP(C) Costs not in AURORA 2007PCORC-5.07Update_Rebuttal Power Costs 2 3" xfId="6367"/>
    <cellStyle name="_DEM-WP(C) Costs not in AURORA 2007PCORC-5.07Update_Rebuttal Power Costs 3" xfId="6368"/>
    <cellStyle name="_DEM-WP(C) Costs not in AURORA 2007PCORC-5.07Update_Rebuttal Power Costs 3 2" xfId="6369"/>
    <cellStyle name="_DEM-WP(C) Costs not in AURORA 2007PCORC-5.07Update_Rebuttal Power Costs 4" xfId="6370"/>
    <cellStyle name="_DEM-WP(C) Costs not in AURORA 2007PCORC-5.07Update_Rebuttal Power Costs_DEM-WP(C) ENERG10C--ctn Mid-C_042010 2010GRC" xfId="6371"/>
    <cellStyle name="_DEM-WP(C) Costs not in AURORA 2007PCORC-5.07Update_Rebuttal Power Costs_DEM-WP(C) ENERG10C--ctn Mid-C_042010 2010GRC 2" xfId="6372"/>
    <cellStyle name="_DEM-WP(C) Costs not in AURORA 2007PCORC-5.07Update_TENASKA REGULATORY ASSET" xfId="6373"/>
    <cellStyle name="_DEM-WP(C) Costs not in AURORA 2007PCORC-5.07Update_TENASKA REGULATORY ASSET 2" xfId="6374"/>
    <cellStyle name="_DEM-WP(C) Costs not in AURORA 2007PCORC-5.07Update_TENASKA REGULATORY ASSET 2 2" xfId="6375"/>
    <cellStyle name="_DEM-WP(C) Costs not in AURORA 2007PCORC-5.07Update_TENASKA REGULATORY ASSET 3" xfId="6376"/>
    <cellStyle name="_DEM-WP(C) Costs Not In AURORA 2009GRC" xfId="6377"/>
    <cellStyle name="_DEM-WP(C) Costs Not In AURORA 2009GRC 2" xfId="6378"/>
    <cellStyle name="_x0013__DEM-WP(C) ENERG10C--ctn Mid-C_042010 2010GRC" xfId="6379"/>
    <cellStyle name="_x0013__DEM-WP(C) ENERG10C--ctn Mid-C_042010 2010GRC 2" xfId="6380"/>
    <cellStyle name="_DEM-WP(C) Prod O&amp;M 2007GRC" xfId="6381"/>
    <cellStyle name="_DEM-WP(C) Prod O&amp;M 2007GRC 2" xfId="6382"/>
    <cellStyle name="_DEM-WP(C) Prod O&amp;M 2007GRC 2 2" xfId="6383"/>
    <cellStyle name="_DEM-WP(C) Prod O&amp;M 2007GRC 2 2 2" xfId="6384"/>
    <cellStyle name="_DEM-WP(C) Prod O&amp;M 2007GRC 2 3" xfId="6385"/>
    <cellStyle name="_DEM-WP(C) Prod O&amp;M 2007GRC 3" xfId="6386"/>
    <cellStyle name="_DEM-WP(C) Prod O&amp;M 2007GRC 3 2" xfId="6387"/>
    <cellStyle name="_DEM-WP(C) Prod O&amp;M 2007GRC 4" xfId="6388"/>
    <cellStyle name="_DEM-WP(C) Prod O&amp;M 2007GRC 4 2" xfId="6389"/>
    <cellStyle name="_DEM-WP(C) Prod O&amp;M 2007GRC 5" xfId="6390"/>
    <cellStyle name="_DEM-WP(C) Prod O&amp;M 2007GRC 5 2" xfId="6391"/>
    <cellStyle name="_DEM-WP(C) Prod O&amp;M 2007GRC 6" xfId="6392"/>
    <cellStyle name="_DEM-WP(C) Prod O&amp;M 2007GRC 6 2" xfId="6393"/>
    <cellStyle name="_DEM-WP(C) Prod O&amp;M 2007GRC_Adj Bench DR 3 for Initial Briefs (Electric)" xfId="6394"/>
    <cellStyle name="_DEM-WP(C) Prod O&amp;M 2007GRC_Adj Bench DR 3 for Initial Briefs (Electric) 2" xfId="6395"/>
    <cellStyle name="_DEM-WP(C) Prod O&amp;M 2007GRC_Adj Bench DR 3 for Initial Briefs (Electric) 2 2" xfId="6396"/>
    <cellStyle name="_DEM-WP(C) Prod O&amp;M 2007GRC_Adj Bench DR 3 for Initial Briefs (Electric) 2 2 2" xfId="6397"/>
    <cellStyle name="_DEM-WP(C) Prod O&amp;M 2007GRC_Adj Bench DR 3 for Initial Briefs (Electric) 2 3" xfId="6398"/>
    <cellStyle name="_DEM-WP(C) Prod O&amp;M 2007GRC_Adj Bench DR 3 for Initial Briefs (Electric) 3" xfId="6399"/>
    <cellStyle name="_DEM-WP(C) Prod O&amp;M 2007GRC_Adj Bench DR 3 for Initial Briefs (Electric) 3 2" xfId="6400"/>
    <cellStyle name="_DEM-WP(C) Prod O&amp;M 2007GRC_Adj Bench DR 3 for Initial Briefs (Electric) 4" xfId="6401"/>
    <cellStyle name="_DEM-WP(C) Prod O&amp;M 2007GRC_Adj Bench DR 3 for Initial Briefs (Electric)_DEM-WP(C) ENERG10C--ctn Mid-C_042010 2010GRC" xfId="6402"/>
    <cellStyle name="_DEM-WP(C) Prod O&amp;M 2007GRC_Adj Bench DR 3 for Initial Briefs (Electric)_DEM-WP(C) ENERG10C--ctn Mid-C_042010 2010GRC 2" xfId="6403"/>
    <cellStyle name="_DEM-WP(C) Prod O&amp;M 2007GRC_Book2" xfId="6404"/>
    <cellStyle name="_DEM-WP(C) Prod O&amp;M 2007GRC_Book2 2" xfId="6405"/>
    <cellStyle name="_DEM-WP(C) Prod O&amp;M 2007GRC_Book2 2 2" xfId="6406"/>
    <cellStyle name="_DEM-WP(C) Prod O&amp;M 2007GRC_Book2 2 2 2" xfId="6407"/>
    <cellStyle name="_DEM-WP(C) Prod O&amp;M 2007GRC_Book2 2 3" xfId="6408"/>
    <cellStyle name="_DEM-WP(C) Prod O&amp;M 2007GRC_Book2 3" xfId="6409"/>
    <cellStyle name="_DEM-WP(C) Prod O&amp;M 2007GRC_Book2 3 2" xfId="6410"/>
    <cellStyle name="_DEM-WP(C) Prod O&amp;M 2007GRC_Book2 4" xfId="6411"/>
    <cellStyle name="_DEM-WP(C) Prod O&amp;M 2007GRC_Book2_Adj Bench DR 3 for Initial Briefs (Electric)" xfId="6412"/>
    <cellStyle name="_DEM-WP(C) Prod O&amp;M 2007GRC_Book2_Adj Bench DR 3 for Initial Briefs (Electric) 2" xfId="6413"/>
    <cellStyle name="_DEM-WP(C) Prod O&amp;M 2007GRC_Book2_Adj Bench DR 3 for Initial Briefs (Electric) 2 2" xfId="6414"/>
    <cellStyle name="_DEM-WP(C) Prod O&amp;M 2007GRC_Book2_Adj Bench DR 3 for Initial Briefs (Electric) 2 2 2" xfId="6415"/>
    <cellStyle name="_DEM-WP(C) Prod O&amp;M 2007GRC_Book2_Adj Bench DR 3 for Initial Briefs (Electric) 2 3" xfId="6416"/>
    <cellStyle name="_DEM-WP(C) Prod O&amp;M 2007GRC_Book2_Adj Bench DR 3 for Initial Briefs (Electric) 3" xfId="6417"/>
    <cellStyle name="_DEM-WP(C) Prod O&amp;M 2007GRC_Book2_Adj Bench DR 3 for Initial Briefs (Electric) 3 2" xfId="6418"/>
    <cellStyle name="_DEM-WP(C) Prod O&amp;M 2007GRC_Book2_Adj Bench DR 3 for Initial Briefs (Electric) 4" xfId="6419"/>
    <cellStyle name="_DEM-WP(C) Prod O&amp;M 2007GRC_Book2_Adj Bench DR 3 for Initial Briefs (Electric)_DEM-WP(C) ENERG10C--ctn Mid-C_042010 2010GRC" xfId="6420"/>
    <cellStyle name="_DEM-WP(C) Prod O&amp;M 2007GRC_Book2_Adj Bench DR 3 for Initial Briefs (Electric)_DEM-WP(C) ENERG10C--ctn Mid-C_042010 2010GRC 2" xfId="6421"/>
    <cellStyle name="_DEM-WP(C) Prod O&amp;M 2007GRC_Book2_DEM-WP(C) ENERG10C--ctn Mid-C_042010 2010GRC" xfId="6422"/>
    <cellStyle name="_DEM-WP(C) Prod O&amp;M 2007GRC_Book2_DEM-WP(C) ENERG10C--ctn Mid-C_042010 2010GRC 2" xfId="6423"/>
    <cellStyle name="_DEM-WP(C) Prod O&amp;M 2007GRC_Book2_Electric Rev Req Model (2009 GRC) Rebuttal" xfId="6424"/>
    <cellStyle name="_DEM-WP(C) Prod O&amp;M 2007GRC_Book2_Electric Rev Req Model (2009 GRC) Rebuttal 2" xfId="6425"/>
    <cellStyle name="_DEM-WP(C) Prod O&amp;M 2007GRC_Book2_Electric Rev Req Model (2009 GRC) Rebuttal 2 2" xfId="6426"/>
    <cellStyle name="_DEM-WP(C) Prod O&amp;M 2007GRC_Book2_Electric Rev Req Model (2009 GRC) Rebuttal 3" xfId="6427"/>
    <cellStyle name="_DEM-WP(C) Prod O&amp;M 2007GRC_Book2_Electric Rev Req Model (2009 GRC) Rebuttal REmoval of New  WH Solar AdjustMI" xfId="6428"/>
    <cellStyle name="_DEM-WP(C) Prod O&amp;M 2007GRC_Book2_Electric Rev Req Model (2009 GRC) Rebuttal REmoval of New  WH Solar AdjustMI 2" xfId="6429"/>
    <cellStyle name="_DEM-WP(C) Prod O&amp;M 2007GRC_Book2_Electric Rev Req Model (2009 GRC) Rebuttal REmoval of New  WH Solar AdjustMI 2 2" xfId="6430"/>
    <cellStyle name="_DEM-WP(C) Prod O&amp;M 2007GRC_Book2_Electric Rev Req Model (2009 GRC) Rebuttal REmoval of New  WH Solar AdjustMI 2 2 2" xfId="6431"/>
    <cellStyle name="_DEM-WP(C) Prod O&amp;M 2007GRC_Book2_Electric Rev Req Model (2009 GRC) Rebuttal REmoval of New  WH Solar AdjustMI 2 3" xfId="6432"/>
    <cellStyle name="_DEM-WP(C) Prod O&amp;M 2007GRC_Book2_Electric Rev Req Model (2009 GRC) Rebuttal REmoval of New  WH Solar AdjustMI 3" xfId="6433"/>
    <cellStyle name="_DEM-WP(C) Prod O&amp;M 2007GRC_Book2_Electric Rev Req Model (2009 GRC) Rebuttal REmoval of New  WH Solar AdjustMI 3 2" xfId="6434"/>
    <cellStyle name="_DEM-WP(C) Prod O&amp;M 2007GRC_Book2_Electric Rev Req Model (2009 GRC) Rebuttal REmoval of New  WH Solar AdjustMI 4" xfId="6435"/>
    <cellStyle name="_DEM-WP(C) Prod O&amp;M 2007GRC_Book2_Electric Rev Req Model (2009 GRC) Rebuttal REmoval of New  WH Solar AdjustMI_DEM-WP(C) ENERG10C--ctn Mid-C_042010 2010GRC" xfId="6436"/>
    <cellStyle name="_DEM-WP(C) Prod O&amp;M 2007GRC_Book2_Electric Rev Req Model (2009 GRC) Rebuttal REmoval of New  WH Solar AdjustMI_DEM-WP(C) ENERG10C--ctn Mid-C_042010 2010GRC 2" xfId="6437"/>
    <cellStyle name="_DEM-WP(C) Prod O&amp;M 2007GRC_Book2_Electric Rev Req Model (2009 GRC) Revised 01-18-2010" xfId="6438"/>
    <cellStyle name="_DEM-WP(C) Prod O&amp;M 2007GRC_Book2_Electric Rev Req Model (2009 GRC) Revised 01-18-2010 2" xfId="6439"/>
    <cellStyle name="_DEM-WP(C) Prod O&amp;M 2007GRC_Book2_Electric Rev Req Model (2009 GRC) Revised 01-18-2010 2 2" xfId="6440"/>
    <cellStyle name="_DEM-WP(C) Prod O&amp;M 2007GRC_Book2_Electric Rev Req Model (2009 GRC) Revised 01-18-2010 2 2 2" xfId="6441"/>
    <cellStyle name="_DEM-WP(C) Prod O&amp;M 2007GRC_Book2_Electric Rev Req Model (2009 GRC) Revised 01-18-2010 2 3" xfId="6442"/>
    <cellStyle name="_DEM-WP(C) Prod O&amp;M 2007GRC_Book2_Electric Rev Req Model (2009 GRC) Revised 01-18-2010 3" xfId="6443"/>
    <cellStyle name="_DEM-WP(C) Prod O&amp;M 2007GRC_Book2_Electric Rev Req Model (2009 GRC) Revised 01-18-2010 3 2" xfId="6444"/>
    <cellStyle name="_DEM-WP(C) Prod O&amp;M 2007GRC_Book2_Electric Rev Req Model (2009 GRC) Revised 01-18-2010 4" xfId="6445"/>
    <cellStyle name="_DEM-WP(C) Prod O&amp;M 2007GRC_Book2_Electric Rev Req Model (2009 GRC) Revised 01-18-2010_DEM-WP(C) ENERG10C--ctn Mid-C_042010 2010GRC" xfId="6446"/>
    <cellStyle name="_DEM-WP(C) Prod O&amp;M 2007GRC_Book2_Electric Rev Req Model (2009 GRC) Revised 01-18-2010_DEM-WP(C) ENERG10C--ctn Mid-C_042010 2010GRC 2" xfId="6447"/>
    <cellStyle name="_DEM-WP(C) Prod O&amp;M 2007GRC_Book2_Final Order Electric EXHIBIT A-1" xfId="6448"/>
    <cellStyle name="_DEM-WP(C) Prod O&amp;M 2007GRC_Book2_Final Order Electric EXHIBIT A-1 2" xfId="6449"/>
    <cellStyle name="_DEM-WP(C) Prod O&amp;M 2007GRC_Book2_Final Order Electric EXHIBIT A-1 2 2" xfId="6450"/>
    <cellStyle name="_DEM-WP(C) Prod O&amp;M 2007GRC_Book2_Final Order Electric EXHIBIT A-1 3" xfId="6451"/>
    <cellStyle name="_DEM-WP(C) Prod O&amp;M 2007GRC_Colstrip 1&amp;2 Annual O&amp;M Budgets" xfId="6452"/>
    <cellStyle name="_DEM-WP(C) Prod O&amp;M 2007GRC_Colstrip 1&amp;2 Annual O&amp;M Budgets 2" xfId="6453"/>
    <cellStyle name="_DEM-WP(C) Prod O&amp;M 2007GRC_Colstrip 1&amp;2 Annual O&amp;M Budgets 3" xfId="6454"/>
    <cellStyle name="_DEM-WP(C) Prod O&amp;M 2007GRC_Confidential Material" xfId="6455"/>
    <cellStyle name="_DEM-WP(C) Prod O&amp;M 2007GRC_Confidential Material 2" xfId="6456"/>
    <cellStyle name="_DEM-WP(C) Prod O&amp;M 2007GRC_DEM-WP(C) Colstrip 12 Coal Cost Forecast 2010GRC" xfId="6457"/>
    <cellStyle name="_DEM-WP(C) Prod O&amp;M 2007GRC_DEM-WP(C) Colstrip 12 Coal Cost Forecast 2010GRC 2" xfId="6458"/>
    <cellStyle name="_DEM-WP(C) Prod O&amp;M 2007GRC_DEM-WP(C) ENERG10C--ctn Mid-C_042010 2010GRC" xfId="6459"/>
    <cellStyle name="_DEM-WP(C) Prod O&amp;M 2007GRC_DEM-WP(C) ENERG10C--ctn Mid-C_042010 2010GRC 2" xfId="6460"/>
    <cellStyle name="_DEM-WP(C) Prod O&amp;M 2007GRC_DEM-WP(C) Production O&amp;M 2010GRC As-Filed" xfId="6461"/>
    <cellStyle name="_DEM-WP(C) Prod O&amp;M 2007GRC_DEM-WP(C) Production O&amp;M 2010GRC As-Filed 2" xfId="6462"/>
    <cellStyle name="_DEM-WP(C) Prod O&amp;M 2007GRC_DEM-WP(C) Production O&amp;M 2010GRC As-Filed 2 2" xfId="6463"/>
    <cellStyle name="_DEM-WP(C) Prod O&amp;M 2007GRC_DEM-WP(C) Production O&amp;M 2010GRC As-Filed 2 3" xfId="6464"/>
    <cellStyle name="_DEM-WP(C) Prod O&amp;M 2007GRC_DEM-WP(C) Production O&amp;M 2010GRC As-Filed 3" xfId="6465"/>
    <cellStyle name="_DEM-WP(C) Prod O&amp;M 2007GRC_DEM-WP(C) Production O&amp;M 2010GRC As-Filed 3 2" xfId="6466"/>
    <cellStyle name="_DEM-WP(C) Prod O&amp;M 2007GRC_DEM-WP(C) Production O&amp;M 2010GRC As-Filed 4" xfId="6467"/>
    <cellStyle name="_DEM-WP(C) Prod O&amp;M 2007GRC_DEM-WP(C) Production O&amp;M 2010GRC As-Filed 4 2" xfId="6468"/>
    <cellStyle name="_DEM-WP(C) Prod O&amp;M 2007GRC_DEM-WP(C) Production O&amp;M 2010GRC As-Filed 5" xfId="6469"/>
    <cellStyle name="_DEM-WP(C) Prod O&amp;M 2007GRC_DEM-WP(C) Production O&amp;M 2010GRC As-Filed 5 2" xfId="6470"/>
    <cellStyle name="_DEM-WP(C) Prod O&amp;M 2007GRC_DEM-WP(C) Production O&amp;M 2010GRC As-Filed 6" xfId="6471"/>
    <cellStyle name="_DEM-WP(C) Prod O&amp;M 2007GRC_DEM-WP(C) Production O&amp;M 2010GRC As-Filed 6 2" xfId="6472"/>
    <cellStyle name="_DEM-WP(C) Prod O&amp;M 2007GRC_Electric Rev Req Model (2009 GRC) Rebuttal" xfId="6473"/>
    <cellStyle name="_DEM-WP(C) Prod O&amp;M 2007GRC_Electric Rev Req Model (2009 GRC) Rebuttal 2" xfId="6474"/>
    <cellStyle name="_DEM-WP(C) Prod O&amp;M 2007GRC_Electric Rev Req Model (2009 GRC) Rebuttal 2 2" xfId="6475"/>
    <cellStyle name="_DEM-WP(C) Prod O&amp;M 2007GRC_Electric Rev Req Model (2009 GRC) Rebuttal 3" xfId="6476"/>
    <cellStyle name="_DEM-WP(C) Prod O&amp;M 2007GRC_Electric Rev Req Model (2009 GRC) Rebuttal REmoval of New  WH Solar AdjustMI" xfId="6477"/>
    <cellStyle name="_DEM-WP(C) Prod O&amp;M 2007GRC_Electric Rev Req Model (2009 GRC) Rebuttal REmoval of New  WH Solar AdjustMI 2" xfId="6478"/>
    <cellStyle name="_DEM-WP(C) Prod O&amp;M 2007GRC_Electric Rev Req Model (2009 GRC) Rebuttal REmoval of New  WH Solar AdjustMI 2 2" xfId="6479"/>
    <cellStyle name="_DEM-WP(C) Prod O&amp;M 2007GRC_Electric Rev Req Model (2009 GRC) Rebuttal REmoval of New  WH Solar AdjustMI 2 2 2" xfId="6480"/>
    <cellStyle name="_DEM-WP(C) Prod O&amp;M 2007GRC_Electric Rev Req Model (2009 GRC) Rebuttal REmoval of New  WH Solar AdjustMI 2 3" xfId="6481"/>
    <cellStyle name="_DEM-WP(C) Prod O&amp;M 2007GRC_Electric Rev Req Model (2009 GRC) Rebuttal REmoval of New  WH Solar AdjustMI 3" xfId="6482"/>
    <cellStyle name="_DEM-WP(C) Prod O&amp;M 2007GRC_Electric Rev Req Model (2009 GRC) Rebuttal REmoval of New  WH Solar AdjustMI 3 2" xfId="6483"/>
    <cellStyle name="_DEM-WP(C) Prod O&amp;M 2007GRC_Electric Rev Req Model (2009 GRC) Rebuttal REmoval of New  WH Solar AdjustMI 4" xfId="6484"/>
    <cellStyle name="_DEM-WP(C) Prod O&amp;M 2007GRC_Electric Rev Req Model (2009 GRC) Rebuttal REmoval of New  WH Solar AdjustMI_DEM-WP(C) ENERG10C--ctn Mid-C_042010 2010GRC" xfId="6485"/>
    <cellStyle name="_DEM-WP(C) Prod O&amp;M 2007GRC_Electric Rev Req Model (2009 GRC) Rebuttal REmoval of New  WH Solar AdjustMI_DEM-WP(C) ENERG10C--ctn Mid-C_042010 2010GRC 2" xfId="6486"/>
    <cellStyle name="_DEM-WP(C) Prod O&amp;M 2007GRC_Electric Rev Req Model (2009 GRC) Revised 01-18-2010" xfId="6487"/>
    <cellStyle name="_DEM-WP(C) Prod O&amp;M 2007GRC_Electric Rev Req Model (2009 GRC) Revised 01-18-2010 2" xfId="6488"/>
    <cellStyle name="_DEM-WP(C) Prod O&amp;M 2007GRC_Electric Rev Req Model (2009 GRC) Revised 01-18-2010 2 2" xfId="6489"/>
    <cellStyle name="_DEM-WP(C) Prod O&amp;M 2007GRC_Electric Rev Req Model (2009 GRC) Revised 01-18-2010 2 2 2" xfId="6490"/>
    <cellStyle name="_DEM-WP(C) Prod O&amp;M 2007GRC_Electric Rev Req Model (2009 GRC) Revised 01-18-2010 2 3" xfId="6491"/>
    <cellStyle name="_DEM-WP(C) Prod O&amp;M 2007GRC_Electric Rev Req Model (2009 GRC) Revised 01-18-2010 3" xfId="6492"/>
    <cellStyle name="_DEM-WP(C) Prod O&amp;M 2007GRC_Electric Rev Req Model (2009 GRC) Revised 01-18-2010 3 2" xfId="6493"/>
    <cellStyle name="_DEM-WP(C) Prod O&amp;M 2007GRC_Electric Rev Req Model (2009 GRC) Revised 01-18-2010 4" xfId="6494"/>
    <cellStyle name="_DEM-WP(C) Prod O&amp;M 2007GRC_Electric Rev Req Model (2009 GRC) Revised 01-18-2010_DEM-WP(C) ENERG10C--ctn Mid-C_042010 2010GRC" xfId="6495"/>
    <cellStyle name="_DEM-WP(C) Prod O&amp;M 2007GRC_Electric Rev Req Model (2009 GRC) Revised 01-18-2010_DEM-WP(C) ENERG10C--ctn Mid-C_042010 2010GRC 2" xfId="6496"/>
    <cellStyle name="_DEM-WP(C) Prod O&amp;M 2007GRC_Final Order Electric EXHIBIT A-1" xfId="6497"/>
    <cellStyle name="_DEM-WP(C) Prod O&amp;M 2007GRC_Final Order Electric EXHIBIT A-1 2" xfId="6498"/>
    <cellStyle name="_DEM-WP(C) Prod O&amp;M 2007GRC_Final Order Electric EXHIBIT A-1 2 2" xfId="6499"/>
    <cellStyle name="_DEM-WP(C) Prod O&amp;M 2007GRC_Final Order Electric EXHIBIT A-1 3" xfId="6500"/>
    <cellStyle name="_DEM-WP(C) Prod O&amp;M 2007GRC_Rebuttal Power Costs" xfId="6501"/>
    <cellStyle name="_DEM-WP(C) Prod O&amp;M 2007GRC_Rebuttal Power Costs 2" xfId="6502"/>
    <cellStyle name="_DEM-WP(C) Prod O&amp;M 2007GRC_Rebuttal Power Costs 2 2" xfId="6503"/>
    <cellStyle name="_DEM-WP(C) Prod O&amp;M 2007GRC_Rebuttal Power Costs 2 2 2" xfId="6504"/>
    <cellStyle name="_DEM-WP(C) Prod O&amp;M 2007GRC_Rebuttal Power Costs 2 3" xfId="6505"/>
    <cellStyle name="_DEM-WP(C) Prod O&amp;M 2007GRC_Rebuttal Power Costs 3" xfId="6506"/>
    <cellStyle name="_DEM-WP(C) Prod O&amp;M 2007GRC_Rebuttal Power Costs 3 2" xfId="6507"/>
    <cellStyle name="_DEM-WP(C) Prod O&amp;M 2007GRC_Rebuttal Power Costs 4" xfId="6508"/>
    <cellStyle name="_DEM-WP(C) Prod O&amp;M 2007GRC_Rebuttal Power Costs_Adj Bench DR 3 for Initial Briefs (Electric)" xfId="6509"/>
    <cellStyle name="_DEM-WP(C) Prod O&amp;M 2007GRC_Rebuttal Power Costs_Adj Bench DR 3 for Initial Briefs (Electric) 2" xfId="6510"/>
    <cellStyle name="_DEM-WP(C) Prod O&amp;M 2007GRC_Rebuttal Power Costs_Adj Bench DR 3 for Initial Briefs (Electric) 2 2" xfId="6511"/>
    <cellStyle name="_DEM-WP(C) Prod O&amp;M 2007GRC_Rebuttal Power Costs_Adj Bench DR 3 for Initial Briefs (Electric) 2 2 2" xfId="6512"/>
    <cellStyle name="_DEM-WP(C) Prod O&amp;M 2007GRC_Rebuttal Power Costs_Adj Bench DR 3 for Initial Briefs (Electric) 2 3" xfId="6513"/>
    <cellStyle name="_DEM-WP(C) Prod O&amp;M 2007GRC_Rebuttal Power Costs_Adj Bench DR 3 for Initial Briefs (Electric) 3" xfId="6514"/>
    <cellStyle name="_DEM-WP(C) Prod O&amp;M 2007GRC_Rebuttal Power Costs_Adj Bench DR 3 for Initial Briefs (Electric) 3 2" xfId="6515"/>
    <cellStyle name="_DEM-WP(C) Prod O&amp;M 2007GRC_Rebuttal Power Costs_Adj Bench DR 3 for Initial Briefs (Electric) 4" xfId="6516"/>
    <cellStyle name="_DEM-WP(C) Prod O&amp;M 2007GRC_Rebuttal Power Costs_Adj Bench DR 3 for Initial Briefs (Electric)_DEM-WP(C) ENERG10C--ctn Mid-C_042010 2010GRC" xfId="6517"/>
    <cellStyle name="_DEM-WP(C) Prod O&amp;M 2007GRC_Rebuttal Power Costs_Adj Bench DR 3 for Initial Briefs (Electric)_DEM-WP(C) ENERG10C--ctn Mid-C_042010 2010GRC 2" xfId="6518"/>
    <cellStyle name="_DEM-WP(C) Prod O&amp;M 2007GRC_Rebuttal Power Costs_DEM-WP(C) ENERG10C--ctn Mid-C_042010 2010GRC" xfId="6519"/>
    <cellStyle name="_DEM-WP(C) Prod O&amp;M 2007GRC_Rebuttal Power Costs_DEM-WP(C) ENERG10C--ctn Mid-C_042010 2010GRC 2" xfId="6520"/>
    <cellStyle name="_DEM-WP(C) Prod O&amp;M 2007GRC_Rebuttal Power Costs_Electric Rev Req Model (2009 GRC) Rebuttal" xfId="6521"/>
    <cellStyle name="_DEM-WP(C) Prod O&amp;M 2007GRC_Rebuttal Power Costs_Electric Rev Req Model (2009 GRC) Rebuttal 2" xfId="6522"/>
    <cellStyle name="_DEM-WP(C) Prod O&amp;M 2007GRC_Rebuttal Power Costs_Electric Rev Req Model (2009 GRC) Rebuttal 2 2" xfId="6523"/>
    <cellStyle name="_DEM-WP(C) Prod O&amp;M 2007GRC_Rebuttal Power Costs_Electric Rev Req Model (2009 GRC) Rebuttal 3" xfId="6524"/>
    <cellStyle name="_DEM-WP(C) Prod O&amp;M 2007GRC_Rebuttal Power Costs_Electric Rev Req Model (2009 GRC) Rebuttal REmoval of New  WH Solar AdjustMI" xfId="6525"/>
    <cellStyle name="_DEM-WP(C) Prod O&amp;M 2007GRC_Rebuttal Power Costs_Electric Rev Req Model (2009 GRC) Rebuttal REmoval of New  WH Solar AdjustMI 2" xfId="6526"/>
    <cellStyle name="_DEM-WP(C) Prod O&amp;M 2007GRC_Rebuttal Power Costs_Electric Rev Req Model (2009 GRC) Rebuttal REmoval of New  WH Solar AdjustMI 2 2" xfId="6527"/>
    <cellStyle name="_DEM-WP(C) Prod O&amp;M 2007GRC_Rebuttal Power Costs_Electric Rev Req Model (2009 GRC) Rebuttal REmoval of New  WH Solar AdjustMI 2 2 2" xfId="6528"/>
    <cellStyle name="_DEM-WP(C) Prod O&amp;M 2007GRC_Rebuttal Power Costs_Electric Rev Req Model (2009 GRC) Rebuttal REmoval of New  WH Solar AdjustMI 2 3" xfId="6529"/>
    <cellStyle name="_DEM-WP(C) Prod O&amp;M 2007GRC_Rebuttal Power Costs_Electric Rev Req Model (2009 GRC) Rebuttal REmoval of New  WH Solar AdjustMI 3" xfId="6530"/>
    <cellStyle name="_DEM-WP(C) Prod O&amp;M 2007GRC_Rebuttal Power Costs_Electric Rev Req Model (2009 GRC) Rebuttal REmoval of New  WH Solar AdjustMI 3 2" xfId="6531"/>
    <cellStyle name="_DEM-WP(C) Prod O&amp;M 2007GRC_Rebuttal Power Costs_Electric Rev Req Model (2009 GRC) Rebuttal REmoval of New  WH Solar AdjustMI 4" xfId="6532"/>
    <cellStyle name="_DEM-WP(C) Prod O&amp;M 2007GRC_Rebuttal Power Costs_Electric Rev Req Model (2009 GRC) Rebuttal REmoval of New  WH Solar AdjustMI_DEM-WP(C) ENERG10C--ctn Mid-C_042010 2010GRC" xfId="6533"/>
    <cellStyle name="_DEM-WP(C) Prod O&amp;M 2007GRC_Rebuttal Power Costs_Electric Rev Req Model (2009 GRC) Rebuttal REmoval of New  WH Solar AdjustMI_DEM-WP(C) ENERG10C--ctn Mid-C_042010 2010GRC 2" xfId="6534"/>
    <cellStyle name="_DEM-WP(C) Prod O&amp;M 2007GRC_Rebuttal Power Costs_Electric Rev Req Model (2009 GRC) Revised 01-18-2010" xfId="6535"/>
    <cellStyle name="_DEM-WP(C) Prod O&amp;M 2007GRC_Rebuttal Power Costs_Electric Rev Req Model (2009 GRC) Revised 01-18-2010 2" xfId="6536"/>
    <cellStyle name="_DEM-WP(C) Prod O&amp;M 2007GRC_Rebuttal Power Costs_Electric Rev Req Model (2009 GRC) Revised 01-18-2010 2 2" xfId="6537"/>
    <cellStyle name="_DEM-WP(C) Prod O&amp;M 2007GRC_Rebuttal Power Costs_Electric Rev Req Model (2009 GRC) Revised 01-18-2010 2 2 2" xfId="6538"/>
    <cellStyle name="_DEM-WP(C) Prod O&amp;M 2007GRC_Rebuttal Power Costs_Electric Rev Req Model (2009 GRC) Revised 01-18-2010 2 3" xfId="6539"/>
    <cellStyle name="_DEM-WP(C) Prod O&amp;M 2007GRC_Rebuttal Power Costs_Electric Rev Req Model (2009 GRC) Revised 01-18-2010 3" xfId="6540"/>
    <cellStyle name="_DEM-WP(C) Prod O&amp;M 2007GRC_Rebuttal Power Costs_Electric Rev Req Model (2009 GRC) Revised 01-18-2010 3 2" xfId="6541"/>
    <cellStyle name="_DEM-WP(C) Prod O&amp;M 2007GRC_Rebuttal Power Costs_Electric Rev Req Model (2009 GRC) Revised 01-18-2010 4" xfId="6542"/>
    <cellStyle name="_DEM-WP(C) Prod O&amp;M 2007GRC_Rebuttal Power Costs_Electric Rev Req Model (2009 GRC) Revised 01-18-2010_DEM-WP(C) ENERG10C--ctn Mid-C_042010 2010GRC" xfId="6543"/>
    <cellStyle name="_DEM-WP(C) Prod O&amp;M 2007GRC_Rebuttal Power Costs_Electric Rev Req Model (2009 GRC) Revised 01-18-2010_DEM-WP(C) ENERG10C--ctn Mid-C_042010 2010GRC 2" xfId="6544"/>
    <cellStyle name="_DEM-WP(C) Prod O&amp;M 2007GRC_Rebuttal Power Costs_Final Order Electric EXHIBIT A-1" xfId="6545"/>
    <cellStyle name="_DEM-WP(C) Prod O&amp;M 2007GRC_Rebuttal Power Costs_Final Order Electric EXHIBIT A-1 2" xfId="6546"/>
    <cellStyle name="_DEM-WP(C) Prod O&amp;M 2007GRC_Rebuttal Power Costs_Final Order Electric EXHIBIT A-1 2 2" xfId="6547"/>
    <cellStyle name="_DEM-WP(C) Prod O&amp;M 2007GRC_Rebuttal Power Costs_Final Order Electric EXHIBIT A-1 3" xfId="6548"/>
    <cellStyle name="_x0013__DEM-WP(C) Production O&amp;M 2010GRC As-Filed" xfId="6549"/>
    <cellStyle name="_x0013__DEM-WP(C) Production O&amp;M 2010GRC As-Filed 2" xfId="6550"/>
    <cellStyle name="_x0013__DEM-WP(C) Production O&amp;M 2010GRC As-Filed 2 2" xfId="6551"/>
    <cellStyle name="_x0013__DEM-WP(C) Production O&amp;M 2010GRC As-Filed 2 3" xfId="6552"/>
    <cellStyle name="_x0013__DEM-WP(C) Production O&amp;M 2010GRC As-Filed 3" xfId="6553"/>
    <cellStyle name="_x0013__DEM-WP(C) Production O&amp;M 2010GRC As-Filed 3 2" xfId="6554"/>
    <cellStyle name="_x0013__DEM-WP(C) Production O&amp;M 2010GRC As-Filed 4" xfId="6555"/>
    <cellStyle name="_x0013__DEM-WP(C) Production O&amp;M 2010GRC As-Filed 4 2" xfId="6556"/>
    <cellStyle name="_x0013__DEM-WP(C) Production O&amp;M 2010GRC As-Filed 5" xfId="6557"/>
    <cellStyle name="_x0013__DEM-WP(C) Production O&amp;M 2010GRC As-Filed 5 2" xfId="6558"/>
    <cellStyle name="_x0013__DEM-WP(C) Production O&amp;M 2010GRC As-Filed 6" xfId="6559"/>
    <cellStyle name="_x0013__DEM-WP(C) Production O&amp;M 2010GRC As-Filed 6 2" xfId="6560"/>
    <cellStyle name="_DEM-WP(C) Rate Year Sumas by Month Update Corrected" xfId="6561"/>
    <cellStyle name="_DEM-WP(C) Rate Year Sumas by Month Update Corrected 2" xfId="6562"/>
    <cellStyle name="_DEM-WP(C) ST Power Contracts 3102008" xfId="6563"/>
    <cellStyle name="_DEM-WP(C) ST Power Contracts 3102008 2" xfId="6564"/>
    <cellStyle name="_DEM-WP(C) ST Power Contracts 3102008 2 2" xfId="6565"/>
    <cellStyle name="_DEM-WP(C) ST Power Contracts 3102008 3" xfId="6566"/>
    <cellStyle name="_DEM-WP(C) ST Power Contracts 3102008 3 2" xfId="6567"/>
    <cellStyle name="_DEM-WP(C) ST Power Contracts 3102008 3 2 2" xfId="6568"/>
    <cellStyle name="_DEM-WP(C) ST Power Contracts 3102008 3 3" xfId="6569"/>
    <cellStyle name="_DEM-WP(C) ST Power Contracts 3102008 4" xfId="6570"/>
    <cellStyle name="_DEM-WP(C) Sumas Proforma 11.14.07" xfId="6571"/>
    <cellStyle name="_DEM-WP(C) Sumas Proforma 11.14.07 2" xfId="6572"/>
    <cellStyle name="_DEM-WP(C) Sumas Proforma 11.5.07" xfId="6573"/>
    <cellStyle name="_DEM-WP(C) Sumas Proforma 11.5.07 2" xfId="6574"/>
    <cellStyle name="_DEM-WP(C) Wells_Power_Cost" xfId="6575"/>
    <cellStyle name="_DEM-WP(C) Wells_Power_Cost 2" xfId="6576"/>
    <cellStyle name="_DEM-WP(C) Wells_Power_Cost 2 2" xfId="6577"/>
    <cellStyle name="_DEM-WP(C) Wells_Power_Cost 2 2 2" xfId="6578"/>
    <cellStyle name="_DEM-WP(C) Wells_Power_Cost 2 3" xfId="6579"/>
    <cellStyle name="_DEM-WP(C) Wells_Power_Cost 3" xfId="6580"/>
    <cellStyle name="_DEM-WP(C) Westside Hydro Data_051007" xfId="6581"/>
    <cellStyle name="_DEM-WP(C) Westside Hydro Data_051007 2" xfId="6582"/>
    <cellStyle name="_DEM-WP(C) Westside Hydro Data_051007 2 2" xfId="6583"/>
    <cellStyle name="_DEM-WP(C) Westside Hydro Data_051007 2 2 2" xfId="6584"/>
    <cellStyle name="_DEM-WP(C) Westside Hydro Data_051007 2 3" xfId="6585"/>
    <cellStyle name="_DEM-WP(C) Westside Hydro Data_051007 3" xfId="6586"/>
    <cellStyle name="_DEM-WP(C) Westside Hydro Data_051007 3 2" xfId="6587"/>
    <cellStyle name="_DEM-WP(C) Westside Hydro Data_051007 4" xfId="6588"/>
    <cellStyle name="_DEM-WP(C) Westside Hydro Data_051007_16.37E Wild Horse Expansion DeferralRevwrkingfile SF" xfId="6589"/>
    <cellStyle name="_DEM-WP(C) Westside Hydro Data_051007_16.37E Wild Horse Expansion DeferralRevwrkingfile SF 2" xfId="6590"/>
    <cellStyle name="_DEM-WP(C) Westside Hydro Data_051007_16.37E Wild Horse Expansion DeferralRevwrkingfile SF 2 2" xfId="6591"/>
    <cellStyle name="_DEM-WP(C) Westside Hydro Data_051007_16.37E Wild Horse Expansion DeferralRevwrkingfile SF 2 2 2" xfId="6592"/>
    <cellStyle name="_DEM-WP(C) Westside Hydro Data_051007_16.37E Wild Horse Expansion DeferralRevwrkingfile SF 2 3" xfId="6593"/>
    <cellStyle name="_DEM-WP(C) Westside Hydro Data_051007_16.37E Wild Horse Expansion DeferralRevwrkingfile SF 3" xfId="6594"/>
    <cellStyle name="_DEM-WP(C) Westside Hydro Data_051007_16.37E Wild Horse Expansion DeferralRevwrkingfile SF 3 2" xfId="6595"/>
    <cellStyle name="_DEM-WP(C) Westside Hydro Data_051007_16.37E Wild Horse Expansion DeferralRevwrkingfile SF 4" xfId="6596"/>
    <cellStyle name="_DEM-WP(C) Westside Hydro Data_051007_16.37E Wild Horse Expansion DeferralRevwrkingfile SF_DEM-WP(C) ENERG10C--ctn Mid-C_042010 2010GRC" xfId="6597"/>
    <cellStyle name="_DEM-WP(C) Westside Hydro Data_051007_16.37E Wild Horse Expansion DeferralRevwrkingfile SF_DEM-WP(C) ENERG10C--ctn Mid-C_042010 2010GRC 2" xfId="6598"/>
    <cellStyle name="_DEM-WP(C) Westside Hydro Data_051007_2009 GRC Compl Filing - Exhibit D" xfId="6599"/>
    <cellStyle name="_DEM-WP(C) Westside Hydro Data_051007_2009 GRC Compl Filing - Exhibit D 2" xfId="6600"/>
    <cellStyle name="_DEM-WP(C) Westside Hydro Data_051007_2009 GRC Compl Filing - Exhibit D 2 2" xfId="6601"/>
    <cellStyle name="_DEM-WP(C) Westside Hydro Data_051007_2009 GRC Compl Filing - Exhibit D 2 2 2" xfId="6602"/>
    <cellStyle name="_DEM-WP(C) Westside Hydro Data_051007_2009 GRC Compl Filing - Exhibit D 2 3" xfId="6603"/>
    <cellStyle name="_DEM-WP(C) Westside Hydro Data_051007_2009 GRC Compl Filing - Exhibit D 3" xfId="6604"/>
    <cellStyle name="_DEM-WP(C) Westside Hydro Data_051007_2009 GRC Compl Filing - Exhibit D 3 2" xfId="6605"/>
    <cellStyle name="_DEM-WP(C) Westside Hydro Data_051007_2009 GRC Compl Filing - Exhibit D 4" xfId="6606"/>
    <cellStyle name="_DEM-WP(C) Westside Hydro Data_051007_2009 GRC Compl Filing - Exhibit D_DEM-WP(C) ENERG10C--ctn Mid-C_042010 2010GRC" xfId="6607"/>
    <cellStyle name="_DEM-WP(C) Westside Hydro Data_051007_2009 GRC Compl Filing - Exhibit D_DEM-WP(C) ENERG10C--ctn Mid-C_042010 2010GRC 2" xfId="6608"/>
    <cellStyle name="_DEM-WP(C) Westside Hydro Data_051007_Adj Bench DR 3 for Initial Briefs (Electric)" xfId="6609"/>
    <cellStyle name="_DEM-WP(C) Westside Hydro Data_051007_Adj Bench DR 3 for Initial Briefs (Electric) 2" xfId="6610"/>
    <cellStyle name="_DEM-WP(C) Westside Hydro Data_051007_Adj Bench DR 3 for Initial Briefs (Electric) 2 2" xfId="6611"/>
    <cellStyle name="_DEM-WP(C) Westside Hydro Data_051007_Adj Bench DR 3 for Initial Briefs (Electric) 2 2 2" xfId="6612"/>
    <cellStyle name="_DEM-WP(C) Westside Hydro Data_051007_Adj Bench DR 3 for Initial Briefs (Electric) 2 3" xfId="6613"/>
    <cellStyle name="_DEM-WP(C) Westside Hydro Data_051007_Adj Bench DR 3 for Initial Briefs (Electric) 3" xfId="6614"/>
    <cellStyle name="_DEM-WP(C) Westside Hydro Data_051007_Adj Bench DR 3 for Initial Briefs (Electric) 3 2" xfId="6615"/>
    <cellStyle name="_DEM-WP(C) Westside Hydro Data_051007_Adj Bench DR 3 for Initial Briefs (Electric) 4" xfId="6616"/>
    <cellStyle name="_DEM-WP(C) Westside Hydro Data_051007_Adj Bench DR 3 for Initial Briefs (Electric)_DEM-WP(C) ENERG10C--ctn Mid-C_042010 2010GRC" xfId="6617"/>
    <cellStyle name="_DEM-WP(C) Westside Hydro Data_051007_Adj Bench DR 3 for Initial Briefs (Electric)_DEM-WP(C) ENERG10C--ctn Mid-C_042010 2010GRC 2" xfId="6618"/>
    <cellStyle name="_DEM-WP(C) Westside Hydro Data_051007_Book1" xfId="6619"/>
    <cellStyle name="_DEM-WP(C) Westside Hydro Data_051007_Book1 2" xfId="6620"/>
    <cellStyle name="_DEM-WP(C) Westside Hydro Data_051007_Book2" xfId="6621"/>
    <cellStyle name="_DEM-WP(C) Westside Hydro Data_051007_Book2 2" xfId="6622"/>
    <cellStyle name="_DEM-WP(C) Westside Hydro Data_051007_Book2 2 2" xfId="6623"/>
    <cellStyle name="_DEM-WP(C) Westside Hydro Data_051007_Book2 2 2 2" xfId="6624"/>
    <cellStyle name="_DEM-WP(C) Westside Hydro Data_051007_Book2 2 3" xfId="6625"/>
    <cellStyle name="_DEM-WP(C) Westside Hydro Data_051007_Book2 3" xfId="6626"/>
    <cellStyle name="_DEM-WP(C) Westside Hydro Data_051007_Book2 3 2" xfId="6627"/>
    <cellStyle name="_DEM-WP(C) Westside Hydro Data_051007_Book2 4" xfId="6628"/>
    <cellStyle name="_DEM-WP(C) Westside Hydro Data_051007_Book2_DEM-WP(C) ENERG10C--ctn Mid-C_042010 2010GRC" xfId="6629"/>
    <cellStyle name="_DEM-WP(C) Westside Hydro Data_051007_Book2_DEM-WP(C) ENERG10C--ctn Mid-C_042010 2010GRC 2" xfId="6630"/>
    <cellStyle name="_DEM-WP(C) Westside Hydro Data_051007_Book4" xfId="6631"/>
    <cellStyle name="_DEM-WP(C) Westside Hydro Data_051007_Book4 2" xfId="6632"/>
    <cellStyle name="_DEM-WP(C) Westside Hydro Data_051007_Book4 2 2" xfId="6633"/>
    <cellStyle name="_DEM-WP(C) Westside Hydro Data_051007_Book4 2 2 2" xfId="6634"/>
    <cellStyle name="_DEM-WP(C) Westside Hydro Data_051007_Book4 2 3" xfId="6635"/>
    <cellStyle name="_DEM-WP(C) Westside Hydro Data_051007_Book4 3" xfId="6636"/>
    <cellStyle name="_DEM-WP(C) Westside Hydro Data_051007_Book4 3 2" xfId="6637"/>
    <cellStyle name="_DEM-WP(C) Westside Hydro Data_051007_Book4 4" xfId="6638"/>
    <cellStyle name="_DEM-WP(C) Westside Hydro Data_051007_Book4_DEM-WP(C) ENERG10C--ctn Mid-C_042010 2010GRC" xfId="6639"/>
    <cellStyle name="_DEM-WP(C) Westside Hydro Data_051007_Book4_DEM-WP(C) ENERG10C--ctn Mid-C_042010 2010GRC 2" xfId="6640"/>
    <cellStyle name="_DEM-WP(C) Westside Hydro Data_051007_DEM-WP(C) ENERG10C--ctn Mid-C_042010 2010GRC" xfId="6641"/>
    <cellStyle name="_DEM-WP(C) Westside Hydro Data_051007_DEM-WP(C) ENERG10C--ctn Mid-C_042010 2010GRC 2" xfId="6642"/>
    <cellStyle name="_DEM-WP(C) Westside Hydro Data_051007_Electric Rev Req Model (2009 GRC) " xfId="6643"/>
    <cellStyle name="_DEM-WP(C) Westside Hydro Data_051007_Electric Rev Req Model (2009 GRC)  2" xfId="6644"/>
    <cellStyle name="_DEM-WP(C) Westside Hydro Data_051007_Electric Rev Req Model (2009 GRC)  2 2" xfId="6645"/>
    <cellStyle name="_DEM-WP(C) Westside Hydro Data_051007_Electric Rev Req Model (2009 GRC)  2 2 2" xfId="6646"/>
    <cellStyle name="_DEM-WP(C) Westside Hydro Data_051007_Electric Rev Req Model (2009 GRC)  2 3" xfId="6647"/>
    <cellStyle name="_DEM-WP(C) Westside Hydro Data_051007_Electric Rev Req Model (2009 GRC)  3" xfId="6648"/>
    <cellStyle name="_DEM-WP(C) Westside Hydro Data_051007_Electric Rev Req Model (2009 GRC)  3 2" xfId="6649"/>
    <cellStyle name="_DEM-WP(C) Westside Hydro Data_051007_Electric Rev Req Model (2009 GRC)  4" xfId="6650"/>
    <cellStyle name="_DEM-WP(C) Westside Hydro Data_051007_Electric Rev Req Model (2009 GRC) _DEM-WP(C) ENERG10C--ctn Mid-C_042010 2010GRC" xfId="6651"/>
    <cellStyle name="_DEM-WP(C) Westside Hydro Data_051007_Electric Rev Req Model (2009 GRC) _DEM-WP(C) ENERG10C--ctn Mid-C_042010 2010GRC 2" xfId="6652"/>
    <cellStyle name="_DEM-WP(C) Westside Hydro Data_051007_Electric Rev Req Model (2009 GRC) Rebuttal" xfId="6653"/>
    <cellStyle name="_DEM-WP(C) Westside Hydro Data_051007_Electric Rev Req Model (2009 GRC) Rebuttal 2" xfId="6654"/>
    <cellStyle name="_DEM-WP(C) Westside Hydro Data_051007_Electric Rev Req Model (2009 GRC) Rebuttal 2 2" xfId="6655"/>
    <cellStyle name="_DEM-WP(C) Westside Hydro Data_051007_Electric Rev Req Model (2009 GRC) Rebuttal 3" xfId="6656"/>
    <cellStyle name="_DEM-WP(C) Westside Hydro Data_051007_Electric Rev Req Model (2009 GRC) Rebuttal REmoval of New  WH Solar AdjustMI" xfId="6657"/>
    <cellStyle name="_DEM-WP(C) Westside Hydro Data_051007_Electric Rev Req Model (2009 GRC) Rebuttal REmoval of New  WH Solar AdjustMI 2" xfId="6658"/>
    <cellStyle name="_DEM-WP(C) Westside Hydro Data_051007_Electric Rev Req Model (2009 GRC) Rebuttal REmoval of New  WH Solar AdjustMI 2 2" xfId="6659"/>
    <cellStyle name="_DEM-WP(C) Westside Hydro Data_051007_Electric Rev Req Model (2009 GRC) Rebuttal REmoval of New  WH Solar AdjustMI 2 2 2" xfId="6660"/>
    <cellStyle name="_DEM-WP(C) Westside Hydro Data_051007_Electric Rev Req Model (2009 GRC) Rebuttal REmoval of New  WH Solar AdjustMI 2 3" xfId="6661"/>
    <cellStyle name="_DEM-WP(C) Westside Hydro Data_051007_Electric Rev Req Model (2009 GRC) Rebuttal REmoval of New  WH Solar AdjustMI 3" xfId="6662"/>
    <cellStyle name="_DEM-WP(C) Westside Hydro Data_051007_Electric Rev Req Model (2009 GRC) Rebuttal REmoval of New  WH Solar AdjustMI 3 2" xfId="6663"/>
    <cellStyle name="_DEM-WP(C) Westside Hydro Data_051007_Electric Rev Req Model (2009 GRC) Rebuttal REmoval of New  WH Solar AdjustMI 4" xfId="6664"/>
    <cellStyle name="_DEM-WP(C) Westside Hydro Data_051007_Electric Rev Req Model (2009 GRC) Rebuttal REmoval of New  WH Solar AdjustMI_DEM-WP(C) ENERG10C--ctn Mid-C_042010 2010GRC" xfId="6665"/>
    <cellStyle name="_DEM-WP(C) Westside Hydro Data_051007_Electric Rev Req Model (2009 GRC) Rebuttal REmoval of New  WH Solar AdjustMI_DEM-WP(C) ENERG10C--ctn Mid-C_042010 2010GRC 2" xfId="6666"/>
    <cellStyle name="_DEM-WP(C) Westside Hydro Data_051007_Electric Rev Req Model (2009 GRC) Revised 01-18-2010" xfId="6667"/>
    <cellStyle name="_DEM-WP(C) Westside Hydro Data_051007_Electric Rev Req Model (2009 GRC) Revised 01-18-2010 2" xfId="6668"/>
    <cellStyle name="_DEM-WP(C) Westside Hydro Data_051007_Electric Rev Req Model (2009 GRC) Revised 01-18-2010 2 2" xfId="6669"/>
    <cellStyle name="_DEM-WP(C) Westside Hydro Data_051007_Electric Rev Req Model (2009 GRC) Revised 01-18-2010 2 2 2" xfId="6670"/>
    <cellStyle name="_DEM-WP(C) Westside Hydro Data_051007_Electric Rev Req Model (2009 GRC) Revised 01-18-2010 2 3" xfId="6671"/>
    <cellStyle name="_DEM-WP(C) Westside Hydro Data_051007_Electric Rev Req Model (2009 GRC) Revised 01-18-2010 3" xfId="6672"/>
    <cellStyle name="_DEM-WP(C) Westside Hydro Data_051007_Electric Rev Req Model (2009 GRC) Revised 01-18-2010 3 2" xfId="6673"/>
    <cellStyle name="_DEM-WP(C) Westside Hydro Data_051007_Electric Rev Req Model (2009 GRC) Revised 01-18-2010 4" xfId="6674"/>
    <cellStyle name="_DEM-WP(C) Westside Hydro Data_051007_Electric Rev Req Model (2009 GRC) Revised 01-18-2010_DEM-WP(C) ENERG10C--ctn Mid-C_042010 2010GRC" xfId="6675"/>
    <cellStyle name="_DEM-WP(C) Westside Hydro Data_051007_Electric Rev Req Model (2009 GRC) Revised 01-18-2010_DEM-WP(C) ENERG10C--ctn Mid-C_042010 2010GRC 2" xfId="6676"/>
    <cellStyle name="_DEM-WP(C) Westside Hydro Data_051007_Electric Rev Req Model (2010 GRC)" xfId="6677"/>
    <cellStyle name="_DEM-WP(C) Westside Hydro Data_051007_Electric Rev Req Model (2010 GRC) 2" xfId="6678"/>
    <cellStyle name="_DEM-WP(C) Westside Hydro Data_051007_Electric Rev Req Model (2010 GRC) SF" xfId="6679"/>
    <cellStyle name="_DEM-WP(C) Westside Hydro Data_051007_Electric Rev Req Model (2010 GRC) SF 2" xfId="6680"/>
    <cellStyle name="_DEM-WP(C) Westside Hydro Data_051007_Final Order Electric EXHIBIT A-1" xfId="6681"/>
    <cellStyle name="_DEM-WP(C) Westside Hydro Data_051007_Final Order Electric EXHIBIT A-1 2" xfId="6682"/>
    <cellStyle name="_DEM-WP(C) Westside Hydro Data_051007_Final Order Electric EXHIBIT A-1 2 2" xfId="6683"/>
    <cellStyle name="_DEM-WP(C) Westside Hydro Data_051007_Final Order Electric EXHIBIT A-1 3" xfId="6684"/>
    <cellStyle name="_DEM-WP(C) Westside Hydro Data_051007_NIM Summary" xfId="6685"/>
    <cellStyle name="_DEM-WP(C) Westside Hydro Data_051007_NIM Summary 2" xfId="6686"/>
    <cellStyle name="_DEM-WP(C) Westside Hydro Data_051007_NIM Summary 2 2" xfId="6687"/>
    <cellStyle name="_DEM-WP(C) Westside Hydro Data_051007_NIM Summary 2 2 2" xfId="6688"/>
    <cellStyle name="_DEM-WP(C) Westside Hydro Data_051007_NIM Summary 2 3" xfId="6689"/>
    <cellStyle name="_DEM-WP(C) Westside Hydro Data_051007_NIM Summary 3" xfId="6690"/>
    <cellStyle name="_DEM-WP(C) Westside Hydro Data_051007_NIM Summary 3 2" xfId="6691"/>
    <cellStyle name="_DEM-WP(C) Westside Hydro Data_051007_NIM Summary 4" xfId="6692"/>
    <cellStyle name="_DEM-WP(C) Westside Hydro Data_051007_NIM Summary_DEM-WP(C) ENERG10C--ctn Mid-C_042010 2010GRC" xfId="6693"/>
    <cellStyle name="_DEM-WP(C) Westside Hydro Data_051007_NIM Summary_DEM-WP(C) ENERG10C--ctn Mid-C_042010 2010GRC 2" xfId="6694"/>
    <cellStyle name="_DEM-WP(C) Westside Hydro Data_051007_Power Costs - Comparison bx Rbtl-Staff-Jt-PC" xfId="6695"/>
    <cellStyle name="_DEM-WP(C) Westside Hydro Data_051007_Power Costs - Comparison bx Rbtl-Staff-Jt-PC 2" xfId="6696"/>
    <cellStyle name="_DEM-WP(C) Westside Hydro Data_051007_Power Costs - Comparison bx Rbtl-Staff-Jt-PC 2 2" xfId="6697"/>
    <cellStyle name="_DEM-WP(C) Westside Hydro Data_051007_Power Costs - Comparison bx Rbtl-Staff-Jt-PC 2 2 2" xfId="6698"/>
    <cellStyle name="_DEM-WP(C) Westside Hydro Data_051007_Power Costs - Comparison bx Rbtl-Staff-Jt-PC 2 3" xfId="6699"/>
    <cellStyle name="_DEM-WP(C) Westside Hydro Data_051007_Power Costs - Comparison bx Rbtl-Staff-Jt-PC 3" xfId="6700"/>
    <cellStyle name="_DEM-WP(C) Westside Hydro Data_051007_Power Costs - Comparison bx Rbtl-Staff-Jt-PC 3 2" xfId="6701"/>
    <cellStyle name="_DEM-WP(C) Westside Hydro Data_051007_Power Costs - Comparison bx Rbtl-Staff-Jt-PC 4" xfId="6702"/>
    <cellStyle name="_DEM-WP(C) Westside Hydro Data_051007_Power Costs - Comparison bx Rbtl-Staff-Jt-PC_DEM-WP(C) ENERG10C--ctn Mid-C_042010 2010GRC" xfId="6703"/>
    <cellStyle name="_DEM-WP(C) Westside Hydro Data_051007_Power Costs - Comparison bx Rbtl-Staff-Jt-PC_DEM-WP(C) ENERG10C--ctn Mid-C_042010 2010GRC 2" xfId="6704"/>
    <cellStyle name="_DEM-WP(C) Westside Hydro Data_051007_Rebuttal Power Costs" xfId="6705"/>
    <cellStyle name="_DEM-WP(C) Westside Hydro Data_051007_Rebuttal Power Costs 2" xfId="6706"/>
    <cellStyle name="_DEM-WP(C) Westside Hydro Data_051007_Rebuttal Power Costs 2 2" xfId="6707"/>
    <cellStyle name="_DEM-WP(C) Westside Hydro Data_051007_Rebuttal Power Costs 2 2 2" xfId="6708"/>
    <cellStyle name="_DEM-WP(C) Westside Hydro Data_051007_Rebuttal Power Costs 2 3" xfId="6709"/>
    <cellStyle name="_DEM-WP(C) Westside Hydro Data_051007_Rebuttal Power Costs 3" xfId="6710"/>
    <cellStyle name="_DEM-WP(C) Westside Hydro Data_051007_Rebuttal Power Costs 3 2" xfId="6711"/>
    <cellStyle name="_DEM-WP(C) Westside Hydro Data_051007_Rebuttal Power Costs 4" xfId="6712"/>
    <cellStyle name="_DEM-WP(C) Westside Hydro Data_051007_Rebuttal Power Costs_DEM-WP(C) ENERG10C--ctn Mid-C_042010 2010GRC" xfId="6713"/>
    <cellStyle name="_DEM-WP(C) Westside Hydro Data_051007_Rebuttal Power Costs_DEM-WP(C) ENERG10C--ctn Mid-C_042010 2010GRC 2" xfId="6714"/>
    <cellStyle name="_DEM-WP(C) Westside Hydro Data_051007_TENASKA REGULATORY ASSET" xfId="6715"/>
    <cellStyle name="_DEM-WP(C) Westside Hydro Data_051007_TENASKA REGULATORY ASSET 2" xfId="6716"/>
    <cellStyle name="_DEM-WP(C) Westside Hydro Data_051007_TENASKA REGULATORY ASSET 2 2" xfId="6717"/>
    <cellStyle name="_DEM-WP(C) Westside Hydro Data_051007_TENASKA REGULATORY ASSET 3" xfId="6718"/>
    <cellStyle name="_Elec Peak Capacity Need_2008-2029_032709_Wind 5% Cap" xfId="6719"/>
    <cellStyle name="_Elec Peak Capacity Need_2008-2029_032709_Wind 5% Cap 2" xfId="6720"/>
    <cellStyle name="_Elec Peak Capacity Need_2008-2029_032709_Wind 5% Cap 2 2" xfId="6721"/>
    <cellStyle name="_Elec Peak Capacity Need_2008-2029_032709_Wind 5% Cap 2 2 2" xfId="6722"/>
    <cellStyle name="_Elec Peak Capacity Need_2008-2029_032709_Wind 5% Cap 2 3" xfId="6723"/>
    <cellStyle name="_Elec Peak Capacity Need_2008-2029_032709_Wind 5% Cap 3" xfId="6724"/>
    <cellStyle name="_Elec Peak Capacity Need_2008-2029_032709_Wind 5% Cap 3 2" xfId="6725"/>
    <cellStyle name="_Elec Peak Capacity Need_2008-2029_032709_Wind 5% Cap 4" xfId="6726"/>
    <cellStyle name="_Elec Peak Capacity Need_2008-2029_032709_Wind 5% Cap_DEM-WP(C) ENERG10C--ctn Mid-C_042010 2010GRC" xfId="6727"/>
    <cellStyle name="_Elec Peak Capacity Need_2008-2029_032709_Wind 5% Cap_DEM-WP(C) ENERG10C--ctn Mid-C_042010 2010GRC 2" xfId="6728"/>
    <cellStyle name="_Elec Peak Capacity Need_2008-2029_032709_Wind 5% Cap_NIM Summary" xfId="6729"/>
    <cellStyle name="_Elec Peak Capacity Need_2008-2029_032709_Wind 5% Cap_NIM Summary 2" xfId="6730"/>
    <cellStyle name="_Elec Peak Capacity Need_2008-2029_032709_Wind 5% Cap_NIM Summary 2 2" xfId="6731"/>
    <cellStyle name="_Elec Peak Capacity Need_2008-2029_032709_Wind 5% Cap_NIM Summary 2 2 2" xfId="6732"/>
    <cellStyle name="_Elec Peak Capacity Need_2008-2029_032709_Wind 5% Cap_NIM Summary 2 3" xfId="6733"/>
    <cellStyle name="_Elec Peak Capacity Need_2008-2029_032709_Wind 5% Cap_NIM Summary 3" xfId="6734"/>
    <cellStyle name="_Elec Peak Capacity Need_2008-2029_032709_Wind 5% Cap_NIM Summary 3 2" xfId="6735"/>
    <cellStyle name="_Elec Peak Capacity Need_2008-2029_032709_Wind 5% Cap_NIM Summary 4" xfId="6736"/>
    <cellStyle name="_Elec Peak Capacity Need_2008-2029_032709_Wind 5% Cap_NIM Summary_DEM-WP(C) ENERG10C--ctn Mid-C_042010 2010GRC" xfId="6737"/>
    <cellStyle name="_Elec Peak Capacity Need_2008-2029_032709_Wind 5% Cap_NIM Summary_DEM-WP(C) ENERG10C--ctn Mid-C_042010 2010GRC 2" xfId="6738"/>
    <cellStyle name="_Elec Peak Capacity Need_2008-2029_032709_Wind 5% Cap-ST-Adj-PJP1" xfId="6739"/>
    <cellStyle name="_Elec Peak Capacity Need_2008-2029_032709_Wind 5% Cap-ST-Adj-PJP1 2" xfId="6740"/>
    <cellStyle name="_Elec Peak Capacity Need_2008-2029_032709_Wind 5% Cap-ST-Adj-PJP1 2 2" xfId="6741"/>
    <cellStyle name="_Elec Peak Capacity Need_2008-2029_032709_Wind 5% Cap-ST-Adj-PJP1 2 2 2" xfId="6742"/>
    <cellStyle name="_Elec Peak Capacity Need_2008-2029_032709_Wind 5% Cap-ST-Adj-PJP1 2 3" xfId="6743"/>
    <cellStyle name="_Elec Peak Capacity Need_2008-2029_032709_Wind 5% Cap-ST-Adj-PJP1 3" xfId="6744"/>
    <cellStyle name="_Elec Peak Capacity Need_2008-2029_032709_Wind 5% Cap-ST-Adj-PJP1 3 2" xfId="6745"/>
    <cellStyle name="_Elec Peak Capacity Need_2008-2029_032709_Wind 5% Cap-ST-Adj-PJP1 4" xfId="6746"/>
    <cellStyle name="_Elec Peak Capacity Need_2008-2029_032709_Wind 5% Cap-ST-Adj-PJP1_DEM-WP(C) ENERG10C--ctn Mid-C_042010 2010GRC" xfId="6747"/>
    <cellStyle name="_Elec Peak Capacity Need_2008-2029_032709_Wind 5% Cap-ST-Adj-PJP1_DEM-WP(C) ENERG10C--ctn Mid-C_042010 2010GRC 2" xfId="6748"/>
    <cellStyle name="_Elec Peak Capacity Need_2008-2029_032709_Wind 5% Cap-ST-Adj-PJP1_NIM Summary" xfId="6749"/>
    <cellStyle name="_Elec Peak Capacity Need_2008-2029_032709_Wind 5% Cap-ST-Adj-PJP1_NIM Summary 2" xfId="6750"/>
    <cellStyle name="_Elec Peak Capacity Need_2008-2029_032709_Wind 5% Cap-ST-Adj-PJP1_NIM Summary 2 2" xfId="6751"/>
    <cellStyle name="_Elec Peak Capacity Need_2008-2029_032709_Wind 5% Cap-ST-Adj-PJP1_NIM Summary 2 2 2" xfId="6752"/>
    <cellStyle name="_Elec Peak Capacity Need_2008-2029_032709_Wind 5% Cap-ST-Adj-PJP1_NIM Summary 2 3" xfId="6753"/>
    <cellStyle name="_Elec Peak Capacity Need_2008-2029_032709_Wind 5% Cap-ST-Adj-PJP1_NIM Summary 3" xfId="6754"/>
    <cellStyle name="_Elec Peak Capacity Need_2008-2029_032709_Wind 5% Cap-ST-Adj-PJP1_NIM Summary 3 2" xfId="6755"/>
    <cellStyle name="_Elec Peak Capacity Need_2008-2029_032709_Wind 5% Cap-ST-Adj-PJP1_NIM Summary 4" xfId="6756"/>
    <cellStyle name="_Elec Peak Capacity Need_2008-2029_032709_Wind 5% Cap-ST-Adj-PJP1_NIM Summary_DEM-WP(C) ENERG10C--ctn Mid-C_042010 2010GRC" xfId="6757"/>
    <cellStyle name="_Elec Peak Capacity Need_2008-2029_032709_Wind 5% Cap-ST-Adj-PJP1_NIM Summary_DEM-WP(C) ENERG10C--ctn Mid-C_042010 2010GRC 2" xfId="6758"/>
    <cellStyle name="_Elec Peak Capacity Need_2008-2029_120908_Wind 5% Cap_Low" xfId="6759"/>
    <cellStyle name="_Elec Peak Capacity Need_2008-2029_120908_Wind 5% Cap_Low 2" xfId="6760"/>
    <cellStyle name="_Elec Peak Capacity Need_2008-2029_120908_Wind 5% Cap_Low 2 2" xfId="6761"/>
    <cellStyle name="_Elec Peak Capacity Need_2008-2029_120908_Wind 5% Cap_Low 2 2 2" xfId="6762"/>
    <cellStyle name="_Elec Peak Capacity Need_2008-2029_120908_Wind 5% Cap_Low 2 3" xfId="6763"/>
    <cellStyle name="_Elec Peak Capacity Need_2008-2029_120908_Wind 5% Cap_Low 3" xfId="6764"/>
    <cellStyle name="_Elec Peak Capacity Need_2008-2029_120908_Wind 5% Cap_Low 3 2" xfId="6765"/>
    <cellStyle name="_Elec Peak Capacity Need_2008-2029_120908_Wind 5% Cap_Low 4" xfId="6766"/>
    <cellStyle name="_Elec Peak Capacity Need_2008-2029_120908_Wind 5% Cap_Low_DEM-WP(C) ENERG10C--ctn Mid-C_042010 2010GRC" xfId="6767"/>
    <cellStyle name="_Elec Peak Capacity Need_2008-2029_120908_Wind 5% Cap_Low_DEM-WP(C) ENERG10C--ctn Mid-C_042010 2010GRC 2" xfId="6768"/>
    <cellStyle name="_Elec Peak Capacity Need_2008-2029_120908_Wind 5% Cap_Low_NIM Summary" xfId="6769"/>
    <cellStyle name="_Elec Peak Capacity Need_2008-2029_120908_Wind 5% Cap_Low_NIM Summary 2" xfId="6770"/>
    <cellStyle name="_Elec Peak Capacity Need_2008-2029_120908_Wind 5% Cap_Low_NIM Summary 2 2" xfId="6771"/>
    <cellStyle name="_Elec Peak Capacity Need_2008-2029_120908_Wind 5% Cap_Low_NIM Summary 2 2 2" xfId="6772"/>
    <cellStyle name="_Elec Peak Capacity Need_2008-2029_120908_Wind 5% Cap_Low_NIM Summary 2 3" xfId="6773"/>
    <cellStyle name="_Elec Peak Capacity Need_2008-2029_120908_Wind 5% Cap_Low_NIM Summary 3" xfId="6774"/>
    <cellStyle name="_Elec Peak Capacity Need_2008-2029_120908_Wind 5% Cap_Low_NIM Summary 3 2" xfId="6775"/>
    <cellStyle name="_Elec Peak Capacity Need_2008-2029_120908_Wind 5% Cap_Low_NIM Summary 4" xfId="6776"/>
    <cellStyle name="_Elec Peak Capacity Need_2008-2029_120908_Wind 5% Cap_Low_NIM Summary_DEM-WP(C) ENERG10C--ctn Mid-C_042010 2010GRC" xfId="6777"/>
    <cellStyle name="_Elec Peak Capacity Need_2008-2029_120908_Wind 5% Cap_Low_NIM Summary_DEM-WP(C) ENERG10C--ctn Mid-C_042010 2010GRC 2" xfId="6778"/>
    <cellStyle name="_Elec Peak Capacity Need_2008-2029_Wind 5% Cap_050809" xfId="6779"/>
    <cellStyle name="_Elec Peak Capacity Need_2008-2029_Wind 5% Cap_050809 2" xfId="6780"/>
    <cellStyle name="_Elec Peak Capacity Need_2008-2029_Wind 5% Cap_050809 2 2" xfId="6781"/>
    <cellStyle name="_Elec Peak Capacity Need_2008-2029_Wind 5% Cap_050809 2 2 2" xfId="6782"/>
    <cellStyle name="_Elec Peak Capacity Need_2008-2029_Wind 5% Cap_050809 2 3" xfId="6783"/>
    <cellStyle name="_Elec Peak Capacity Need_2008-2029_Wind 5% Cap_050809 3" xfId="6784"/>
    <cellStyle name="_Elec Peak Capacity Need_2008-2029_Wind 5% Cap_050809 3 2" xfId="6785"/>
    <cellStyle name="_Elec Peak Capacity Need_2008-2029_Wind 5% Cap_050809 4" xfId="6786"/>
    <cellStyle name="_Elec Peak Capacity Need_2008-2029_Wind 5% Cap_050809_DEM-WP(C) ENERG10C--ctn Mid-C_042010 2010GRC" xfId="6787"/>
    <cellStyle name="_Elec Peak Capacity Need_2008-2029_Wind 5% Cap_050809_DEM-WP(C) ENERG10C--ctn Mid-C_042010 2010GRC 2" xfId="6788"/>
    <cellStyle name="_Elec Peak Capacity Need_2008-2029_Wind 5% Cap_050809_NIM Summary" xfId="6789"/>
    <cellStyle name="_Elec Peak Capacity Need_2008-2029_Wind 5% Cap_050809_NIM Summary 2" xfId="6790"/>
    <cellStyle name="_Elec Peak Capacity Need_2008-2029_Wind 5% Cap_050809_NIM Summary 2 2" xfId="6791"/>
    <cellStyle name="_Elec Peak Capacity Need_2008-2029_Wind 5% Cap_050809_NIM Summary 2 2 2" xfId="6792"/>
    <cellStyle name="_Elec Peak Capacity Need_2008-2029_Wind 5% Cap_050809_NIM Summary 2 3" xfId="6793"/>
    <cellStyle name="_Elec Peak Capacity Need_2008-2029_Wind 5% Cap_050809_NIM Summary 3" xfId="6794"/>
    <cellStyle name="_Elec Peak Capacity Need_2008-2029_Wind 5% Cap_050809_NIM Summary 3 2" xfId="6795"/>
    <cellStyle name="_Elec Peak Capacity Need_2008-2029_Wind 5% Cap_050809_NIM Summary 4" xfId="6796"/>
    <cellStyle name="_Elec Peak Capacity Need_2008-2029_Wind 5% Cap_050809_NIM Summary_DEM-WP(C) ENERG10C--ctn Mid-C_042010 2010GRC" xfId="6797"/>
    <cellStyle name="_Elec Peak Capacity Need_2008-2029_Wind 5% Cap_050809_NIM Summary_DEM-WP(C) ENERG10C--ctn Mid-C_042010 2010GRC 2" xfId="6798"/>
    <cellStyle name="_x0013__Electric Rev Req Model (2009 GRC) " xfId="6799"/>
    <cellStyle name="_x0013__Electric Rev Req Model (2009 GRC)  2" xfId="6800"/>
    <cellStyle name="_x0013__Electric Rev Req Model (2009 GRC)  2 2" xfId="6801"/>
    <cellStyle name="_x0013__Electric Rev Req Model (2009 GRC)  2 2 2" xfId="6802"/>
    <cellStyle name="_x0013__Electric Rev Req Model (2009 GRC)  2 3" xfId="6803"/>
    <cellStyle name="_x0013__Electric Rev Req Model (2009 GRC)  3" xfId="6804"/>
    <cellStyle name="_x0013__Electric Rev Req Model (2009 GRC)  3 2" xfId="6805"/>
    <cellStyle name="_x0013__Electric Rev Req Model (2009 GRC)  4" xfId="6806"/>
    <cellStyle name="_x0013__Electric Rev Req Model (2009 GRC) _DEM-WP(C) ENERG10C--ctn Mid-C_042010 2010GRC" xfId="6807"/>
    <cellStyle name="_x0013__Electric Rev Req Model (2009 GRC) _DEM-WP(C) ENERG10C--ctn Mid-C_042010 2010GRC 2" xfId="6808"/>
    <cellStyle name="_x0013__Electric Rev Req Model (2009 GRC) Rebuttal" xfId="6809"/>
    <cellStyle name="_x0013__Electric Rev Req Model (2009 GRC) Rebuttal 2" xfId="6810"/>
    <cellStyle name="_x0013__Electric Rev Req Model (2009 GRC) Rebuttal 2 2" xfId="6811"/>
    <cellStyle name="_x0013__Electric Rev Req Model (2009 GRC) Rebuttal 3" xfId="6812"/>
    <cellStyle name="_x0013__Electric Rev Req Model (2009 GRC) Rebuttal REmoval of New  WH Solar AdjustMI" xfId="6813"/>
    <cellStyle name="_x0013__Electric Rev Req Model (2009 GRC) Rebuttal REmoval of New  WH Solar AdjustMI 2" xfId="6814"/>
    <cellStyle name="_x0013__Electric Rev Req Model (2009 GRC) Rebuttal REmoval of New  WH Solar AdjustMI 2 2" xfId="6815"/>
    <cellStyle name="_x0013__Electric Rev Req Model (2009 GRC) Rebuttal REmoval of New  WH Solar AdjustMI 2 2 2" xfId="6816"/>
    <cellStyle name="_x0013__Electric Rev Req Model (2009 GRC) Rebuttal REmoval of New  WH Solar AdjustMI 2 3" xfId="6817"/>
    <cellStyle name="_x0013__Electric Rev Req Model (2009 GRC) Rebuttal REmoval of New  WH Solar AdjustMI 3" xfId="6818"/>
    <cellStyle name="_x0013__Electric Rev Req Model (2009 GRC) Rebuttal REmoval of New  WH Solar AdjustMI 3 2" xfId="6819"/>
    <cellStyle name="_x0013__Electric Rev Req Model (2009 GRC) Rebuttal REmoval of New  WH Solar AdjustMI 4" xfId="6820"/>
    <cellStyle name="_x0013__Electric Rev Req Model (2009 GRC) Rebuttal REmoval of New  WH Solar AdjustMI_DEM-WP(C) ENERG10C--ctn Mid-C_042010 2010GRC" xfId="6821"/>
    <cellStyle name="_x0013__Electric Rev Req Model (2009 GRC) Rebuttal REmoval of New  WH Solar AdjustMI_DEM-WP(C) ENERG10C--ctn Mid-C_042010 2010GRC 2" xfId="6822"/>
    <cellStyle name="_x0013__Electric Rev Req Model (2009 GRC) Revised 01-18-2010" xfId="6823"/>
    <cellStyle name="_x0013__Electric Rev Req Model (2009 GRC) Revised 01-18-2010 2" xfId="6824"/>
    <cellStyle name="_x0013__Electric Rev Req Model (2009 GRC) Revised 01-18-2010 2 2" xfId="6825"/>
    <cellStyle name="_x0013__Electric Rev Req Model (2009 GRC) Revised 01-18-2010 2 2 2" xfId="6826"/>
    <cellStyle name="_x0013__Electric Rev Req Model (2009 GRC) Revised 01-18-2010 2 3" xfId="6827"/>
    <cellStyle name="_x0013__Electric Rev Req Model (2009 GRC) Revised 01-18-2010 3" xfId="6828"/>
    <cellStyle name="_x0013__Electric Rev Req Model (2009 GRC) Revised 01-18-2010 3 2" xfId="6829"/>
    <cellStyle name="_x0013__Electric Rev Req Model (2009 GRC) Revised 01-18-2010 4" xfId="6830"/>
    <cellStyle name="_x0013__Electric Rev Req Model (2009 GRC) Revised 01-18-2010_DEM-WP(C) ENERG10C--ctn Mid-C_042010 2010GRC" xfId="6831"/>
    <cellStyle name="_x0013__Electric Rev Req Model (2009 GRC) Revised 01-18-2010_DEM-WP(C) ENERG10C--ctn Mid-C_042010 2010GRC 2" xfId="6832"/>
    <cellStyle name="_x0013__Electric Rev Req Model (2010 GRC)" xfId="6833"/>
    <cellStyle name="_x0013__Electric Rev Req Model (2010 GRC) 2" xfId="6834"/>
    <cellStyle name="_x0013__Electric Rev Req Model (2010 GRC) SF" xfId="6835"/>
    <cellStyle name="_x0013__Electric Rev Req Model (2010 GRC) SF 2" xfId="6836"/>
    <cellStyle name="_ENCOGEN_WBOOK" xfId="6837"/>
    <cellStyle name="_ENCOGEN_WBOOK 2" xfId="6838"/>
    <cellStyle name="_ENCOGEN_WBOOK 2 2" xfId="6839"/>
    <cellStyle name="_ENCOGEN_WBOOK 2 2 2" xfId="6840"/>
    <cellStyle name="_ENCOGEN_WBOOK 2 3" xfId="6841"/>
    <cellStyle name="_ENCOGEN_WBOOK 3" xfId="6842"/>
    <cellStyle name="_ENCOGEN_WBOOK 3 2" xfId="6843"/>
    <cellStyle name="_ENCOGEN_WBOOK 4" xfId="6844"/>
    <cellStyle name="_ENCOGEN_WBOOK_DEM-WP(C) ENERG10C--ctn Mid-C_042010 2010GRC" xfId="6845"/>
    <cellStyle name="_ENCOGEN_WBOOK_DEM-WP(C) ENERG10C--ctn Mid-C_042010 2010GRC 2" xfId="6846"/>
    <cellStyle name="_ENCOGEN_WBOOK_NIM Summary" xfId="6847"/>
    <cellStyle name="_ENCOGEN_WBOOK_NIM Summary 2" xfId="6848"/>
    <cellStyle name="_ENCOGEN_WBOOK_NIM Summary 2 2" xfId="6849"/>
    <cellStyle name="_ENCOGEN_WBOOK_NIM Summary 2 2 2" xfId="6850"/>
    <cellStyle name="_ENCOGEN_WBOOK_NIM Summary 2 3" xfId="6851"/>
    <cellStyle name="_ENCOGEN_WBOOK_NIM Summary 3" xfId="6852"/>
    <cellStyle name="_ENCOGEN_WBOOK_NIM Summary 3 2" xfId="6853"/>
    <cellStyle name="_ENCOGEN_WBOOK_NIM Summary 4" xfId="6854"/>
    <cellStyle name="_ENCOGEN_WBOOK_NIM Summary_DEM-WP(C) ENERG10C--ctn Mid-C_042010 2010GRC" xfId="6855"/>
    <cellStyle name="_ENCOGEN_WBOOK_NIM Summary_DEM-WP(C) ENERG10C--ctn Mid-C_042010 2010GRC 2" xfId="6856"/>
    <cellStyle name="_x0013__Final Order Electric EXHIBIT A-1" xfId="6857"/>
    <cellStyle name="_x0013__Final Order Electric EXHIBIT A-1 2" xfId="6858"/>
    <cellStyle name="_x0013__Final Order Electric EXHIBIT A-1 2 2" xfId="6859"/>
    <cellStyle name="_x0013__Final Order Electric EXHIBIT A-1 3" xfId="6860"/>
    <cellStyle name="_Fixed Gas Transport 1 19 09" xfId="6861"/>
    <cellStyle name="_Fixed Gas Transport 1 19 09 2" xfId="6862"/>
    <cellStyle name="_Fixed Gas Transport 1 19 09 2 2" xfId="6863"/>
    <cellStyle name="_Fixed Gas Transport 1 19 09 2 2 2" xfId="6864"/>
    <cellStyle name="_Fixed Gas Transport 1 19 09 2 3" xfId="6865"/>
    <cellStyle name="_Fixed Gas Transport 1 19 09 3" xfId="6866"/>
    <cellStyle name="_Fixed Gas Transport 1 19 09 3 2" xfId="6867"/>
    <cellStyle name="_Fixed Gas Transport 1 19 09 4" xfId="6868"/>
    <cellStyle name="_Fixed Gas Transport 1 19 09_DEM-WP(C) ENERG10C--ctn Mid-C_042010 2010GRC" xfId="6869"/>
    <cellStyle name="_Fixed Gas Transport 1 19 09_DEM-WP(C) ENERG10C--ctn Mid-C_042010 2010GRC 2" xfId="6870"/>
    <cellStyle name="_Fuel Prices 4-14" xfId="6871"/>
    <cellStyle name="_Fuel Prices 4-14 2" xfId="6872"/>
    <cellStyle name="_Fuel Prices 4-14 2 2" xfId="6873"/>
    <cellStyle name="_Fuel Prices 4-14 2 2 2" xfId="6874"/>
    <cellStyle name="_Fuel Prices 4-14 2 2 2 2" xfId="6875"/>
    <cellStyle name="_Fuel Prices 4-14 2 2 3" xfId="6876"/>
    <cellStyle name="_Fuel Prices 4-14 2 3" xfId="6877"/>
    <cellStyle name="_Fuel Prices 4-14 2 3 2" xfId="6878"/>
    <cellStyle name="_Fuel Prices 4-14 2 4" xfId="6879"/>
    <cellStyle name="_Fuel Prices 4-14 3" xfId="6880"/>
    <cellStyle name="_Fuel Prices 4-14 3 2" xfId="6881"/>
    <cellStyle name="_Fuel Prices 4-14 3 2 2" xfId="6882"/>
    <cellStyle name="_Fuel Prices 4-14 3 3" xfId="6883"/>
    <cellStyle name="_Fuel Prices 4-14 4" xfId="6884"/>
    <cellStyle name="_Fuel Prices 4-14 4 2" xfId="6885"/>
    <cellStyle name="_Fuel Prices 4-14 4 2 2" xfId="6886"/>
    <cellStyle name="_Fuel Prices 4-14 4 3" xfId="6887"/>
    <cellStyle name="_Fuel Prices 4-14 5" xfId="6888"/>
    <cellStyle name="_Fuel Prices 4-14 5 2" xfId="6889"/>
    <cellStyle name="_Fuel Prices 4-14 5 2 2" xfId="6890"/>
    <cellStyle name="_Fuel Prices 4-14 5 3" xfId="6891"/>
    <cellStyle name="_Fuel Prices 4-14 5 3 2" xfId="6892"/>
    <cellStyle name="_Fuel Prices 4-14 5 4" xfId="6893"/>
    <cellStyle name="_Fuel Prices 4-14 6" xfId="6894"/>
    <cellStyle name="_Fuel Prices 4-14 6 2" xfId="6895"/>
    <cellStyle name="_Fuel Prices 4-14 7" xfId="6896"/>
    <cellStyle name="_Fuel Prices 4-14 7 2" xfId="6897"/>
    <cellStyle name="_Fuel Prices 4-14 7 2 2" xfId="6898"/>
    <cellStyle name="_Fuel Prices 4-14 7 3" xfId="6899"/>
    <cellStyle name="_Fuel Prices 4-14 8" xfId="6900"/>
    <cellStyle name="_Fuel Prices 4-14 8 2" xfId="6901"/>
    <cellStyle name="_Fuel Prices 4-14 8 2 2" xfId="6902"/>
    <cellStyle name="_Fuel Prices 4-14 8 3" xfId="6903"/>
    <cellStyle name="_Fuel Prices 4-14 9" xfId="6904"/>
    <cellStyle name="_Fuel Prices 4-14_04 07E Wild Horse Wind Expansion (C) (2)" xfId="6905"/>
    <cellStyle name="_Fuel Prices 4-14_04 07E Wild Horse Wind Expansion (C) (2) 2" xfId="6906"/>
    <cellStyle name="_Fuel Prices 4-14_04 07E Wild Horse Wind Expansion (C) (2) 2 2" xfId="6907"/>
    <cellStyle name="_Fuel Prices 4-14_04 07E Wild Horse Wind Expansion (C) (2) 2 2 2" xfId="6908"/>
    <cellStyle name="_Fuel Prices 4-14_04 07E Wild Horse Wind Expansion (C) (2) 2 3" xfId="6909"/>
    <cellStyle name="_Fuel Prices 4-14_04 07E Wild Horse Wind Expansion (C) (2) 3" xfId="6910"/>
    <cellStyle name="_Fuel Prices 4-14_04 07E Wild Horse Wind Expansion (C) (2) 3 2" xfId="6911"/>
    <cellStyle name="_Fuel Prices 4-14_04 07E Wild Horse Wind Expansion (C) (2) 4" xfId="6912"/>
    <cellStyle name="_Fuel Prices 4-14_04 07E Wild Horse Wind Expansion (C) (2)_Adj Bench DR 3 for Initial Briefs (Electric)" xfId="6913"/>
    <cellStyle name="_Fuel Prices 4-14_04 07E Wild Horse Wind Expansion (C) (2)_Adj Bench DR 3 for Initial Briefs (Electric) 2" xfId="6914"/>
    <cellStyle name="_Fuel Prices 4-14_04 07E Wild Horse Wind Expansion (C) (2)_Adj Bench DR 3 for Initial Briefs (Electric) 2 2" xfId="6915"/>
    <cellStyle name="_Fuel Prices 4-14_04 07E Wild Horse Wind Expansion (C) (2)_Adj Bench DR 3 for Initial Briefs (Electric) 2 2 2" xfId="6916"/>
    <cellStyle name="_Fuel Prices 4-14_04 07E Wild Horse Wind Expansion (C) (2)_Adj Bench DR 3 for Initial Briefs (Electric) 2 3" xfId="6917"/>
    <cellStyle name="_Fuel Prices 4-14_04 07E Wild Horse Wind Expansion (C) (2)_Adj Bench DR 3 for Initial Briefs (Electric) 3" xfId="6918"/>
    <cellStyle name="_Fuel Prices 4-14_04 07E Wild Horse Wind Expansion (C) (2)_Adj Bench DR 3 for Initial Briefs (Electric) 3 2" xfId="6919"/>
    <cellStyle name="_Fuel Prices 4-14_04 07E Wild Horse Wind Expansion (C) (2)_Adj Bench DR 3 for Initial Briefs (Electric) 4" xfId="6920"/>
    <cellStyle name="_Fuel Prices 4-14_04 07E Wild Horse Wind Expansion (C) (2)_Adj Bench DR 3 for Initial Briefs (Electric)_DEM-WP(C) ENERG10C--ctn Mid-C_042010 2010GRC" xfId="6921"/>
    <cellStyle name="_Fuel Prices 4-14_04 07E Wild Horse Wind Expansion (C) (2)_Adj Bench DR 3 for Initial Briefs (Electric)_DEM-WP(C) ENERG10C--ctn Mid-C_042010 2010GRC 2" xfId="6922"/>
    <cellStyle name="_Fuel Prices 4-14_04 07E Wild Horse Wind Expansion (C) (2)_Book1" xfId="6923"/>
    <cellStyle name="_Fuel Prices 4-14_04 07E Wild Horse Wind Expansion (C) (2)_Book1 2" xfId="6924"/>
    <cellStyle name="_Fuel Prices 4-14_04 07E Wild Horse Wind Expansion (C) (2)_DEM-WP(C) ENERG10C--ctn Mid-C_042010 2010GRC" xfId="6925"/>
    <cellStyle name="_Fuel Prices 4-14_04 07E Wild Horse Wind Expansion (C) (2)_DEM-WP(C) ENERG10C--ctn Mid-C_042010 2010GRC 2" xfId="6926"/>
    <cellStyle name="_Fuel Prices 4-14_04 07E Wild Horse Wind Expansion (C) (2)_Electric Rev Req Model (2009 GRC) " xfId="6927"/>
    <cellStyle name="_Fuel Prices 4-14_04 07E Wild Horse Wind Expansion (C) (2)_Electric Rev Req Model (2009 GRC)  2" xfId="6928"/>
    <cellStyle name="_Fuel Prices 4-14_04 07E Wild Horse Wind Expansion (C) (2)_Electric Rev Req Model (2009 GRC)  2 2" xfId="6929"/>
    <cellStyle name="_Fuel Prices 4-14_04 07E Wild Horse Wind Expansion (C) (2)_Electric Rev Req Model (2009 GRC)  2 2 2" xfId="6930"/>
    <cellStyle name="_Fuel Prices 4-14_04 07E Wild Horse Wind Expansion (C) (2)_Electric Rev Req Model (2009 GRC)  2 3" xfId="6931"/>
    <cellStyle name="_Fuel Prices 4-14_04 07E Wild Horse Wind Expansion (C) (2)_Electric Rev Req Model (2009 GRC)  3" xfId="6932"/>
    <cellStyle name="_Fuel Prices 4-14_04 07E Wild Horse Wind Expansion (C) (2)_Electric Rev Req Model (2009 GRC)  3 2" xfId="6933"/>
    <cellStyle name="_Fuel Prices 4-14_04 07E Wild Horse Wind Expansion (C) (2)_Electric Rev Req Model (2009 GRC)  4" xfId="6934"/>
    <cellStyle name="_Fuel Prices 4-14_04 07E Wild Horse Wind Expansion (C) (2)_Electric Rev Req Model (2009 GRC) _DEM-WP(C) ENERG10C--ctn Mid-C_042010 2010GRC" xfId="6935"/>
    <cellStyle name="_Fuel Prices 4-14_04 07E Wild Horse Wind Expansion (C) (2)_Electric Rev Req Model (2009 GRC) _DEM-WP(C) ENERG10C--ctn Mid-C_042010 2010GRC 2" xfId="6936"/>
    <cellStyle name="_Fuel Prices 4-14_04 07E Wild Horse Wind Expansion (C) (2)_Electric Rev Req Model (2009 GRC) Rebuttal" xfId="6937"/>
    <cellStyle name="_Fuel Prices 4-14_04 07E Wild Horse Wind Expansion (C) (2)_Electric Rev Req Model (2009 GRC) Rebuttal 2" xfId="6938"/>
    <cellStyle name="_Fuel Prices 4-14_04 07E Wild Horse Wind Expansion (C) (2)_Electric Rev Req Model (2009 GRC) Rebuttal 2 2" xfId="6939"/>
    <cellStyle name="_Fuel Prices 4-14_04 07E Wild Horse Wind Expansion (C) (2)_Electric Rev Req Model (2009 GRC) Rebuttal 3" xfId="6940"/>
    <cellStyle name="_Fuel Prices 4-14_04 07E Wild Horse Wind Expansion (C) (2)_Electric Rev Req Model (2009 GRC) Rebuttal REmoval of New  WH Solar AdjustMI" xfId="6941"/>
    <cellStyle name="_Fuel Prices 4-14_04 07E Wild Horse Wind Expansion (C) (2)_Electric Rev Req Model (2009 GRC) Rebuttal REmoval of New  WH Solar AdjustMI 2" xfId="6942"/>
    <cellStyle name="_Fuel Prices 4-14_04 07E Wild Horse Wind Expansion (C) (2)_Electric Rev Req Model (2009 GRC) Rebuttal REmoval of New  WH Solar AdjustMI 2 2" xfId="6943"/>
    <cellStyle name="_Fuel Prices 4-14_04 07E Wild Horse Wind Expansion (C) (2)_Electric Rev Req Model (2009 GRC) Rebuttal REmoval of New  WH Solar AdjustMI 2 2 2" xfId="6944"/>
    <cellStyle name="_Fuel Prices 4-14_04 07E Wild Horse Wind Expansion (C) (2)_Electric Rev Req Model (2009 GRC) Rebuttal REmoval of New  WH Solar AdjustMI 2 3" xfId="6945"/>
    <cellStyle name="_Fuel Prices 4-14_04 07E Wild Horse Wind Expansion (C) (2)_Electric Rev Req Model (2009 GRC) Rebuttal REmoval of New  WH Solar AdjustMI 3" xfId="6946"/>
    <cellStyle name="_Fuel Prices 4-14_04 07E Wild Horse Wind Expansion (C) (2)_Electric Rev Req Model (2009 GRC) Rebuttal REmoval of New  WH Solar AdjustMI 3 2" xfId="6947"/>
    <cellStyle name="_Fuel Prices 4-14_04 07E Wild Horse Wind Expansion (C) (2)_Electric Rev Req Model (2009 GRC) Rebuttal REmoval of New  WH Solar AdjustMI 4" xfId="6948"/>
    <cellStyle name="_Fuel Prices 4-14_04 07E Wild Horse Wind Expansion (C) (2)_Electric Rev Req Model (2009 GRC) Rebuttal REmoval of New  WH Solar AdjustMI_DEM-WP(C) ENERG10C--ctn Mid-C_042010 2010GRC" xfId="6949"/>
    <cellStyle name="_Fuel Prices 4-14_04 07E Wild Horse Wind Expansion (C) (2)_Electric Rev Req Model (2009 GRC) Rebuttal REmoval of New  WH Solar AdjustMI_DEM-WP(C) ENERG10C--ctn Mid-C_042010 2010GRC 2" xfId="6950"/>
    <cellStyle name="_Fuel Prices 4-14_04 07E Wild Horse Wind Expansion (C) (2)_Electric Rev Req Model (2009 GRC) Revised 01-18-2010" xfId="6951"/>
    <cellStyle name="_Fuel Prices 4-14_04 07E Wild Horse Wind Expansion (C) (2)_Electric Rev Req Model (2009 GRC) Revised 01-18-2010 2" xfId="6952"/>
    <cellStyle name="_Fuel Prices 4-14_04 07E Wild Horse Wind Expansion (C) (2)_Electric Rev Req Model (2009 GRC) Revised 01-18-2010 2 2" xfId="6953"/>
    <cellStyle name="_Fuel Prices 4-14_04 07E Wild Horse Wind Expansion (C) (2)_Electric Rev Req Model (2009 GRC) Revised 01-18-2010 2 2 2" xfId="6954"/>
    <cellStyle name="_Fuel Prices 4-14_04 07E Wild Horse Wind Expansion (C) (2)_Electric Rev Req Model (2009 GRC) Revised 01-18-2010 2 3" xfId="6955"/>
    <cellStyle name="_Fuel Prices 4-14_04 07E Wild Horse Wind Expansion (C) (2)_Electric Rev Req Model (2009 GRC) Revised 01-18-2010 3" xfId="6956"/>
    <cellStyle name="_Fuel Prices 4-14_04 07E Wild Horse Wind Expansion (C) (2)_Electric Rev Req Model (2009 GRC) Revised 01-18-2010 3 2" xfId="6957"/>
    <cellStyle name="_Fuel Prices 4-14_04 07E Wild Horse Wind Expansion (C) (2)_Electric Rev Req Model (2009 GRC) Revised 01-18-2010 4" xfId="6958"/>
    <cellStyle name="_Fuel Prices 4-14_04 07E Wild Horse Wind Expansion (C) (2)_Electric Rev Req Model (2009 GRC) Revised 01-18-2010_DEM-WP(C) ENERG10C--ctn Mid-C_042010 2010GRC" xfId="6959"/>
    <cellStyle name="_Fuel Prices 4-14_04 07E Wild Horse Wind Expansion (C) (2)_Electric Rev Req Model (2009 GRC) Revised 01-18-2010_DEM-WP(C) ENERG10C--ctn Mid-C_042010 2010GRC 2" xfId="6960"/>
    <cellStyle name="_Fuel Prices 4-14_04 07E Wild Horse Wind Expansion (C) (2)_Electric Rev Req Model (2010 GRC)" xfId="6961"/>
    <cellStyle name="_Fuel Prices 4-14_04 07E Wild Horse Wind Expansion (C) (2)_Electric Rev Req Model (2010 GRC) 2" xfId="6962"/>
    <cellStyle name="_Fuel Prices 4-14_04 07E Wild Horse Wind Expansion (C) (2)_Electric Rev Req Model (2010 GRC) SF" xfId="6963"/>
    <cellStyle name="_Fuel Prices 4-14_04 07E Wild Horse Wind Expansion (C) (2)_Electric Rev Req Model (2010 GRC) SF 2" xfId="6964"/>
    <cellStyle name="_Fuel Prices 4-14_04 07E Wild Horse Wind Expansion (C) (2)_Final Order Electric EXHIBIT A-1" xfId="6965"/>
    <cellStyle name="_Fuel Prices 4-14_04 07E Wild Horse Wind Expansion (C) (2)_Final Order Electric EXHIBIT A-1 2" xfId="6966"/>
    <cellStyle name="_Fuel Prices 4-14_04 07E Wild Horse Wind Expansion (C) (2)_Final Order Electric EXHIBIT A-1 2 2" xfId="6967"/>
    <cellStyle name="_Fuel Prices 4-14_04 07E Wild Horse Wind Expansion (C) (2)_Final Order Electric EXHIBIT A-1 3" xfId="6968"/>
    <cellStyle name="_Fuel Prices 4-14_04 07E Wild Horse Wind Expansion (C) (2)_TENASKA REGULATORY ASSET" xfId="6969"/>
    <cellStyle name="_Fuel Prices 4-14_04 07E Wild Horse Wind Expansion (C) (2)_TENASKA REGULATORY ASSET 2" xfId="6970"/>
    <cellStyle name="_Fuel Prices 4-14_04 07E Wild Horse Wind Expansion (C) (2)_TENASKA REGULATORY ASSET 2 2" xfId="6971"/>
    <cellStyle name="_Fuel Prices 4-14_04 07E Wild Horse Wind Expansion (C) (2)_TENASKA REGULATORY ASSET 3" xfId="6972"/>
    <cellStyle name="_Fuel Prices 4-14_16.37E Wild Horse Expansion DeferralRevwrkingfile SF" xfId="6973"/>
    <cellStyle name="_Fuel Prices 4-14_16.37E Wild Horse Expansion DeferralRevwrkingfile SF 2" xfId="6974"/>
    <cellStyle name="_Fuel Prices 4-14_16.37E Wild Horse Expansion DeferralRevwrkingfile SF 2 2" xfId="6975"/>
    <cellStyle name="_Fuel Prices 4-14_16.37E Wild Horse Expansion DeferralRevwrkingfile SF 2 2 2" xfId="6976"/>
    <cellStyle name="_Fuel Prices 4-14_16.37E Wild Horse Expansion DeferralRevwrkingfile SF 2 3" xfId="6977"/>
    <cellStyle name="_Fuel Prices 4-14_16.37E Wild Horse Expansion DeferralRevwrkingfile SF 3" xfId="6978"/>
    <cellStyle name="_Fuel Prices 4-14_16.37E Wild Horse Expansion DeferralRevwrkingfile SF 3 2" xfId="6979"/>
    <cellStyle name="_Fuel Prices 4-14_16.37E Wild Horse Expansion DeferralRevwrkingfile SF 4" xfId="6980"/>
    <cellStyle name="_Fuel Prices 4-14_16.37E Wild Horse Expansion DeferralRevwrkingfile SF_DEM-WP(C) ENERG10C--ctn Mid-C_042010 2010GRC" xfId="6981"/>
    <cellStyle name="_Fuel Prices 4-14_16.37E Wild Horse Expansion DeferralRevwrkingfile SF_DEM-WP(C) ENERG10C--ctn Mid-C_042010 2010GRC 2" xfId="6982"/>
    <cellStyle name="_Fuel Prices 4-14_2009 Compliance Filing PCA Exhibits for GRC" xfId="6983"/>
    <cellStyle name="_Fuel Prices 4-14_2009 Compliance Filing PCA Exhibits for GRC 2" xfId="6984"/>
    <cellStyle name="_Fuel Prices 4-14_2009 Compliance Filing PCA Exhibits for GRC 2 2" xfId="6985"/>
    <cellStyle name="_Fuel Prices 4-14_2009 Compliance Filing PCA Exhibits for GRC 3" xfId="6986"/>
    <cellStyle name="_Fuel Prices 4-14_2009 GRC Compl Filing - Exhibit D" xfId="6987"/>
    <cellStyle name="_Fuel Prices 4-14_2009 GRC Compl Filing - Exhibit D 2" xfId="6988"/>
    <cellStyle name="_Fuel Prices 4-14_2009 GRC Compl Filing - Exhibit D 2 2" xfId="6989"/>
    <cellStyle name="_Fuel Prices 4-14_2009 GRC Compl Filing - Exhibit D 2 2 2" xfId="6990"/>
    <cellStyle name="_Fuel Prices 4-14_2009 GRC Compl Filing - Exhibit D 2 3" xfId="6991"/>
    <cellStyle name="_Fuel Prices 4-14_2009 GRC Compl Filing - Exhibit D 3" xfId="6992"/>
    <cellStyle name="_Fuel Prices 4-14_2009 GRC Compl Filing - Exhibit D 3 2" xfId="6993"/>
    <cellStyle name="_Fuel Prices 4-14_2009 GRC Compl Filing - Exhibit D 4" xfId="6994"/>
    <cellStyle name="_Fuel Prices 4-14_2009 GRC Compl Filing - Exhibit D_DEM-WP(C) ENERG10C--ctn Mid-C_042010 2010GRC" xfId="6995"/>
    <cellStyle name="_Fuel Prices 4-14_2009 GRC Compl Filing - Exhibit D_DEM-WP(C) ENERG10C--ctn Mid-C_042010 2010GRC 2" xfId="6996"/>
    <cellStyle name="_Fuel Prices 4-14_3.01 Income Statement" xfId="6997"/>
    <cellStyle name="_Fuel Prices 4-14_4 31 Regulatory Assets and Liabilities  7 06- Exhibit D" xfId="6998"/>
    <cellStyle name="_Fuel Prices 4-14_4 31 Regulatory Assets and Liabilities  7 06- Exhibit D 2" xfId="6999"/>
    <cellStyle name="_Fuel Prices 4-14_4 31 Regulatory Assets and Liabilities  7 06- Exhibit D 2 2" xfId="7000"/>
    <cellStyle name="_Fuel Prices 4-14_4 31 Regulatory Assets and Liabilities  7 06- Exhibit D 2 2 2" xfId="7001"/>
    <cellStyle name="_Fuel Prices 4-14_4 31 Regulatory Assets and Liabilities  7 06- Exhibit D 2 2 2 2" xfId="7002"/>
    <cellStyle name="_Fuel Prices 4-14_4 31 Regulatory Assets and Liabilities  7 06- Exhibit D 2 2 3" xfId="7003"/>
    <cellStyle name="_Fuel Prices 4-14_4 31 Regulatory Assets and Liabilities  7 06- Exhibit D 2 3" xfId="7004"/>
    <cellStyle name="_Fuel Prices 4-14_4 31 Regulatory Assets and Liabilities  7 06- Exhibit D 3" xfId="7005"/>
    <cellStyle name="_Fuel Prices 4-14_4 31 Regulatory Assets and Liabilities  7 06- Exhibit D 3 2" xfId="7006"/>
    <cellStyle name="_Fuel Prices 4-14_4 31 Regulatory Assets and Liabilities  7 06- Exhibit D 4" xfId="7007"/>
    <cellStyle name="_Fuel Prices 4-14_4 31 Regulatory Assets and Liabilities  7 06- Exhibit D_DEM-WP(C) ENERG10C--ctn Mid-C_042010 2010GRC" xfId="7008"/>
    <cellStyle name="_Fuel Prices 4-14_4 31 Regulatory Assets and Liabilities  7 06- Exhibit D_DEM-WP(C) ENERG10C--ctn Mid-C_042010 2010GRC 2" xfId="7009"/>
    <cellStyle name="_Fuel Prices 4-14_4 31 Regulatory Assets and Liabilities  7 06- Exhibit D_NIM Summary" xfId="7010"/>
    <cellStyle name="_Fuel Prices 4-14_4 31 Regulatory Assets and Liabilities  7 06- Exhibit D_NIM Summary 2" xfId="7011"/>
    <cellStyle name="_Fuel Prices 4-14_4 31 Regulatory Assets and Liabilities  7 06- Exhibit D_NIM Summary 2 2" xfId="7012"/>
    <cellStyle name="_Fuel Prices 4-14_4 31 Regulatory Assets and Liabilities  7 06- Exhibit D_NIM Summary 2 2 2" xfId="7013"/>
    <cellStyle name="_Fuel Prices 4-14_4 31 Regulatory Assets and Liabilities  7 06- Exhibit D_NIM Summary 2 3" xfId="7014"/>
    <cellStyle name="_Fuel Prices 4-14_4 31 Regulatory Assets and Liabilities  7 06- Exhibit D_NIM Summary 3" xfId="7015"/>
    <cellStyle name="_Fuel Prices 4-14_4 31 Regulatory Assets and Liabilities  7 06- Exhibit D_NIM Summary 3 2" xfId="7016"/>
    <cellStyle name="_Fuel Prices 4-14_4 31 Regulatory Assets and Liabilities  7 06- Exhibit D_NIM Summary 4" xfId="7017"/>
    <cellStyle name="_Fuel Prices 4-14_4 31 Regulatory Assets and Liabilities  7 06- Exhibit D_NIM Summary_DEM-WP(C) ENERG10C--ctn Mid-C_042010 2010GRC" xfId="7018"/>
    <cellStyle name="_Fuel Prices 4-14_4 31 Regulatory Assets and Liabilities  7 06- Exhibit D_NIM Summary_DEM-WP(C) ENERG10C--ctn Mid-C_042010 2010GRC 2" xfId="7019"/>
    <cellStyle name="_Fuel Prices 4-14_4 31 Regulatory Assets and Liabilities  7 06- Exhibit D_NIM+O&amp;M" xfId="7020"/>
    <cellStyle name="_Fuel Prices 4-14_4 31 Regulatory Assets and Liabilities  7 06- Exhibit D_NIM+O&amp;M 2" xfId="7021"/>
    <cellStyle name="_Fuel Prices 4-14_4 31 Regulatory Assets and Liabilities  7 06- Exhibit D_NIM+O&amp;M Monthly" xfId="7022"/>
    <cellStyle name="_Fuel Prices 4-14_4 31 Regulatory Assets and Liabilities  7 06- Exhibit D_NIM+O&amp;M Monthly 2" xfId="7023"/>
    <cellStyle name="_Fuel Prices 4-14_4 31E Reg Asset  Liab and EXH D" xfId="7024"/>
    <cellStyle name="_Fuel Prices 4-14_4 31E Reg Asset  Liab and EXH D _ Aug 10 Filing (2)" xfId="7025"/>
    <cellStyle name="_Fuel Prices 4-14_4 31E Reg Asset  Liab and EXH D _ Aug 10 Filing (2) 2" xfId="7026"/>
    <cellStyle name="_Fuel Prices 4-14_4 31E Reg Asset  Liab and EXH D 2" xfId="7027"/>
    <cellStyle name="_Fuel Prices 4-14_4 31E Reg Asset  Liab and EXH D 3" xfId="7028"/>
    <cellStyle name="_Fuel Prices 4-14_4 32 Regulatory Assets and Liabilities  7 06- Exhibit D" xfId="7029"/>
    <cellStyle name="_Fuel Prices 4-14_4 32 Regulatory Assets and Liabilities  7 06- Exhibit D 2" xfId="7030"/>
    <cellStyle name="_Fuel Prices 4-14_4 32 Regulatory Assets and Liabilities  7 06- Exhibit D 2 2" xfId="7031"/>
    <cellStyle name="_Fuel Prices 4-14_4 32 Regulatory Assets and Liabilities  7 06- Exhibit D 2 2 2" xfId="7032"/>
    <cellStyle name="_Fuel Prices 4-14_4 32 Regulatory Assets and Liabilities  7 06- Exhibit D 2 2 2 2" xfId="7033"/>
    <cellStyle name="_Fuel Prices 4-14_4 32 Regulatory Assets and Liabilities  7 06- Exhibit D 2 2 3" xfId="7034"/>
    <cellStyle name="_Fuel Prices 4-14_4 32 Regulatory Assets and Liabilities  7 06- Exhibit D 2 3" xfId="7035"/>
    <cellStyle name="_Fuel Prices 4-14_4 32 Regulatory Assets and Liabilities  7 06- Exhibit D 3" xfId="7036"/>
    <cellStyle name="_Fuel Prices 4-14_4 32 Regulatory Assets and Liabilities  7 06- Exhibit D 3 2" xfId="7037"/>
    <cellStyle name="_Fuel Prices 4-14_4 32 Regulatory Assets and Liabilities  7 06- Exhibit D 4" xfId="7038"/>
    <cellStyle name="_Fuel Prices 4-14_4 32 Regulatory Assets and Liabilities  7 06- Exhibit D_DEM-WP(C) ENERG10C--ctn Mid-C_042010 2010GRC" xfId="7039"/>
    <cellStyle name="_Fuel Prices 4-14_4 32 Regulatory Assets and Liabilities  7 06- Exhibit D_DEM-WP(C) ENERG10C--ctn Mid-C_042010 2010GRC 2" xfId="7040"/>
    <cellStyle name="_Fuel Prices 4-14_4 32 Regulatory Assets and Liabilities  7 06- Exhibit D_NIM Summary" xfId="7041"/>
    <cellStyle name="_Fuel Prices 4-14_4 32 Regulatory Assets and Liabilities  7 06- Exhibit D_NIM Summary 2" xfId="7042"/>
    <cellStyle name="_Fuel Prices 4-14_4 32 Regulatory Assets and Liabilities  7 06- Exhibit D_NIM Summary 2 2" xfId="7043"/>
    <cellStyle name="_Fuel Prices 4-14_4 32 Regulatory Assets and Liabilities  7 06- Exhibit D_NIM Summary 2 2 2" xfId="7044"/>
    <cellStyle name="_Fuel Prices 4-14_4 32 Regulatory Assets and Liabilities  7 06- Exhibit D_NIM Summary 2 3" xfId="7045"/>
    <cellStyle name="_Fuel Prices 4-14_4 32 Regulatory Assets and Liabilities  7 06- Exhibit D_NIM Summary 3" xfId="7046"/>
    <cellStyle name="_Fuel Prices 4-14_4 32 Regulatory Assets and Liabilities  7 06- Exhibit D_NIM Summary 3 2" xfId="7047"/>
    <cellStyle name="_Fuel Prices 4-14_4 32 Regulatory Assets and Liabilities  7 06- Exhibit D_NIM Summary 4" xfId="7048"/>
    <cellStyle name="_Fuel Prices 4-14_4 32 Regulatory Assets and Liabilities  7 06- Exhibit D_NIM Summary_DEM-WP(C) ENERG10C--ctn Mid-C_042010 2010GRC" xfId="7049"/>
    <cellStyle name="_Fuel Prices 4-14_4 32 Regulatory Assets and Liabilities  7 06- Exhibit D_NIM Summary_DEM-WP(C) ENERG10C--ctn Mid-C_042010 2010GRC 2" xfId="7050"/>
    <cellStyle name="_Fuel Prices 4-14_4 32 Regulatory Assets and Liabilities  7 06- Exhibit D_NIM+O&amp;M" xfId="7051"/>
    <cellStyle name="_Fuel Prices 4-14_4 32 Regulatory Assets and Liabilities  7 06- Exhibit D_NIM+O&amp;M 2" xfId="7052"/>
    <cellStyle name="_Fuel Prices 4-14_4 32 Regulatory Assets and Liabilities  7 06- Exhibit D_NIM+O&amp;M Monthly" xfId="7053"/>
    <cellStyle name="_Fuel Prices 4-14_4 32 Regulatory Assets and Liabilities  7 06- Exhibit D_NIM+O&amp;M Monthly 2" xfId="7054"/>
    <cellStyle name="_Fuel Prices 4-14_AURORA Total New" xfId="7055"/>
    <cellStyle name="_Fuel Prices 4-14_AURORA Total New 2" xfId="7056"/>
    <cellStyle name="_Fuel Prices 4-14_AURORA Total New 2 2" xfId="7057"/>
    <cellStyle name="_Fuel Prices 4-14_AURORA Total New 2 2 2" xfId="7058"/>
    <cellStyle name="_Fuel Prices 4-14_AURORA Total New 2 3" xfId="7059"/>
    <cellStyle name="_Fuel Prices 4-14_AURORA Total New 3" xfId="7060"/>
    <cellStyle name="_Fuel Prices 4-14_AURORA Total New 3 2" xfId="7061"/>
    <cellStyle name="_Fuel Prices 4-14_AURORA Total New 4" xfId="7062"/>
    <cellStyle name="_Fuel Prices 4-14_Book2" xfId="7063"/>
    <cellStyle name="_Fuel Prices 4-14_Book2 2" xfId="7064"/>
    <cellStyle name="_Fuel Prices 4-14_Book2 2 2" xfId="7065"/>
    <cellStyle name="_Fuel Prices 4-14_Book2 2 2 2" xfId="7066"/>
    <cellStyle name="_Fuel Prices 4-14_Book2 2 3" xfId="7067"/>
    <cellStyle name="_Fuel Prices 4-14_Book2 3" xfId="7068"/>
    <cellStyle name="_Fuel Prices 4-14_Book2 3 2" xfId="7069"/>
    <cellStyle name="_Fuel Prices 4-14_Book2 4" xfId="7070"/>
    <cellStyle name="_Fuel Prices 4-14_Book2_Adj Bench DR 3 for Initial Briefs (Electric)" xfId="7071"/>
    <cellStyle name="_Fuel Prices 4-14_Book2_Adj Bench DR 3 for Initial Briefs (Electric) 2" xfId="7072"/>
    <cellStyle name="_Fuel Prices 4-14_Book2_Adj Bench DR 3 for Initial Briefs (Electric) 2 2" xfId="7073"/>
    <cellStyle name="_Fuel Prices 4-14_Book2_Adj Bench DR 3 for Initial Briefs (Electric) 2 2 2" xfId="7074"/>
    <cellStyle name="_Fuel Prices 4-14_Book2_Adj Bench DR 3 for Initial Briefs (Electric) 2 3" xfId="7075"/>
    <cellStyle name="_Fuel Prices 4-14_Book2_Adj Bench DR 3 for Initial Briefs (Electric) 3" xfId="7076"/>
    <cellStyle name="_Fuel Prices 4-14_Book2_Adj Bench DR 3 for Initial Briefs (Electric) 3 2" xfId="7077"/>
    <cellStyle name="_Fuel Prices 4-14_Book2_Adj Bench DR 3 for Initial Briefs (Electric) 4" xfId="7078"/>
    <cellStyle name="_Fuel Prices 4-14_Book2_Adj Bench DR 3 for Initial Briefs (Electric)_DEM-WP(C) ENERG10C--ctn Mid-C_042010 2010GRC" xfId="7079"/>
    <cellStyle name="_Fuel Prices 4-14_Book2_Adj Bench DR 3 for Initial Briefs (Electric)_DEM-WP(C) ENERG10C--ctn Mid-C_042010 2010GRC 2" xfId="7080"/>
    <cellStyle name="_Fuel Prices 4-14_Book2_DEM-WP(C) ENERG10C--ctn Mid-C_042010 2010GRC" xfId="7081"/>
    <cellStyle name="_Fuel Prices 4-14_Book2_DEM-WP(C) ENERG10C--ctn Mid-C_042010 2010GRC 2" xfId="7082"/>
    <cellStyle name="_Fuel Prices 4-14_Book2_Electric Rev Req Model (2009 GRC) Rebuttal" xfId="7083"/>
    <cellStyle name="_Fuel Prices 4-14_Book2_Electric Rev Req Model (2009 GRC) Rebuttal 2" xfId="7084"/>
    <cellStyle name="_Fuel Prices 4-14_Book2_Electric Rev Req Model (2009 GRC) Rebuttal 2 2" xfId="7085"/>
    <cellStyle name="_Fuel Prices 4-14_Book2_Electric Rev Req Model (2009 GRC) Rebuttal 3" xfId="7086"/>
    <cellStyle name="_Fuel Prices 4-14_Book2_Electric Rev Req Model (2009 GRC) Rebuttal REmoval of New  WH Solar AdjustMI" xfId="7087"/>
    <cellStyle name="_Fuel Prices 4-14_Book2_Electric Rev Req Model (2009 GRC) Rebuttal REmoval of New  WH Solar AdjustMI 2" xfId="7088"/>
    <cellStyle name="_Fuel Prices 4-14_Book2_Electric Rev Req Model (2009 GRC) Rebuttal REmoval of New  WH Solar AdjustMI 2 2" xfId="7089"/>
    <cellStyle name="_Fuel Prices 4-14_Book2_Electric Rev Req Model (2009 GRC) Rebuttal REmoval of New  WH Solar AdjustMI 2 2 2" xfId="7090"/>
    <cellStyle name="_Fuel Prices 4-14_Book2_Electric Rev Req Model (2009 GRC) Rebuttal REmoval of New  WH Solar AdjustMI 2 3" xfId="7091"/>
    <cellStyle name="_Fuel Prices 4-14_Book2_Electric Rev Req Model (2009 GRC) Rebuttal REmoval of New  WH Solar AdjustMI 3" xfId="7092"/>
    <cellStyle name="_Fuel Prices 4-14_Book2_Electric Rev Req Model (2009 GRC) Rebuttal REmoval of New  WH Solar AdjustMI 3 2" xfId="7093"/>
    <cellStyle name="_Fuel Prices 4-14_Book2_Electric Rev Req Model (2009 GRC) Rebuttal REmoval of New  WH Solar AdjustMI 4" xfId="7094"/>
    <cellStyle name="_Fuel Prices 4-14_Book2_Electric Rev Req Model (2009 GRC) Rebuttal REmoval of New  WH Solar AdjustMI_DEM-WP(C) ENERG10C--ctn Mid-C_042010 2010GRC" xfId="7095"/>
    <cellStyle name="_Fuel Prices 4-14_Book2_Electric Rev Req Model (2009 GRC) Rebuttal REmoval of New  WH Solar AdjustMI_DEM-WP(C) ENERG10C--ctn Mid-C_042010 2010GRC 2" xfId="7096"/>
    <cellStyle name="_Fuel Prices 4-14_Book2_Electric Rev Req Model (2009 GRC) Revised 01-18-2010" xfId="7097"/>
    <cellStyle name="_Fuel Prices 4-14_Book2_Electric Rev Req Model (2009 GRC) Revised 01-18-2010 2" xfId="7098"/>
    <cellStyle name="_Fuel Prices 4-14_Book2_Electric Rev Req Model (2009 GRC) Revised 01-18-2010 2 2" xfId="7099"/>
    <cellStyle name="_Fuel Prices 4-14_Book2_Electric Rev Req Model (2009 GRC) Revised 01-18-2010 2 2 2" xfId="7100"/>
    <cellStyle name="_Fuel Prices 4-14_Book2_Electric Rev Req Model (2009 GRC) Revised 01-18-2010 2 3" xfId="7101"/>
    <cellStyle name="_Fuel Prices 4-14_Book2_Electric Rev Req Model (2009 GRC) Revised 01-18-2010 3" xfId="7102"/>
    <cellStyle name="_Fuel Prices 4-14_Book2_Electric Rev Req Model (2009 GRC) Revised 01-18-2010 3 2" xfId="7103"/>
    <cellStyle name="_Fuel Prices 4-14_Book2_Electric Rev Req Model (2009 GRC) Revised 01-18-2010 4" xfId="7104"/>
    <cellStyle name="_Fuel Prices 4-14_Book2_Electric Rev Req Model (2009 GRC) Revised 01-18-2010_DEM-WP(C) ENERG10C--ctn Mid-C_042010 2010GRC" xfId="7105"/>
    <cellStyle name="_Fuel Prices 4-14_Book2_Electric Rev Req Model (2009 GRC) Revised 01-18-2010_DEM-WP(C) ENERG10C--ctn Mid-C_042010 2010GRC 2" xfId="7106"/>
    <cellStyle name="_Fuel Prices 4-14_Book2_Final Order Electric EXHIBIT A-1" xfId="7107"/>
    <cellStyle name="_Fuel Prices 4-14_Book2_Final Order Electric EXHIBIT A-1 2" xfId="7108"/>
    <cellStyle name="_Fuel Prices 4-14_Book2_Final Order Electric EXHIBIT A-1 2 2" xfId="7109"/>
    <cellStyle name="_Fuel Prices 4-14_Book2_Final Order Electric EXHIBIT A-1 3" xfId="7110"/>
    <cellStyle name="_Fuel Prices 4-14_Book4" xfId="7111"/>
    <cellStyle name="_Fuel Prices 4-14_Book4 2" xfId="7112"/>
    <cellStyle name="_Fuel Prices 4-14_Book4 2 2" xfId="7113"/>
    <cellStyle name="_Fuel Prices 4-14_Book4 2 2 2" xfId="7114"/>
    <cellStyle name="_Fuel Prices 4-14_Book4 2 3" xfId="7115"/>
    <cellStyle name="_Fuel Prices 4-14_Book4 3" xfId="7116"/>
    <cellStyle name="_Fuel Prices 4-14_Book4 3 2" xfId="7117"/>
    <cellStyle name="_Fuel Prices 4-14_Book4 4" xfId="7118"/>
    <cellStyle name="_Fuel Prices 4-14_Book4_DEM-WP(C) ENERG10C--ctn Mid-C_042010 2010GRC" xfId="7119"/>
    <cellStyle name="_Fuel Prices 4-14_Book4_DEM-WP(C) ENERG10C--ctn Mid-C_042010 2010GRC 2" xfId="7120"/>
    <cellStyle name="_Fuel Prices 4-14_Book9" xfId="7121"/>
    <cellStyle name="_Fuel Prices 4-14_Book9 2" xfId="7122"/>
    <cellStyle name="_Fuel Prices 4-14_Book9 2 2" xfId="7123"/>
    <cellStyle name="_Fuel Prices 4-14_Book9 2 2 2" xfId="7124"/>
    <cellStyle name="_Fuel Prices 4-14_Book9 2 3" xfId="7125"/>
    <cellStyle name="_Fuel Prices 4-14_Book9 3" xfId="7126"/>
    <cellStyle name="_Fuel Prices 4-14_Book9 3 2" xfId="7127"/>
    <cellStyle name="_Fuel Prices 4-14_Book9 4" xfId="7128"/>
    <cellStyle name="_Fuel Prices 4-14_Book9_DEM-WP(C) ENERG10C--ctn Mid-C_042010 2010GRC" xfId="7129"/>
    <cellStyle name="_Fuel Prices 4-14_Book9_DEM-WP(C) ENERG10C--ctn Mid-C_042010 2010GRC 2" xfId="7130"/>
    <cellStyle name="_Fuel Prices 4-14_Chelan PUD Power Costs (8-10)" xfId="7131"/>
    <cellStyle name="_Fuel Prices 4-14_Chelan PUD Power Costs (8-10) 2" xfId="7132"/>
    <cellStyle name="_Fuel Prices 4-14_DEM-WP(C) Chelan Power Costs" xfId="7133"/>
    <cellStyle name="_Fuel Prices 4-14_DEM-WP(C) Chelan Power Costs 2" xfId="7134"/>
    <cellStyle name="_Fuel Prices 4-14_DEM-WP(C) ENERG10C--ctn Mid-C_042010 2010GRC" xfId="7135"/>
    <cellStyle name="_Fuel Prices 4-14_DEM-WP(C) ENERG10C--ctn Mid-C_042010 2010GRC 2" xfId="7136"/>
    <cellStyle name="_Fuel Prices 4-14_DEM-WP(C) Gas Transport 2010GRC" xfId="7137"/>
    <cellStyle name="_Fuel Prices 4-14_DEM-WP(C) Gas Transport 2010GRC 2" xfId="7138"/>
    <cellStyle name="_Fuel Prices 4-14_Exh A-1 resulting from UE-112050 effective Jan 1 2012" xfId="7139"/>
    <cellStyle name="_Fuel Prices 4-14_Exh A-1 resulting from UE-112050 effective Jan 1 2012 2" xfId="7140"/>
    <cellStyle name="_Fuel Prices 4-14_Exh G - Klamath Peaker PPA fr C Locke 2-12" xfId="7141"/>
    <cellStyle name="_Fuel Prices 4-14_Exh G - Klamath Peaker PPA fr C Locke 2-12 2" xfId="7142"/>
    <cellStyle name="_Fuel Prices 4-14_Exhibit A-1 effective 4-1-11 fr S Free 12-11" xfId="7143"/>
    <cellStyle name="_Fuel Prices 4-14_Exhibit A-1 effective 4-1-11 fr S Free 12-11 2" xfId="7144"/>
    <cellStyle name="_Fuel Prices 4-14_Mint Farm Generation BPA" xfId="7145"/>
    <cellStyle name="_Fuel Prices 4-14_NIM Summary" xfId="7146"/>
    <cellStyle name="_Fuel Prices 4-14_NIM Summary 09GRC" xfId="7147"/>
    <cellStyle name="_Fuel Prices 4-14_NIM Summary 09GRC 2" xfId="7148"/>
    <cellStyle name="_Fuel Prices 4-14_NIM Summary 09GRC 2 2" xfId="7149"/>
    <cellStyle name="_Fuel Prices 4-14_NIM Summary 09GRC 2 2 2" xfId="7150"/>
    <cellStyle name="_Fuel Prices 4-14_NIM Summary 09GRC 2 3" xfId="7151"/>
    <cellStyle name="_Fuel Prices 4-14_NIM Summary 09GRC 3" xfId="7152"/>
    <cellStyle name="_Fuel Prices 4-14_NIM Summary 09GRC 3 2" xfId="7153"/>
    <cellStyle name="_Fuel Prices 4-14_NIM Summary 09GRC 4" xfId="7154"/>
    <cellStyle name="_Fuel Prices 4-14_NIM Summary 09GRC_DEM-WP(C) ENERG10C--ctn Mid-C_042010 2010GRC" xfId="7155"/>
    <cellStyle name="_Fuel Prices 4-14_NIM Summary 09GRC_DEM-WP(C) ENERG10C--ctn Mid-C_042010 2010GRC 2" xfId="7156"/>
    <cellStyle name="_Fuel Prices 4-14_NIM Summary 10" xfId="7157"/>
    <cellStyle name="_Fuel Prices 4-14_NIM Summary 10 2" xfId="7158"/>
    <cellStyle name="_Fuel Prices 4-14_NIM Summary 11" xfId="7159"/>
    <cellStyle name="_Fuel Prices 4-14_NIM Summary 11 2" xfId="7160"/>
    <cellStyle name="_Fuel Prices 4-14_NIM Summary 12" xfId="7161"/>
    <cellStyle name="_Fuel Prices 4-14_NIM Summary 12 2" xfId="7162"/>
    <cellStyle name="_Fuel Prices 4-14_NIM Summary 13" xfId="7163"/>
    <cellStyle name="_Fuel Prices 4-14_NIM Summary 13 2" xfId="7164"/>
    <cellStyle name="_Fuel Prices 4-14_NIM Summary 14" xfId="7165"/>
    <cellStyle name="_Fuel Prices 4-14_NIM Summary 14 2" xfId="7166"/>
    <cellStyle name="_Fuel Prices 4-14_NIM Summary 15" xfId="7167"/>
    <cellStyle name="_Fuel Prices 4-14_NIM Summary 15 2" xfId="7168"/>
    <cellStyle name="_Fuel Prices 4-14_NIM Summary 16" xfId="7169"/>
    <cellStyle name="_Fuel Prices 4-14_NIM Summary 16 2" xfId="7170"/>
    <cellStyle name="_Fuel Prices 4-14_NIM Summary 17" xfId="7171"/>
    <cellStyle name="_Fuel Prices 4-14_NIM Summary 17 2" xfId="7172"/>
    <cellStyle name="_Fuel Prices 4-14_NIM Summary 18" xfId="7173"/>
    <cellStyle name="_Fuel Prices 4-14_NIM Summary 18 2" xfId="7174"/>
    <cellStyle name="_Fuel Prices 4-14_NIM Summary 19" xfId="7175"/>
    <cellStyle name="_Fuel Prices 4-14_NIM Summary 19 2" xfId="7176"/>
    <cellStyle name="_Fuel Prices 4-14_NIM Summary 2" xfId="7177"/>
    <cellStyle name="_Fuel Prices 4-14_NIM Summary 2 2" xfId="7178"/>
    <cellStyle name="_Fuel Prices 4-14_NIM Summary 2 2 2" xfId="7179"/>
    <cellStyle name="_Fuel Prices 4-14_NIM Summary 2 3" xfId="7180"/>
    <cellStyle name="_Fuel Prices 4-14_NIM Summary 20" xfId="7181"/>
    <cellStyle name="_Fuel Prices 4-14_NIM Summary 20 2" xfId="7182"/>
    <cellStyle name="_Fuel Prices 4-14_NIM Summary 21" xfId="7183"/>
    <cellStyle name="_Fuel Prices 4-14_NIM Summary 21 2" xfId="7184"/>
    <cellStyle name="_Fuel Prices 4-14_NIM Summary 22" xfId="7185"/>
    <cellStyle name="_Fuel Prices 4-14_NIM Summary 22 2" xfId="7186"/>
    <cellStyle name="_Fuel Prices 4-14_NIM Summary 23" xfId="7187"/>
    <cellStyle name="_Fuel Prices 4-14_NIM Summary 23 2" xfId="7188"/>
    <cellStyle name="_Fuel Prices 4-14_NIM Summary 24" xfId="7189"/>
    <cellStyle name="_Fuel Prices 4-14_NIM Summary 24 2" xfId="7190"/>
    <cellStyle name="_Fuel Prices 4-14_NIM Summary 25" xfId="7191"/>
    <cellStyle name="_Fuel Prices 4-14_NIM Summary 25 2" xfId="7192"/>
    <cellStyle name="_Fuel Prices 4-14_NIM Summary 26" xfId="7193"/>
    <cellStyle name="_Fuel Prices 4-14_NIM Summary 26 2" xfId="7194"/>
    <cellStyle name="_Fuel Prices 4-14_NIM Summary 27" xfId="7195"/>
    <cellStyle name="_Fuel Prices 4-14_NIM Summary 27 2" xfId="7196"/>
    <cellStyle name="_Fuel Prices 4-14_NIM Summary 28" xfId="7197"/>
    <cellStyle name="_Fuel Prices 4-14_NIM Summary 28 2" xfId="7198"/>
    <cellStyle name="_Fuel Prices 4-14_NIM Summary 29" xfId="7199"/>
    <cellStyle name="_Fuel Prices 4-14_NIM Summary 29 2" xfId="7200"/>
    <cellStyle name="_Fuel Prices 4-14_NIM Summary 3" xfId="7201"/>
    <cellStyle name="_Fuel Prices 4-14_NIM Summary 3 2" xfId="7202"/>
    <cellStyle name="_Fuel Prices 4-14_NIM Summary 30" xfId="7203"/>
    <cellStyle name="_Fuel Prices 4-14_NIM Summary 30 2" xfId="7204"/>
    <cellStyle name="_Fuel Prices 4-14_NIM Summary 31" xfId="7205"/>
    <cellStyle name="_Fuel Prices 4-14_NIM Summary 31 2" xfId="7206"/>
    <cellStyle name="_Fuel Prices 4-14_NIM Summary 32" xfId="7207"/>
    <cellStyle name="_Fuel Prices 4-14_NIM Summary 32 2" xfId="7208"/>
    <cellStyle name="_Fuel Prices 4-14_NIM Summary 33" xfId="7209"/>
    <cellStyle name="_Fuel Prices 4-14_NIM Summary 33 2" xfId="7210"/>
    <cellStyle name="_Fuel Prices 4-14_NIM Summary 34" xfId="7211"/>
    <cellStyle name="_Fuel Prices 4-14_NIM Summary 34 2" xfId="7212"/>
    <cellStyle name="_Fuel Prices 4-14_NIM Summary 35" xfId="7213"/>
    <cellStyle name="_Fuel Prices 4-14_NIM Summary 35 2" xfId="7214"/>
    <cellStyle name="_Fuel Prices 4-14_NIM Summary 36" xfId="7215"/>
    <cellStyle name="_Fuel Prices 4-14_NIM Summary 36 2" xfId="7216"/>
    <cellStyle name="_Fuel Prices 4-14_NIM Summary 37" xfId="7217"/>
    <cellStyle name="_Fuel Prices 4-14_NIM Summary 37 2" xfId="7218"/>
    <cellStyle name="_Fuel Prices 4-14_NIM Summary 38" xfId="7219"/>
    <cellStyle name="_Fuel Prices 4-14_NIM Summary 38 2" xfId="7220"/>
    <cellStyle name="_Fuel Prices 4-14_NIM Summary 39" xfId="7221"/>
    <cellStyle name="_Fuel Prices 4-14_NIM Summary 39 2" xfId="7222"/>
    <cellStyle name="_Fuel Prices 4-14_NIM Summary 4" xfId="7223"/>
    <cellStyle name="_Fuel Prices 4-14_NIM Summary 4 2" xfId="7224"/>
    <cellStyle name="_Fuel Prices 4-14_NIM Summary 40" xfId="7225"/>
    <cellStyle name="_Fuel Prices 4-14_NIM Summary 40 2" xfId="7226"/>
    <cellStyle name="_Fuel Prices 4-14_NIM Summary 41" xfId="7227"/>
    <cellStyle name="_Fuel Prices 4-14_NIM Summary 41 2" xfId="7228"/>
    <cellStyle name="_Fuel Prices 4-14_NIM Summary 42" xfId="7229"/>
    <cellStyle name="_Fuel Prices 4-14_NIM Summary 42 2" xfId="7230"/>
    <cellStyle name="_Fuel Prices 4-14_NIM Summary 43" xfId="7231"/>
    <cellStyle name="_Fuel Prices 4-14_NIM Summary 43 2" xfId="7232"/>
    <cellStyle name="_Fuel Prices 4-14_NIM Summary 44" xfId="7233"/>
    <cellStyle name="_Fuel Prices 4-14_NIM Summary 44 2" xfId="7234"/>
    <cellStyle name="_Fuel Prices 4-14_NIM Summary 45" xfId="7235"/>
    <cellStyle name="_Fuel Prices 4-14_NIM Summary 45 2" xfId="7236"/>
    <cellStyle name="_Fuel Prices 4-14_NIM Summary 46" xfId="7237"/>
    <cellStyle name="_Fuel Prices 4-14_NIM Summary 46 2" xfId="7238"/>
    <cellStyle name="_Fuel Prices 4-14_NIM Summary 47" xfId="7239"/>
    <cellStyle name="_Fuel Prices 4-14_NIM Summary 47 2" xfId="7240"/>
    <cellStyle name="_Fuel Prices 4-14_NIM Summary 48" xfId="7241"/>
    <cellStyle name="_Fuel Prices 4-14_NIM Summary 49" xfId="7242"/>
    <cellStyle name="_Fuel Prices 4-14_NIM Summary 5" xfId="7243"/>
    <cellStyle name="_Fuel Prices 4-14_NIM Summary 5 2" xfId="7244"/>
    <cellStyle name="_Fuel Prices 4-14_NIM Summary 50" xfId="7245"/>
    <cellStyle name="_Fuel Prices 4-14_NIM Summary 51" xfId="7246"/>
    <cellStyle name="_Fuel Prices 4-14_NIM Summary 52" xfId="7247"/>
    <cellStyle name="_Fuel Prices 4-14_NIM Summary 6" xfId="7248"/>
    <cellStyle name="_Fuel Prices 4-14_NIM Summary 6 2" xfId="7249"/>
    <cellStyle name="_Fuel Prices 4-14_NIM Summary 7" xfId="7250"/>
    <cellStyle name="_Fuel Prices 4-14_NIM Summary 7 2" xfId="7251"/>
    <cellStyle name="_Fuel Prices 4-14_NIM Summary 8" xfId="7252"/>
    <cellStyle name="_Fuel Prices 4-14_NIM Summary 8 2" xfId="7253"/>
    <cellStyle name="_Fuel Prices 4-14_NIM Summary 9" xfId="7254"/>
    <cellStyle name="_Fuel Prices 4-14_NIM Summary 9 2" xfId="7255"/>
    <cellStyle name="_Fuel Prices 4-14_NIM Summary_DEM-WP(C) ENERG10C--ctn Mid-C_042010 2010GRC" xfId="7256"/>
    <cellStyle name="_Fuel Prices 4-14_NIM Summary_DEM-WP(C) ENERG10C--ctn Mid-C_042010 2010GRC 2" xfId="7257"/>
    <cellStyle name="_Fuel Prices 4-14_NIM+O&amp;M" xfId="7258"/>
    <cellStyle name="_Fuel Prices 4-14_NIM+O&amp;M 2" xfId="7259"/>
    <cellStyle name="_Fuel Prices 4-14_NIM+O&amp;M 2 2" xfId="7260"/>
    <cellStyle name="_Fuel Prices 4-14_NIM+O&amp;M 3" xfId="7261"/>
    <cellStyle name="_Fuel Prices 4-14_NIM+O&amp;M Monthly" xfId="7262"/>
    <cellStyle name="_Fuel Prices 4-14_NIM+O&amp;M Monthly 2" xfId="7263"/>
    <cellStyle name="_Fuel Prices 4-14_NIM+O&amp;M Monthly 2 2" xfId="7264"/>
    <cellStyle name="_Fuel Prices 4-14_NIM+O&amp;M Monthly 3" xfId="7265"/>
    <cellStyle name="_Fuel Prices 4-14_PCA 10 -  Exhibit D Dec 2011" xfId="7266"/>
    <cellStyle name="_Fuel Prices 4-14_PCA 10 -  Exhibit D Dec 2011 2" xfId="7267"/>
    <cellStyle name="_Fuel Prices 4-14_PCA 10 -  Exhibit D from A Kellogg Jan 2011" xfId="7268"/>
    <cellStyle name="_Fuel Prices 4-14_PCA 10 -  Exhibit D from A Kellogg Jan 2011 2" xfId="7269"/>
    <cellStyle name="_Fuel Prices 4-14_PCA 10 -  Exhibit D from A Kellogg July 2011" xfId="7270"/>
    <cellStyle name="_Fuel Prices 4-14_PCA 10 -  Exhibit D from A Kellogg July 2011 2" xfId="7271"/>
    <cellStyle name="_Fuel Prices 4-14_PCA 10 -  Exhibit D from S Free Rcv'd 12-11" xfId="7272"/>
    <cellStyle name="_Fuel Prices 4-14_PCA 10 -  Exhibit D from S Free Rcv'd 12-11 2" xfId="7273"/>
    <cellStyle name="_Fuel Prices 4-14_PCA 11 -  Exhibit D Jan 2012 fr A Kellogg" xfId="7274"/>
    <cellStyle name="_Fuel Prices 4-14_PCA 11 -  Exhibit D Jan 2012 fr A Kellogg 2" xfId="7275"/>
    <cellStyle name="_Fuel Prices 4-14_PCA 11 -  Exhibit D Jan 2012 WF" xfId="7276"/>
    <cellStyle name="_Fuel Prices 4-14_PCA 11 -  Exhibit D Jan 2012 WF 2" xfId="7277"/>
    <cellStyle name="_Fuel Prices 4-14_PCA 9 -  Exhibit D April 2010" xfId="7278"/>
    <cellStyle name="_Fuel Prices 4-14_PCA 9 -  Exhibit D April 2010 (3)" xfId="7279"/>
    <cellStyle name="_Fuel Prices 4-14_PCA 9 -  Exhibit D April 2010 (3) 2" xfId="7280"/>
    <cellStyle name="_Fuel Prices 4-14_PCA 9 -  Exhibit D April 2010 (3) 2 2" xfId="7281"/>
    <cellStyle name="_Fuel Prices 4-14_PCA 9 -  Exhibit D April 2010 (3) 2 2 2" xfId="7282"/>
    <cellStyle name="_Fuel Prices 4-14_PCA 9 -  Exhibit D April 2010 (3) 2 3" xfId="7283"/>
    <cellStyle name="_Fuel Prices 4-14_PCA 9 -  Exhibit D April 2010 (3) 3" xfId="7284"/>
    <cellStyle name="_Fuel Prices 4-14_PCA 9 -  Exhibit D April 2010 (3) 3 2" xfId="7285"/>
    <cellStyle name="_Fuel Prices 4-14_PCA 9 -  Exhibit D April 2010 (3) 4" xfId="7286"/>
    <cellStyle name="_Fuel Prices 4-14_PCA 9 -  Exhibit D April 2010 (3)_DEM-WP(C) ENERG10C--ctn Mid-C_042010 2010GRC" xfId="7287"/>
    <cellStyle name="_Fuel Prices 4-14_PCA 9 -  Exhibit D April 2010 (3)_DEM-WP(C) ENERG10C--ctn Mid-C_042010 2010GRC 2" xfId="7288"/>
    <cellStyle name="_Fuel Prices 4-14_PCA 9 -  Exhibit D April 2010 2" xfId="7289"/>
    <cellStyle name="_Fuel Prices 4-14_PCA 9 -  Exhibit D April 2010 2 2" xfId="7290"/>
    <cellStyle name="_Fuel Prices 4-14_PCA 9 -  Exhibit D April 2010 3" xfId="7291"/>
    <cellStyle name="_Fuel Prices 4-14_PCA 9 -  Exhibit D April 2010 3 2" xfId="7292"/>
    <cellStyle name="_Fuel Prices 4-14_PCA 9 -  Exhibit D April 2010 4" xfId="7293"/>
    <cellStyle name="_Fuel Prices 4-14_PCA 9 -  Exhibit D April 2010 4 2" xfId="7294"/>
    <cellStyle name="_Fuel Prices 4-14_PCA 9 -  Exhibit D April 2010 5" xfId="7295"/>
    <cellStyle name="_Fuel Prices 4-14_PCA 9 -  Exhibit D April 2010 5 2" xfId="7296"/>
    <cellStyle name="_Fuel Prices 4-14_PCA 9 -  Exhibit D April 2010 6" xfId="7297"/>
    <cellStyle name="_Fuel Prices 4-14_PCA 9 -  Exhibit D April 2010 6 2" xfId="7298"/>
    <cellStyle name="_Fuel Prices 4-14_PCA 9 -  Exhibit D April 2010 7" xfId="7299"/>
    <cellStyle name="_Fuel Prices 4-14_PCA 9 -  Exhibit D Nov 2010" xfId="7300"/>
    <cellStyle name="_Fuel Prices 4-14_PCA 9 -  Exhibit D Nov 2010 2" xfId="7301"/>
    <cellStyle name="_Fuel Prices 4-14_PCA 9 -  Exhibit D Nov 2010 2 2" xfId="7302"/>
    <cellStyle name="_Fuel Prices 4-14_PCA 9 -  Exhibit D Nov 2010 3" xfId="7303"/>
    <cellStyle name="_Fuel Prices 4-14_PCA 9 - Exhibit D at August 2010" xfId="7304"/>
    <cellStyle name="_Fuel Prices 4-14_PCA 9 - Exhibit D at August 2010 2" xfId="7305"/>
    <cellStyle name="_Fuel Prices 4-14_PCA 9 - Exhibit D at August 2010 2 2" xfId="7306"/>
    <cellStyle name="_Fuel Prices 4-14_PCA 9 - Exhibit D at August 2010 3" xfId="7307"/>
    <cellStyle name="_Fuel Prices 4-14_PCA 9 - Exhibit D June 2010 GRC" xfId="7308"/>
    <cellStyle name="_Fuel Prices 4-14_PCA 9 - Exhibit D June 2010 GRC 2" xfId="7309"/>
    <cellStyle name="_Fuel Prices 4-14_PCA 9 - Exhibit D June 2010 GRC 2 2" xfId="7310"/>
    <cellStyle name="_Fuel Prices 4-14_PCA 9 - Exhibit D June 2010 GRC 3" xfId="7311"/>
    <cellStyle name="_Fuel Prices 4-14_Power Costs - Comparison bx Rbtl-Staff-Jt-PC" xfId="7312"/>
    <cellStyle name="_Fuel Prices 4-14_Power Costs - Comparison bx Rbtl-Staff-Jt-PC 2" xfId="7313"/>
    <cellStyle name="_Fuel Prices 4-14_Power Costs - Comparison bx Rbtl-Staff-Jt-PC 2 2" xfId="7314"/>
    <cellStyle name="_Fuel Prices 4-14_Power Costs - Comparison bx Rbtl-Staff-Jt-PC 2 2 2" xfId="7315"/>
    <cellStyle name="_Fuel Prices 4-14_Power Costs - Comparison bx Rbtl-Staff-Jt-PC 2 3" xfId="7316"/>
    <cellStyle name="_Fuel Prices 4-14_Power Costs - Comparison bx Rbtl-Staff-Jt-PC 3" xfId="7317"/>
    <cellStyle name="_Fuel Prices 4-14_Power Costs - Comparison bx Rbtl-Staff-Jt-PC 3 2" xfId="7318"/>
    <cellStyle name="_Fuel Prices 4-14_Power Costs - Comparison bx Rbtl-Staff-Jt-PC 4" xfId="7319"/>
    <cellStyle name="_Fuel Prices 4-14_Power Costs - Comparison bx Rbtl-Staff-Jt-PC_Adj Bench DR 3 for Initial Briefs (Electric)" xfId="7320"/>
    <cellStyle name="_Fuel Prices 4-14_Power Costs - Comparison bx Rbtl-Staff-Jt-PC_Adj Bench DR 3 for Initial Briefs (Electric) 2" xfId="7321"/>
    <cellStyle name="_Fuel Prices 4-14_Power Costs - Comparison bx Rbtl-Staff-Jt-PC_Adj Bench DR 3 for Initial Briefs (Electric) 2 2" xfId="7322"/>
    <cellStyle name="_Fuel Prices 4-14_Power Costs - Comparison bx Rbtl-Staff-Jt-PC_Adj Bench DR 3 for Initial Briefs (Electric) 2 2 2" xfId="7323"/>
    <cellStyle name="_Fuel Prices 4-14_Power Costs - Comparison bx Rbtl-Staff-Jt-PC_Adj Bench DR 3 for Initial Briefs (Electric) 2 3" xfId="7324"/>
    <cellStyle name="_Fuel Prices 4-14_Power Costs - Comparison bx Rbtl-Staff-Jt-PC_Adj Bench DR 3 for Initial Briefs (Electric) 3" xfId="7325"/>
    <cellStyle name="_Fuel Prices 4-14_Power Costs - Comparison bx Rbtl-Staff-Jt-PC_Adj Bench DR 3 for Initial Briefs (Electric) 3 2" xfId="7326"/>
    <cellStyle name="_Fuel Prices 4-14_Power Costs - Comparison bx Rbtl-Staff-Jt-PC_Adj Bench DR 3 for Initial Briefs (Electric) 4" xfId="7327"/>
    <cellStyle name="_Fuel Prices 4-14_Power Costs - Comparison bx Rbtl-Staff-Jt-PC_Adj Bench DR 3 for Initial Briefs (Electric)_DEM-WP(C) ENERG10C--ctn Mid-C_042010 2010GRC" xfId="7328"/>
    <cellStyle name="_Fuel Prices 4-14_Power Costs - Comparison bx Rbtl-Staff-Jt-PC_Adj Bench DR 3 for Initial Briefs (Electric)_DEM-WP(C) ENERG10C--ctn Mid-C_042010 2010GRC 2" xfId="7329"/>
    <cellStyle name="_Fuel Prices 4-14_Power Costs - Comparison bx Rbtl-Staff-Jt-PC_DEM-WP(C) ENERG10C--ctn Mid-C_042010 2010GRC" xfId="7330"/>
    <cellStyle name="_Fuel Prices 4-14_Power Costs - Comparison bx Rbtl-Staff-Jt-PC_DEM-WP(C) ENERG10C--ctn Mid-C_042010 2010GRC 2" xfId="7331"/>
    <cellStyle name="_Fuel Prices 4-14_Power Costs - Comparison bx Rbtl-Staff-Jt-PC_Electric Rev Req Model (2009 GRC) Rebuttal" xfId="7332"/>
    <cellStyle name="_Fuel Prices 4-14_Power Costs - Comparison bx Rbtl-Staff-Jt-PC_Electric Rev Req Model (2009 GRC) Rebuttal 2" xfId="7333"/>
    <cellStyle name="_Fuel Prices 4-14_Power Costs - Comparison bx Rbtl-Staff-Jt-PC_Electric Rev Req Model (2009 GRC) Rebuttal 2 2" xfId="7334"/>
    <cellStyle name="_Fuel Prices 4-14_Power Costs - Comparison bx Rbtl-Staff-Jt-PC_Electric Rev Req Model (2009 GRC) Rebuttal 3" xfId="7335"/>
    <cellStyle name="_Fuel Prices 4-14_Power Costs - Comparison bx Rbtl-Staff-Jt-PC_Electric Rev Req Model (2009 GRC) Rebuttal REmoval of New  WH Solar AdjustMI" xfId="7336"/>
    <cellStyle name="_Fuel Prices 4-14_Power Costs - Comparison bx Rbtl-Staff-Jt-PC_Electric Rev Req Model (2009 GRC) Rebuttal REmoval of New  WH Solar AdjustMI 2" xfId="7337"/>
    <cellStyle name="_Fuel Prices 4-14_Power Costs - Comparison bx Rbtl-Staff-Jt-PC_Electric Rev Req Model (2009 GRC) Rebuttal REmoval of New  WH Solar AdjustMI 2 2" xfId="7338"/>
    <cellStyle name="_Fuel Prices 4-14_Power Costs - Comparison bx Rbtl-Staff-Jt-PC_Electric Rev Req Model (2009 GRC) Rebuttal REmoval of New  WH Solar AdjustMI 2 2 2" xfId="7339"/>
    <cellStyle name="_Fuel Prices 4-14_Power Costs - Comparison bx Rbtl-Staff-Jt-PC_Electric Rev Req Model (2009 GRC) Rebuttal REmoval of New  WH Solar AdjustMI 2 3" xfId="7340"/>
    <cellStyle name="_Fuel Prices 4-14_Power Costs - Comparison bx Rbtl-Staff-Jt-PC_Electric Rev Req Model (2009 GRC) Rebuttal REmoval of New  WH Solar AdjustMI 3" xfId="7341"/>
    <cellStyle name="_Fuel Prices 4-14_Power Costs - Comparison bx Rbtl-Staff-Jt-PC_Electric Rev Req Model (2009 GRC) Rebuttal REmoval of New  WH Solar AdjustMI 3 2" xfId="7342"/>
    <cellStyle name="_Fuel Prices 4-14_Power Costs - Comparison bx Rbtl-Staff-Jt-PC_Electric Rev Req Model (2009 GRC) Rebuttal REmoval of New  WH Solar AdjustMI 4" xfId="7343"/>
    <cellStyle name="_Fuel Prices 4-14_Power Costs - Comparison bx Rbtl-Staff-Jt-PC_Electric Rev Req Model (2009 GRC) Rebuttal REmoval of New  WH Solar AdjustMI_DEM-WP(C) ENERG10C--ctn Mid-C_042010 2010GRC" xfId="7344"/>
    <cellStyle name="_Fuel Prices 4-14_Power Costs - Comparison bx Rbtl-Staff-Jt-PC_Electric Rev Req Model (2009 GRC) Rebuttal REmoval of New  WH Solar AdjustMI_DEM-WP(C) ENERG10C--ctn Mid-C_042010 2010GRC 2" xfId="7345"/>
    <cellStyle name="_Fuel Prices 4-14_Power Costs - Comparison bx Rbtl-Staff-Jt-PC_Electric Rev Req Model (2009 GRC) Revised 01-18-2010" xfId="7346"/>
    <cellStyle name="_Fuel Prices 4-14_Power Costs - Comparison bx Rbtl-Staff-Jt-PC_Electric Rev Req Model (2009 GRC) Revised 01-18-2010 2" xfId="7347"/>
    <cellStyle name="_Fuel Prices 4-14_Power Costs - Comparison bx Rbtl-Staff-Jt-PC_Electric Rev Req Model (2009 GRC) Revised 01-18-2010 2 2" xfId="7348"/>
    <cellStyle name="_Fuel Prices 4-14_Power Costs - Comparison bx Rbtl-Staff-Jt-PC_Electric Rev Req Model (2009 GRC) Revised 01-18-2010 2 2 2" xfId="7349"/>
    <cellStyle name="_Fuel Prices 4-14_Power Costs - Comparison bx Rbtl-Staff-Jt-PC_Electric Rev Req Model (2009 GRC) Revised 01-18-2010 2 3" xfId="7350"/>
    <cellStyle name="_Fuel Prices 4-14_Power Costs - Comparison bx Rbtl-Staff-Jt-PC_Electric Rev Req Model (2009 GRC) Revised 01-18-2010 3" xfId="7351"/>
    <cellStyle name="_Fuel Prices 4-14_Power Costs - Comparison bx Rbtl-Staff-Jt-PC_Electric Rev Req Model (2009 GRC) Revised 01-18-2010 3 2" xfId="7352"/>
    <cellStyle name="_Fuel Prices 4-14_Power Costs - Comparison bx Rbtl-Staff-Jt-PC_Electric Rev Req Model (2009 GRC) Revised 01-18-2010 4" xfId="7353"/>
    <cellStyle name="_Fuel Prices 4-14_Power Costs - Comparison bx Rbtl-Staff-Jt-PC_Electric Rev Req Model (2009 GRC) Revised 01-18-2010_DEM-WP(C) ENERG10C--ctn Mid-C_042010 2010GRC" xfId="7354"/>
    <cellStyle name="_Fuel Prices 4-14_Power Costs - Comparison bx Rbtl-Staff-Jt-PC_Electric Rev Req Model (2009 GRC) Revised 01-18-2010_DEM-WP(C) ENERG10C--ctn Mid-C_042010 2010GRC 2" xfId="7355"/>
    <cellStyle name="_Fuel Prices 4-14_Power Costs - Comparison bx Rbtl-Staff-Jt-PC_Final Order Electric EXHIBIT A-1" xfId="7356"/>
    <cellStyle name="_Fuel Prices 4-14_Power Costs - Comparison bx Rbtl-Staff-Jt-PC_Final Order Electric EXHIBIT A-1 2" xfId="7357"/>
    <cellStyle name="_Fuel Prices 4-14_Power Costs - Comparison bx Rbtl-Staff-Jt-PC_Final Order Electric EXHIBIT A-1 2 2" xfId="7358"/>
    <cellStyle name="_Fuel Prices 4-14_Power Costs - Comparison bx Rbtl-Staff-Jt-PC_Final Order Electric EXHIBIT A-1 3" xfId="7359"/>
    <cellStyle name="_Fuel Prices 4-14_Production Adj 4.37" xfId="21268"/>
    <cellStyle name="_Fuel Prices 4-14_Purchased Power Adj 4.03" xfId="21269"/>
    <cellStyle name="_Fuel Prices 4-14_Rebuttal Power Costs" xfId="7360"/>
    <cellStyle name="_Fuel Prices 4-14_Rebuttal Power Costs 2" xfId="7361"/>
    <cellStyle name="_Fuel Prices 4-14_Rebuttal Power Costs 2 2" xfId="7362"/>
    <cellStyle name="_Fuel Prices 4-14_Rebuttal Power Costs 2 2 2" xfId="7363"/>
    <cellStyle name="_Fuel Prices 4-14_Rebuttal Power Costs 2 3" xfId="7364"/>
    <cellStyle name="_Fuel Prices 4-14_Rebuttal Power Costs 3" xfId="7365"/>
    <cellStyle name="_Fuel Prices 4-14_Rebuttal Power Costs 3 2" xfId="7366"/>
    <cellStyle name="_Fuel Prices 4-14_Rebuttal Power Costs 4" xfId="7367"/>
    <cellStyle name="_Fuel Prices 4-14_Rebuttal Power Costs_Adj Bench DR 3 for Initial Briefs (Electric)" xfId="7368"/>
    <cellStyle name="_Fuel Prices 4-14_Rebuttal Power Costs_Adj Bench DR 3 for Initial Briefs (Electric) 2" xfId="7369"/>
    <cellStyle name="_Fuel Prices 4-14_Rebuttal Power Costs_Adj Bench DR 3 for Initial Briefs (Electric) 2 2" xfId="7370"/>
    <cellStyle name="_Fuel Prices 4-14_Rebuttal Power Costs_Adj Bench DR 3 for Initial Briefs (Electric) 2 2 2" xfId="7371"/>
    <cellStyle name="_Fuel Prices 4-14_Rebuttal Power Costs_Adj Bench DR 3 for Initial Briefs (Electric) 2 3" xfId="7372"/>
    <cellStyle name="_Fuel Prices 4-14_Rebuttal Power Costs_Adj Bench DR 3 for Initial Briefs (Electric) 3" xfId="7373"/>
    <cellStyle name="_Fuel Prices 4-14_Rebuttal Power Costs_Adj Bench DR 3 for Initial Briefs (Electric) 3 2" xfId="7374"/>
    <cellStyle name="_Fuel Prices 4-14_Rebuttal Power Costs_Adj Bench DR 3 for Initial Briefs (Electric) 4" xfId="7375"/>
    <cellStyle name="_Fuel Prices 4-14_Rebuttal Power Costs_Adj Bench DR 3 for Initial Briefs (Electric)_DEM-WP(C) ENERG10C--ctn Mid-C_042010 2010GRC" xfId="7376"/>
    <cellStyle name="_Fuel Prices 4-14_Rebuttal Power Costs_Adj Bench DR 3 for Initial Briefs (Electric)_DEM-WP(C) ENERG10C--ctn Mid-C_042010 2010GRC 2" xfId="7377"/>
    <cellStyle name="_Fuel Prices 4-14_Rebuttal Power Costs_DEM-WP(C) ENERG10C--ctn Mid-C_042010 2010GRC" xfId="7378"/>
    <cellStyle name="_Fuel Prices 4-14_Rebuttal Power Costs_DEM-WP(C) ENERG10C--ctn Mid-C_042010 2010GRC 2" xfId="7379"/>
    <cellStyle name="_Fuel Prices 4-14_Rebuttal Power Costs_Electric Rev Req Model (2009 GRC) Rebuttal" xfId="7380"/>
    <cellStyle name="_Fuel Prices 4-14_Rebuttal Power Costs_Electric Rev Req Model (2009 GRC) Rebuttal 2" xfId="7381"/>
    <cellStyle name="_Fuel Prices 4-14_Rebuttal Power Costs_Electric Rev Req Model (2009 GRC) Rebuttal 2 2" xfId="7382"/>
    <cellStyle name="_Fuel Prices 4-14_Rebuttal Power Costs_Electric Rev Req Model (2009 GRC) Rebuttal 3" xfId="7383"/>
    <cellStyle name="_Fuel Prices 4-14_Rebuttal Power Costs_Electric Rev Req Model (2009 GRC) Rebuttal REmoval of New  WH Solar AdjustMI" xfId="7384"/>
    <cellStyle name="_Fuel Prices 4-14_Rebuttal Power Costs_Electric Rev Req Model (2009 GRC) Rebuttal REmoval of New  WH Solar AdjustMI 2" xfId="7385"/>
    <cellStyle name="_Fuel Prices 4-14_Rebuttal Power Costs_Electric Rev Req Model (2009 GRC) Rebuttal REmoval of New  WH Solar AdjustMI 2 2" xfId="7386"/>
    <cellStyle name="_Fuel Prices 4-14_Rebuttal Power Costs_Electric Rev Req Model (2009 GRC) Rebuttal REmoval of New  WH Solar AdjustMI 2 2 2" xfId="7387"/>
    <cellStyle name="_Fuel Prices 4-14_Rebuttal Power Costs_Electric Rev Req Model (2009 GRC) Rebuttal REmoval of New  WH Solar AdjustMI 2 3" xfId="7388"/>
    <cellStyle name="_Fuel Prices 4-14_Rebuttal Power Costs_Electric Rev Req Model (2009 GRC) Rebuttal REmoval of New  WH Solar AdjustMI 3" xfId="7389"/>
    <cellStyle name="_Fuel Prices 4-14_Rebuttal Power Costs_Electric Rev Req Model (2009 GRC) Rebuttal REmoval of New  WH Solar AdjustMI 3 2" xfId="7390"/>
    <cellStyle name="_Fuel Prices 4-14_Rebuttal Power Costs_Electric Rev Req Model (2009 GRC) Rebuttal REmoval of New  WH Solar AdjustMI 4" xfId="7391"/>
    <cellStyle name="_Fuel Prices 4-14_Rebuttal Power Costs_Electric Rev Req Model (2009 GRC) Rebuttal REmoval of New  WH Solar AdjustMI_DEM-WP(C) ENERG10C--ctn Mid-C_042010 2010GRC" xfId="7392"/>
    <cellStyle name="_Fuel Prices 4-14_Rebuttal Power Costs_Electric Rev Req Model (2009 GRC) Rebuttal REmoval of New  WH Solar AdjustMI_DEM-WP(C) ENERG10C--ctn Mid-C_042010 2010GRC 2" xfId="7393"/>
    <cellStyle name="_Fuel Prices 4-14_Rebuttal Power Costs_Electric Rev Req Model (2009 GRC) Revised 01-18-2010" xfId="7394"/>
    <cellStyle name="_Fuel Prices 4-14_Rebuttal Power Costs_Electric Rev Req Model (2009 GRC) Revised 01-18-2010 2" xfId="7395"/>
    <cellStyle name="_Fuel Prices 4-14_Rebuttal Power Costs_Electric Rev Req Model (2009 GRC) Revised 01-18-2010 2 2" xfId="7396"/>
    <cellStyle name="_Fuel Prices 4-14_Rebuttal Power Costs_Electric Rev Req Model (2009 GRC) Revised 01-18-2010 2 2 2" xfId="7397"/>
    <cellStyle name="_Fuel Prices 4-14_Rebuttal Power Costs_Electric Rev Req Model (2009 GRC) Revised 01-18-2010 2 3" xfId="7398"/>
    <cellStyle name="_Fuel Prices 4-14_Rebuttal Power Costs_Electric Rev Req Model (2009 GRC) Revised 01-18-2010 3" xfId="7399"/>
    <cellStyle name="_Fuel Prices 4-14_Rebuttal Power Costs_Electric Rev Req Model (2009 GRC) Revised 01-18-2010 3 2" xfId="7400"/>
    <cellStyle name="_Fuel Prices 4-14_Rebuttal Power Costs_Electric Rev Req Model (2009 GRC) Revised 01-18-2010 4" xfId="7401"/>
    <cellStyle name="_Fuel Prices 4-14_Rebuttal Power Costs_Electric Rev Req Model (2009 GRC) Revised 01-18-2010_DEM-WP(C) ENERG10C--ctn Mid-C_042010 2010GRC" xfId="7402"/>
    <cellStyle name="_Fuel Prices 4-14_Rebuttal Power Costs_Electric Rev Req Model (2009 GRC) Revised 01-18-2010_DEM-WP(C) ENERG10C--ctn Mid-C_042010 2010GRC 2" xfId="7403"/>
    <cellStyle name="_Fuel Prices 4-14_Rebuttal Power Costs_Final Order Electric EXHIBIT A-1" xfId="7404"/>
    <cellStyle name="_Fuel Prices 4-14_Rebuttal Power Costs_Final Order Electric EXHIBIT A-1 2" xfId="7405"/>
    <cellStyle name="_Fuel Prices 4-14_Rebuttal Power Costs_Final Order Electric EXHIBIT A-1 2 2" xfId="7406"/>
    <cellStyle name="_Fuel Prices 4-14_Rebuttal Power Costs_Final Order Electric EXHIBIT A-1 3" xfId="7407"/>
    <cellStyle name="_Fuel Prices 4-14_ROR 5.02" xfId="21270"/>
    <cellStyle name="_Fuel Prices 4-14_Sch 40 Interim Energy Rates " xfId="18248"/>
    <cellStyle name="_Fuel Prices 4-14_Wind Integration 10GRC" xfId="7408"/>
    <cellStyle name="_Fuel Prices 4-14_Wind Integration 10GRC 2" xfId="7409"/>
    <cellStyle name="_Fuel Prices 4-14_Wind Integration 10GRC 2 2" xfId="7410"/>
    <cellStyle name="_Fuel Prices 4-14_Wind Integration 10GRC 2 2 2" xfId="7411"/>
    <cellStyle name="_Fuel Prices 4-14_Wind Integration 10GRC 2 3" xfId="7412"/>
    <cellStyle name="_Fuel Prices 4-14_Wind Integration 10GRC 3" xfId="7413"/>
    <cellStyle name="_Fuel Prices 4-14_Wind Integration 10GRC 3 2" xfId="7414"/>
    <cellStyle name="_Fuel Prices 4-14_Wind Integration 10GRC 4" xfId="7415"/>
    <cellStyle name="_Fuel Prices 4-14_Wind Integration 10GRC_DEM-WP(C) ENERG10C--ctn Mid-C_042010 2010GRC" xfId="7416"/>
    <cellStyle name="_Fuel Prices 4-14_Wind Integration 10GRC_DEM-WP(C) ENERG10C--ctn Mid-C_042010 2010GRC 2" xfId="7417"/>
    <cellStyle name="_Gas Transportation Charges_2009GRC_120308" xfId="7418"/>
    <cellStyle name="_Gas Transportation Charges_2009GRC_120308 2" xfId="7419"/>
    <cellStyle name="_Gas Transportation Charges_2009GRC_120308 2 2" xfId="7420"/>
    <cellStyle name="_Gas Transportation Charges_2009GRC_120308 2 2 2" xfId="7421"/>
    <cellStyle name="_Gas Transportation Charges_2009GRC_120308 2 2 2 2" xfId="7422"/>
    <cellStyle name="_Gas Transportation Charges_2009GRC_120308 2 2 3" xfId="7423"/>
    <cellStyle name="_Gas Transportation Charges_2009GRC_120308 2 3" xfId="7424"/>
    <cellStyle name="_Gas Transportation Charges_2009GRC_120308 3" xfId="7425"/>
    <cellStyle name="_Gas Transportation Charges_2009GRC_120308 3 2" xfId="7426"/>
    <cellStyle name="_Gas Transportation Charges_2009GRC_120308 4" xfId="7427"/>
    <cellStyle name="_Gas Transportation Charges_2009GRC_120308 4 2" xfId="7428"/>
    <cellStyle name="_Gas Transportation Charges_2009GRC_120308 4 2 2" xfId="7429"/>
    <cellStyle name="_Gas Transportation Charges_2009GRC_120308 4 3" xfId="7430"/>
    <cellStyle name="_Gas Transportation Charges_2009GRC_120308 5" xfId="7431"/>
    <cellStyle name="_Gas Transportation Charges_2009GRC_120308_4 31E Reg Asset  Liab and EXH D" xfId="7432"/>
    <cellStyle name="_Gas Transportation Charges_2009GRC_120308_4 31E Reg Asset  Liab and EXH D _ Aug 10 Filing (2)" xfId="7433"/>
    <cellStyle name="_Gas Transportation Charges_2009GRC_120308_4 31E Reg Asset  Liab and EXH D _ Aug 10 Filing (2) 2" xfId="7434"/>
    <cellStyle name="_Gas Transportation Charges_2009GRC_120308_4 31E Reg Asset  Liab and EXH D 2" xfId="7435"/>
    <cellStyle name="_Gas Transportation Charges_2009GRC_120308_4 31E Reg Asset  Liab and EXH D 3" xfId="7436"/>
    <cellStyle name="_Gas Transportation Charges_2009GRC_120308_Chelan PUD Power Costs (8-10)" xfId="7437"/>
    <cellStyle name="_Gas Transportation Charges_2009GRC_120308_Chelan PUD Power Costs (8-10) 2" xfId="7438"/>
    <cellStyle name="_Gas Transportation Charges_2009GRC_120308_compare wind integration" xfId="7439"/>
    <cellStyle name="_Gas Transportation Charges_2009GRC_120308_DEM-WP(C) Chelan Power Costs" xfId="7440"/>
    <cellStyle name="_Gas Transportation Charges_2009GRC_120308_DEM-WP(C) Chelan Power Costs 2" xfId="7441"/>
    <cellStyle name="_Gas Transportation Charges_2009GRC_120308_DEM-WP(C) Costs Not In AURORA 2010GRC As Filed" xfId="7442"/>
    <cellStyle name="_Gas Transportation Charges_2009GRC_120308_DEM-WP(C) Costs Not In AURORA 2010GRC As Filed 2" xfId="7443"/>
    <cellStyle name="_Gas Transportation Charges_2009GRC_120308_DEM-WP(C) Costs Not In AURORA 2010GRC As Filed 2 2" xfId="7444"/>
    <cellStyle name="_Gas Transportation Charges_2009GRC_120308_DEM-WP(C) Costs Not In AURORA 2010GRC As Filed 2 3" xfId="7445"/>
    <cellStyle name="_Gas Transportation Charges_2009GRC_120308_DEM-WP(C) Costs Not In AURORA 2010GRC As Filed 3" xfId="7446"/>
    <cellStyle name="_Gas Transportation Charges_2009GRC_120308_DEM-WP(C) Costs Not In AURORA 2010GRC As Filed 3 2" xfId="7447"/>
    <cellStyle name="_Gas Transportation Charges_2009GRC_120308_DEM-WP(C) Costs Not In AURORA 2010GRC As Filed 4" xfId="7448"/>
    <cellStyle name="_Gas Transportation Charges_2009GRC_120308_DEM-WP(C) Costs Not In AURORA 2010GRC As Filed 4 2" xfId="7449"/>
    <cellStyle name="_Gas Transportation Charges_2009GRC_120308_DEM-WP(C) Costs Not In AURORA 2010GRC As Filed 5" xfId="7450"/>
    <cellStyle name="_Gas Transportation Charges_2009GRC_120308_DEM-WP(C) Costs Not In AURORA 2010GRC As Filed 5 2" xfId="7451"/>
    <cellStyle name="_Gas Transportation Charges_2009GRC_120308_DEM-WP(C) Costs Not In AURORA 2010GRC As Filed 6" xfId="7452"/>
    <cellStyle name="_Gas Transportation Charges_2009GRC_120308_DEM-WP(C) Costs Not In AURORA 2010GRC As Filed 6 2" xfId="7453"/>
    <cellStyle name="_Gas Transportation Charges_2009GRC_120308_DEM-WP(C) Costs Not In AURORA 2010GRC As Filed_DEM-WP(C) ENERG10C--ctn Mid-C_042010 2010GRC" xfId="7454"/>
    <cellStyle name="_Gas Transportation Charges_2009GRC_120308_DEM-WP(C) Costs Not In AURORA 2010GRC As Filed_DEM-WP(C) ENERG10C--ctn Mid-C_042010 2010GRC 2" xfId="7455"/>
    <cellStyle name="_Gas Transportation Charges_2009GRC_120308_DEM-WP(C) ENERG10C--ctn Mid-C_042010 2010GRC" xfId="7456"/>
    <cellStyle name="_Gas Transportation Charges_2009GRC_120308_DEM-WP(C) ENERG10C--ctn Mid-C_042010 2010GRC 2" xfId="7457"/>
    <cellStyle name="_Gas Transportation Charges_2009GRC_120308_DEM-WP(C) Gas Transport 2010GRC" xfId="7458"/>
    <cellStyle name="_Gas Transportation Charges_2009GRC_120308_DEM-WP(C) Gas Transport 2010GRC 2" xfId="7459"/>
    <cellStyle name="_Gas Transportation Charges_2009GRC_120308_NIM Summary" xfId="7460"/>
    <cellStyle name="_Gas Transportation Charges_2009GRC_120308_NIM Summary 09GRC" xfId="7461"/>
    <cellStyle name="_Gas Transportation Charges_2009GRC_120308_NIM Summary 09GRC 2" xfId="7462"/>
    <cellStyle name="_Gas Transportation Charges_2009GRC_120308_NIM Summary 09GRC 2 2" xfId="7463"/>
    <cellStyle name="_Gas Transportation Charges_2009GRC_120308_NIM Summary 09GRC 2 2 2" xfId="7464"/>
    <cellStyle name="_Gas Transportation Charges_2009GRC_120308_NIM Summary 09GRC 2 3" xfId="7465"/>
    <cellStyle name="_Gas Transportation Charges_2009GRC_120308_NIM Summary 09GRC 3" xfId="7466"/>
    <cellStyle name="_Gas Transportation Charges_2009GRC_120308_NIM Summary 09GRC 3 2" xfId="7467"/>
    <cellStyle name="_Gas Transportation Charges_2009GRC_120308_NIM Summary 09GRC 4" xfId="7468"/>
    <cellStyle name="_Gas Transportation Charges_2009GRC_120308_NIM Summary 09GRC_DEM-WP(C) ENERG10C--ctn Mid-C_042010 2010GRC" xfId="7469"/>
    <cellStyle name="_Gas Transportation Charges_2009GRC_120308_NIM Summary 09GRC_DEM-WP(C) ENERG10C--ctn Mid-C_042010 2010GRC 2" xfId="7470"/>
    <cellStyle name="_Gas Transportation Charges_2009GRC_120308_NIM Summary 10" xfId="7471"/>
    <cellStyle name="_Gas Transportation Charges_2009GRC_120308_NIM Summary 10 2" xfId="7472"/>
    <cellStyle name="_Gas Transportation Charges_2009GRC_120308_NIM Summary 11" xfId="7473"/>
    <cellStyle name="_Gas Transportation Charges_2009GRC_120308_NIM Summary 11 2" xfId="7474"/>
    <cellStyle name="_Gas Transportation Charges_2009GRC_120308_NIM Summary 12" xfId="7475"/>
    <cellStyle name="_Gas Transportation Charges_2009GRC_120308_NIM Summary 12 2" xfId="7476"/>
    <cellStyle name="_Gas Transportation Charges_2009GRC_120308_NIM Summary 13" xfId="7477"/>
    <cellStyle name="_Gas Transportation Charges_2009GRC_120308_NIM Summary 13 2" xfId="7478"/>
    <cellStyle name="_Gas Transportation Charges_2009GRC_120308_NIM Summary 14" xfId="7479"/>
    <cellStyle name="_Gas Transportation Charges_2009GRC_120308_NIM Summary 14 2" xfId="7480"/>
    <cellStyle name="_Gas Transportation Charges_2009GRC_120308_NIM Summary 15" xfId="7481"/>
    <cellStyle name="_Gas Transportation Charges_2009GRC_120308_NIM Summary 15 2" xfId="7482"/>
    <cellStyle name="_Gas Transportation Charges_2009GRC_120308_NIM Summary 16" xfId="7483"/>
    <cellStyle name="_Gas Transportation Charges_2009GRC_120308_NIM Summary 16 2" xfId="7484"/>
    <cellStyle name="_Gas Transportation Charges_2009GRC_120308_NIM Summary 17" xfId="7485"/>
    <cellStyle name="_Gas Transportation Charges_2009GRC_120308_NIM Summary 17 2" xfId="7486"/>
    <cellStyle name="_Gas Transportation Charges_2009GRC_120308_NIM Summary 18" xfId="7487"/>
    <cellStyle name="_Gas Transportation Charges_2009GRC_120308_NIM Summary 18 2" xfId="7488"/>
    <cellStyle name="_Gas Transportation Charges_2009GRC_120308_NIM Summary 19" xfId="7489"/>
    <cellStyle name="_Gas Transportation Charges_2009GRC_120308_NIM Summary 19 2" xfId="7490"/>
    <cellStyle name="_Gas Transportation Charges_2009GRC_120308_NIM Summary 2" xfId="7491"/>
    <cellStyle name="_Gas Transportation Charges_2009GRC_120308_NIM Summary 2 2" xfId="7492"/>
    <cellStyle name="_Gas Transportation Charges_2009GRC_120308_NIM Summary 2 2 2" xfId="7493"/>
    <cellStyle name="_Gas Transportation Charges_2009GRC_120308_NIM Summary 2 3" xfId="7494"/>
    <cellStyle name="_Gas Transportation Charges_2009GRC_120308_NIM Summary 20" xfId="7495"/>
    <cellStyle name="_Gas Transportation Charges_2009GRC_120308_NIM Summary 20 2" xfId="7496"/>
    <cellStyle name="_Gas Transportation Charges_2009GRC_120308_NIM Summary 21" xfId="7497"/>
    <cellStyle name="_Gas Transportation Charges_2009GRC_120308_NIM Summary 21 2" xfId="7498"/>
    <cellStyle name="_Gas Transportation Charges_2009GRC_120308_NIM Summary 22" xfId="7499"/>
    <cellStyle name="_Gas Transportation Charges_2009GRC_120308_NIM Summary 22 2" xfId="7500"/>
    <cellStyle name="_Gas Transportation Charges_2009GRC_120308_NIM Summary 23" xfId="7501"/>
    <cellStyle name="_Gas Transportation Charges_2009GRC_120308_NIM Summary 23 2" xfId="7502"/>
    <cellStyle name="_Gas Transportation Charges_2009GRC_120308_NIM Summary 24" xfId="7503"/>
    <cellStyle name="_Gas Transportation Charges_2009GRC_120308_NIM Summary 24 2" xfId="7504"/>
    <cellStyle name="_Gas Transportation Charges_2009GRC_120308_NIM Summary 25" xfId="7505"/>
    <cellStyle name="_Gas Transportation Charges_2009GRC_120308_NIM Summary 25 2" xfId="7506"/>
    <cellStyle name="_Gas Transportation Charges_2009GRC_120308_NIM Summary 26" xfId="7507"/>
    <cellStyle name="_Gas Transportation Charges_2009GRC_120308_NIM Summary 26 2" xfId="7508"/>
    <cellStyle name="_Gas Transportation Charges_2009GRC_120308_NIM Summary 27" xfId="7509"/>
    <cellStyle name="_Gas Transportation Charges_2009GRC_120308_NIM Summary 27 2" xfId="7510"/>
    <cellStyle name="_Gas Transportation Charges_2009GRC_120308_NIM Summary 28" xfId="7511"/>
    <cellStyle name="_Gas Transportation Charges_2009GRC_120308_NIM Summary 28 2" xfId="7512"/>
    <cellStyle name="_Gas Transportation Charges_2009GRC_120308_NIM Summary 29" xfId="7513"/>
    <cellStyle name="_Gas Transportation Charges_2009GRC_120308_NIM Summary 29 2" xfId="7514"/>
    <cellStyle name="_Gas Transportation Charges_2009GRC_120308_NIM Summary 3" xfId="7515"/>
    <cellStyle name="_Gas Transportation Charges_2009GRC_120308_NIM Summary 3 2" xfId="7516"/>
    <cellStyle name="_Gas Transportation Charges_2009GRC_120308_NIM Summary 30" xfId="7517"/>
    <cellStyle name="_Gas Transportation Charges_2009GRC_120308_NIM Summary 30 2" xfId="7518"/>
    <cellStyle name="_Gas Transportation Charges_2009GRC_120308_NIM Summary 31" xfId="7519"/>
    <cellStyle name="_Gas Transportation Charges_2009GRC_120308_NIM Summary 31 2" xfId="7520"/>
    <cellStyle name="_Gas Transportation Charges_2009GRC_120308_NIM Summary 32" xfId="7521"/>
    <cellStyle name="_Gas Transportation Charges_2009GRC_120308_NIM Summary 32 2" xfId="7522"/>
    <cellStyle name="_Gas Transportation Charges_2009GRC_120308_NIM Summary 33" xfId="7523"/>
    <cellStyle name="_Gas Transportation Charges_2009GRC_120308_NIM Summary 33 2" xfId="7524"/>
    <cellStyle name="_Gas Transportation Charges_2009GRC_120308_NIM Summary 34" xfId="7525"/>
    <cellStyle name="_Gas Transportation Charges_2009GRC_120308_NIM Summary 34 2" xfId="7526"/>
    <cellStyle name="_Gas Transportation Charges_2009GRC_120308_NIM Summary 35" xfId="7527"/>
    <cellStyle name="_Gas Transportation Charges_2009GRC_120308_NIM Summary 35 2" xfId="7528"/>
    <cellStyle name="_Gas Transportation Charges_2009GRC_120308_NIM Summary 36" xfId="7529"/>
    <cellStyle name="_Gas Transportation Charges_2009GRC_120308_NIM Summary 36 2" xfId="7530"/>
    <cellStyle name="_Gas Transportation Charges_2009GRC_120308_NIM Summary 37" xfId="7531"/>
    <cellStyle name="_Gas Transportation Charges_2009GRC_120308_NIM Summary 37 2" xfId="7532"/>
    <cellStyle name="_Gas Transportation Charges_2009GRC_120308_NIM Summary 38" xfId="7533"/>
    <cellStyle name="_Gas Transportation Charges_2009GRC_120308_NIM Summary 38 2" xfId="7534"/>
    <cellStyle name="_Gas Transportation Charges_2009GRC_120308_NIM Summary 39" xfId="7535"/>
    <cellStyle name="_Gas Transportation Charges_2009GRC_120308_NIM Summary 39 2" xfId="7536"/>
    <cellStyle name="_Gas Transportation Charges_2009GRC_120308_NIM Summary 4" xfId="7537"/>
    <cellStyle name="_Gas Transportation Charges_2009GRC_120308_NIM Summary 4 2" xfId="7538"/>
    <cellStyle name="_Gas Transportation Charges_2009GRC_120308_NIM Summary 40" xfId="7539"/>
    <cellStyle name="_Gas Transportation Charges_2009GRC_120308_NIM Summary 40 2" xfId="7540"/>
    <cellStyle name="_Gas Transportation Charges_2009GRC_120308_NIM Summary 41" xfId="7541"/>
    <cellStyle name="_Gas Transportation Charges_2009GRC_120308_NIM Summary 41 2" xfId="7542"/>
    <cellStyle name="_Gas Transportation Charges_2009GRC_120308_NIM Summary 42" xfId="7543"/>
    <cellStyle name="_Gas Transportation Charges_2009GRC_120308_NIM Summary 42 2" xfId="7544"/>
    <cellStyle name="_Gas Transportation Charges_2009GRC_120308_NIM Summary 43" xfId="7545"/>
    <cellStyle name="_Gas Transportation Charges_2009GRC_120308_NIM Summary 43 2" xfId="7546"/>
    <cellStyle name="_Gas Transportation Charges_2009GRC_120308_NIM Summary 44" xfId="7547"/>
    <cellStyle name="_Gas Transportation Charges_2009GRC_120308_NIM Summary 44 2" xfId="7548"/>
    <cellStyle name="_Gas Transportation Charges_2009GRC_120308_NIM Summary 45" xfId="7549"/>
    <cellStyle name="_Gas Transportation Charges_2009GRC_120308_NIM Summary 45 2" xfId="7550"/>
    <cellStyle name="_Gas Transportation Charges_2009GRC_120308_NIM Summary 46" xfId="7551"/>
    <cellStyle name="_Gas Transportation Charges_2009GRC_120308_NIM Summary 46 2" xfId="7552"/>
    <cellStyle name="_Gas Transportation Charges_2009GRC_120308_NIM Summary 47" xfId="7553"/>
    <cellStyle name="_Gas Transportation Charges_2009GRC_120308_NIM Summary 47 2" xfId="7554"/>
    <cellStyle name="_Gas Transportation Charges_2009GRC_120308_NIM Summary 48" xfId="7555"/>
    <cellStyle name="_Gas Transportation Charges_2009GRC_120308_NIM Summary 49" xfId="7556"/>
    <cellStyle name="_Gas Transportation Charges_2009GRC_120308_NIM Summary 5" xfId="7557"/>
    <cellStyle name="_Gas Transportation Charges_2009GRC_120308_NIM Summary 5 2" xfId="7558"/>
    <cellStyle name="_Gas Transportation Charges_2009GRC_120308_NIM Summary 50" xfId="7559"/>
    <cellStyle name="_Gas Transportation Charges_2009GRC_120308_NIM Summary 51" xfId="7560"/>
    <cellStyle name="_Gas Transportation Charges_2009GRC_120308_NIM Summary 52" xfId="7561"/>
    <cellStyle name="_Gas Transportation Charges_2009GRC_120308_NIM Summary 6" xfId="7562"/>
    <cellStyle name="_Gas Transportation Charges_2009GRC_120308_NIM Summary 6 2" xfId="7563"/>
    <cellStyle name="_Gas Transportation Charges_2009GRC_120308_NIM Summary 7" xfId="7564"/>
    <cellStyle name="_Gas Transportation Charges_2009GRC_120308_NIM Summary 7 2" xfId="7565"/>
    <cellStyle name="_Gas Transportation Charges_2009GRC_120308_NIM Summary 8" xfId="7566"/>
    <cellStyle name="_Gas Transportation Charges_2009GRC_120308_NIM Summary 8 2" xfId="7567"/>
    <cellStyle name="_Gas Transportation Charges_2009GRC_120308_NIM Summary 9" xfId="7568"/>
    <cellStyle name="_Gas Transportation Charges_2009GRC_120308_NIM Summary 9 2" xfId="7569"/>
    <cellStyle name="_Gas Transportation Charges_2009GRC_120308_NIM Summary_DEM-WP(C) ENERG10C--ctn Mid-C_042010 2010GRC" xfId="7570"/>
    <cellStyle name="_Gas Transportation Charges_2009GRC_120308_NIM Summary_DEM-WP(C) ENERG10C--ctn Mid-C_042010 2010GRC 2" xfId="7571"/>
    <cellStyle name="_Gas Transportation Charges_2009GRC_120308_NIM+O&amp;M" xfId="7572"/>
    <cellStyle name="_Gas Transportation Charges_2009GRC_120308_NIM+O&amp;M 2" xfId="7573"/>
    <cellStyle name="_Gas Transportation Charges_2009GRC_120308_NIM+O&amp;M 2 2" xfId="7574"/>
    <cellStyle name="_Gas Transportation Charges_2009GRC_120308_NIM+O&amp;M 3" xfId="7575"/>
    <cellStyle name="_Gas Transportation Charges_2009GRC_120308_NIM+O&amp;M Monthly" xfId="7576"/>
    <cellStyle name="_Gas Transportation Charges_2009GRC_120308_NIM+O&amp;M Monthly 2" xfId="7577"/>
    <cellStyle name="_Gas Transportation Charges_2009GRC_120308_NIM+O&amp;M Monthly 2 2" xfId="7578"/>
    <cellStyle name="_Gas Transportation Charges_2009GRC_120308_NIM+O&amp;M Monthly 3" xfId="7579"/>
    <cellStyle name="_Gas Transportation Charges_2009GRC_120308_PCA 9 -  Exhibit D April 2010 (3)" xfId="7580"/>
    <cellStyle name="_Gas Transportation Charges_2009GRC_120308_PCA 9 -  Exhibit D April 2010 (3) 2" xfId="7581"/>
    <cellStyle name="_Gas Transportation Charges_2009GRC_120308_PCA 9 -  Exhibit D April 2010 (3) 2 2" xfId="7582"/>
    <cellStyle name="_Gas Transportation Charges_2009GRC_120308_PCA 9 -  Exhibit D April 2010 (3) 2 2 2" xfId="7583"/>
    <cellStyle name="_Gas Transportation Charges_2009GRC_120308_PCA 9 -  Exhibit D April 2010 (3) 2 3" xfId="7584"/>
    <cellStyle name="_Gas Transportation Charges_2009GRC_120308_PCA 9 -  Exhibit D April 2010 (3) 3" xfId="7585"/>
    <cellStyle name="_Gas Transportation Charges_2009GRC_120308_PCA 9 -  Exhibit D April 2010 (3) 3 2" xfId="7586"/>
    <cellStyle name="_Gas Transportation Charges_2009GRC_120308_PCA 9 -  Exhibit D April 2010 (3) 4" xfId="7587"/>
    <cellStyle name="_Gas Transportation Charges_2009GRC_120308_PCA 9 -  Exhibit D April 2010 (3)_DEM-WP(C) ENERG10C--ctn Mid-C_042010 2010GRC" xfId="7588"/>
    <cellStyle name="_Gas Transportation Charges_2009GRC_120308_PCA 9 -  Exhibit D April 2010 (3)_DEM-WP(C) ENERG10C--ctn Mid-C_042010 2010GRC 2" xfId="7589"/>
    <cellStyle name="_Gas Transportation Charges_2009GRC_120308_Reconciliation" xfId="7590"/>
    <cellStyle name="_Gas Transportation Charges_2009GRC_120308_Reconciliation 2" xfId="7591"/>
    <cellStyle name="_Gas Transportation Charges_2009GRC_120308_Reconciliation 2 2" xfId="7592"/>
    <cellStyle name="_Gas Transportation Charges_2009GRC_120308_Reconciliation 2 3" xfId="7593"/>
    <cellStyle name="_Gas Transportation Charges_2009GRC_120308_Reconciliation 3" xfId="7594"/>
    <cellStyle name="_Gas Transportation Charges_2009GRC_120308_Reconciliation 3 2" xfId="7595"/>
    <cellStyle name="_Gas Transportation Charges_2009GRC_120308_Reconciliation 4" xfId="7596"/>
    <cellStyle name="_Gas Transportation Charges_2009GRC_120308_Reconciliation 4 2" xfId="7597"/>
    <cellStyle name="_Gas Transportation Charges_2009GRC_120308_Reconciliation 5" xfId="7598"/>
    <cellStyle name="_Gas Transportation Charges_2009GRC_120308_Reconciliation 5 2" xfId="7599"/>
    <cellStyle name="_Gas Transportation Charges_2009GRC_120308_Reconciliation 6" xfId="7600"/>
    <cellStyle name="_Gas Transportation Charges_2009GRC_120308_Reconciliation 6 2" xfId="7601"/>
    <cellStyle name="_Gas Transportation Charges_2009GRC_120308_Reconciliation_DEM-WP(C) ENERG10C--ctn Mid-C_042010 2010GRC" xfId="7602"/>
    <cellStyle name="_Gas Transportation Charges_2009GRC_120308_Reconciliation_DEM-WP(C) ENERG10C--ctn Mid-C_042010 2010GRC 2" xfId="7603"/>
    <cellStyle name="_Gas Transportation Charges_2009GRC_120308_Wind Integration 10GRC" xfId="7604"/>
    <cellStyle name="_Gas Transportation Charges_2009GRC_120308_Wind Integration 10GRC 2" xfId="7605"/>
    <cellStyle name="_Gas Transportation Charges_2009GRC_120308_Wind Integration 10GRC 2 2" xfId="7606"/>
    <cellStyle name="_Gas Transportation Charges_2009GRC_120308_Wind Integration 10GRC 2 2 2" xfId="7607"/>
    <cellStyle name="_Gas Transportation Charges_2009GRC_120308_Wind Integration 10GRC 2 3" xfId="7608"/>
    <cellStyle name="_Gas Transportation Charges_2009GRC_120308_Wind Integration 10GRC 3" xfId="7609"/>
    <cellStyle name="_Gas Transportation Charges_2009GRC_120308_Wind Integration 10GRC 3 2" xfId="7610"/>
    <cellStyle name="_Gas Transportation Charges_2009GRC_120308_Wind Integration 10GRC 4" xfId="7611"/>
    <cellStyle name="_Gas Transportation Charges_2009GRC_120308_Wind Integration 10GRC_DEM-WP(C) ENERG10C--ctn Mid-C_042010 2010GRC" xfId="7612"/>
    <cellStyle name="_Gas Transportation Charges_2009GRC_120308_Wind Integration 10GRC_DEM-WP(C) ENERG10C--ctn Mid-C_042010 2010GRC 2" xfId="7613"/>
    <cellStyle name="_x0013__LSRWEP LGIA like Acctg Petition Aug 2010" xfId="7614"/>
    <cellStyle name="_x0013__LSRWEP LGIA like Acctg Petition Aug 2010 2" xfId="7615"/>
    <cellStyle name="_Mid C 09GRC" xfId="7616"/>
    <cellStyle name="_Mid C 09GRC 2" xfId="7617"/>
    <cellStyle name="_Monthly Fixed Input" xfId="7618"/>
    <cellStyle name="_Monthly Fixed Input 2" xfId="7619"/>
    <cellStyle name="_Monthly Fixed Input 2 2" xfId="7620"/>
    <cellStyle name="_Monthly Fixed Input 2 2 2" xfId="7621"/>
    <cellStyle name="_Monthly Fixed Input 2 3" xfId="7622"/>
    <cellStyle name="_Monthly Fixed Input 3" xfId="7623"/>
    <cellStyle name="_Monthly Fixed Input 3 2" xfId="7624"/>
    <cellStyle name="_Monthly Fixed Input 4" xfId="7625"/>
    <cellStyle name="_Monthly Fixed Input_DEM-WP(C) ENERG10C--ctn Mid-C_042010 2010GRC" xfId="7626"/>
    <cellStyle name="_Monthly Fixed Input_DEM-WP(C) ENERG10C--ctn Mid-C_042010 2010GRC 2" xfId="7627"/>
    <cellStyle name="_Monthly Fixed Input_NIM Summary" xfId="7628"/>
    <cellStyle name="_Monthly Fixed Input_NIM Summary 2" xfId="7629"/>
    <cellStyle name="_Monthly Fixed Input_NIM Summary 2 2" xfId="7630"/>
    <cellStyle name="_Monthly Fixed Input_NIM Summary 2 2 2" xfId="7631"/>
    <cellStyle name="_Monthly Fixed Input_NIM Summary 2 3" xfId="7632"/>
    <cellStyle name="_Monthly Fixed Input_NIM Summary 3" xfId="7633"/>
    <cellStyle name="_Monthly Fixed Input_NIM Summary 3 2" xfId="7634"/>
    <cellStyle name="_Monthly Fixed Input_NIM Summary 4" xfId="7635"/>
    <cellStyle name="_Monthly Fixed Input_NIM Summary_DEM-WP(C) ENERG10C--ctn Mid-C_042010 2010GRC" xfId="7636"/>
    <cellStyle name="_Monthly Fixed Input_NIM Summary_DEM-WP(C) ENERG10C--ctn Mid-C_042010 2010GRC 2" xfId="7637"/>
    <cellStyle name="_NIM 06 Base Case Current Trends" xfId="7638"/>
    <cellStyle name="_NIM 06 Base Case Current Trends 2" xfId="7639"/>
    <cellStyle name="_NIM 06 Base Case Current Trends 2 2" xfId="7640"/>
    <cellStyle name="_NIM 06 Base Case Current Trends 2 2 2" xfId="7641"/>
    <cellStyle name="_NIM 06 Base Case Current Trends 2 2 2 2" xfId="7642"/>
    <cellStyle name="_NIM 06 Base Case Current Trends 2 2 3" xfId="7643"/>
    <cellStyle name="_NIM 06 Base Case Current Trends 2 3" xfId="7644"/>
    <cellStyle name="_NIM 06 Base Case Current Trends 2 3 2" xfId="7645"/>
    <cellStyle name="_NIM 06 Base Case Current Trends 2 4" xfId="7646"/>
    <cellStyle name="_NIM 06 Base Case Current Trends 3" xfId="7647"/>
    <cellStyle name="_NIM 06 Base Case Current Trends 3 2" xfId="7648"/>
    <cellStyle name="_NIM 06 Base Case Current Trends 4" xfId="7649"/>
    <cellStyle name="_NIM 06 Base Case Current Trends 4 2" xfId="7650"/>
    <cellStyle name="_NIM 06 Base Case Current Trends 5" xfId="7651"/>
    <cellStyle name="_NIM 06 Base Case Current Trends 5 2" xfId="7652"/>
    <cellStyle name="_NIM 06 Base Case Current Trends 6" xfId="7653"/>
    <cellStyle name="_NIM 06 Base Case Current Trends 6 2" xfId="7654"/>
    <cellStyle name="_NIM 06 Base Case Current Trends_Adj Bench DR 3 for Initial Briefs (Electric)" xfId="7655"/>
    <cellStyle name="_NIM 06 Base Case Current Trends_Adj Bench DR 3 for Initial Briefs (Electric) 2" xfId="7656"/>
    <cellStyle name="_NIM 06 Base Case Current Trends_Adj Bench DR 3 for Initial Briefs (Electric) 2 2" xfId="7657"/>
    <cellStyle name="_NIM 06 Base Case Current Trends_Adj Bench DR 3 for Initial Briefs (Electric) 2 2 2" xfId="7658"/>
    <cellStyle name="_NIM 06 Base Case Current Trends_Adj Bench DR 3 for Initial Briefs (Electric) 2 3" xfId="7659"/>
    <cellStyle name="_NIM 06 Base Case Current Trends_Adj Bench DR 3 for Initial Briefs (Electric) 3" xfId="7660"/>
    <cellStyle name="_NIM 06 Base Case Current Trends_Adj Bench DR 3 for Initial Briefs (Electric) 3 2" xfId="7661"/>
    <cellStyle name="_NIM 06 Base Case Current Trends_Adj Bench DR 3 for Initial Briefs (Electric) 4" xfId="7662"/>
    <cellStyle name="_NIM 06 Base Case Current Trends_Adj Bench DR 3 for Initial Briefs (Electric)_DEM-WP(C) ENERG10C--ctn Mid-C_042010 2010GRC" xfId="7663"/>
    <cellStyle name="_NIM 06 Base Case Current Trends_Adj Bench DR 3 for Initial Briefs (Electric)_DEM-WP(C) ENERG10C--ctn Mid-C_042010 2010GRC 2" xfId="7664"/>
    <cellStyle name="_NIM 06 Base Case Current Trends_Book1" xfId="7665"/>
    <cellStyle name="_NIM 06 Base Case Current Trends_Book1 2" xfId="7666"/>
    <cellStyle name="_NIM 06 Base Case Current Trends_Book2" xfId="7667"/>
    <cellStyle name="_NIM 06 Base Case Current Trends_Book2 2" xfId="7668"/>
    <cellStyle name="_NIM 06 Base Case Current Trends_Book2 2 2" xfId="7669"/>
    <cellStyle name="_NIM 06 Base Case Current Trends_Book2 2 2 2" xfId="7670"/>
    <cellStyle name="_NIM 06 Base Case Current Trends_Book2 2 3" xfId="7671"/>
    <cellStyle name="_NIM 06 Base Case Current Trends_Book2 3" xfId="7672"/>
    <cellStyle name="_NIM 06 Base Case Current Trends_Book2 3 2" xfId="7673"/>
    <cellStyle name="_NIM 06 Base Case Current Trends_Book2 4" xfId="7674"/>
    <cellStyle name="_NIM 06 Base Case Current Trends_Book2_Adj Bench DR 3 for Initial Briefs (Electric)" xfId="7675"/>
    <cellStyle name="_NIM 06 Base Case Current Trends_Book2_Adj Bench DR 3 for Initial Briefs (Electric) 2" xfId="7676"/>
    <cellStyle name="_NIM 06 Base Case Current Trends_Book2_Adj Bench DR 3 for Initial Briefs (Electric) 2 2" xfId="7677"/>
    <cellStyle name="_NIM 06 Base Case Current Trends_Book2_Adj Bench DR 3 for Initial Briefs (Electric) 2 2 2" xfId="7678"/>
    <cellStyle name="_NIM 06 Base Case Current Trends_Book2_Adj Bench DR 3 for Initial Briefs (Electric) 2 3" xfId="7679"/>
    <cellStyle name="_NIM 06 Base Case Current Trends_Book2_Adj Bench DR 3 for Initial Briefs (Electric) 3" xfId="7680"/>
    <cellStyle name="_NIM 06 Base Case Current Trends_Book2_Adj Bench DR 3 for Initial Briefs (Electric) 3 2" xfId="7681"/>
    <cellStyle name="_NIM 06 Base Case Current Trends_Book2_Adj Bench DR 3 for Initial Briefs (Electric) 4" xfId="7682"/>
    <cellStyle name="_NIM 06 Base Case Current Trends_Book2_Adj Bench DR 3 for Initial Briefs (Electric)_DEM-WP(C) ENERG10C--ctn Mid-C_042010 2010GRC" xfId="7683"/>
    <cellStyle name="_NIM 06 Base Case Current Trends_Book2_Adj Bench DR 3 for Initial Briefs (Electric)_DEM-WP(C) ENERG10C--ctn Mid-C_042010 2010GRC 2" xfId="7684"/>
    <cellStyle name="_NIM 06 Base Case Current Trends_Book2_DEM-WP(C) ENERG10C--ctn Mid-C_042010 2010GRC" xfId="7685"/>
    <cellStyle name="_NIM 06 Base Case Current Trends_Book2_DEM-WP(C) ENERG10C--ctn Mid-C_042010 2010GRC 2" xfId="7686"/>
    <cellStyle name="_NIM 06 Base Case Current Trends_Book2_Electric Rev Req Model (2009 GRC) Rebuttal" xfId="7687"/>
    <cellStyle name="_NIM 06 Base Case Current Trends_Book2_Electric Rev Req Model (2009 GRC) Rebuttal 2" xfId="7688"/>
    <cellStyle name="_NIM 06 Base Case Current Trends_Book2_Electric Rev Req Model (2009 GRC) Rebuttal 2 2" xfId="7689"/>
    <cellStyle name="_NIM 06 Base Case Current Trends_Book2_Electric Rev Req Model (2009 GRC) Rebuttal 3" xfId="7690"/>
    <cellStyle name="_NIM 06 Base Case Current Trends_Book2_Electric Rev Req Model (2009 GRC) Rebuttal REmoval of New  WH Solar AdjustMI" xfId="7691"/>
    <cellStyle name="_NIM 06 Base Case Current Trends_Book2_Electric Rev Req Model (2009 GRC) Rebuttal REmoval of New  WH Solar AdjustMI 2" xfId="7692"/>
    <cellStyle name="_NIM 06 Base Case Current Trends_Book2_Electric Rev Req Model (2009 GRC) Rebuttal REmoval of New  WH Solar AdjustMI 2 2" xfId="7693"/>
    <cellStyle name="_NIM 06 Base Case Current Trends_Book2_Electric Rev Req Model (2009 GRC) Rebuttal REmoval of New  WH Solar AdjustMI 2 2 2" xfId="7694"/>
    <cellStyle name="_NIM 06 Base Case Current Trends_Book2_Electric Rev Req Model (2009 GRC) Rebuttal REmoval of New  WH Solar AdjustMI 2 3" xfId="7695"/>
    <cellStyle name="_NIM 06 Base Case Current Trends_Book2_Electric Rev Req Model (2009 GRC) Rebuttal REmoval of New  WH Solar AdjustMI 3" xfId="7696"/>
    <cellStyle name="_NIM 06 Base Case Current Trends_Book2_Electric Rev Req Model (2009 GRC) Rebuttal REmoval of New  WH Solar AdjustMI 3 2" xfId="7697"/>
    <cellStyle name="_NIM 06 Base Case Current Trends_Book2_Electric Rev Req Model (2009 GRC) Rebuttal REmoval of New  WH Solar AdjustMI 4" xfId="7698"/>
    <cellStyle name="_NIM 06 Base Case Current Trends_Book2_Electric Rev Req Model (2009 GRC) Rebuttal REmoval of New  WH Solar AdjustMI_DEM-WP(C) ENERG10C--ctn Mid-C_042010 2010GRC" xfId="7699"/>
    <cellStyle name="_NIM 06 Base Case Current Trends_Book2_Electric Rev Req Model (2009 GRC) Rebuttal REmoval of New  WH Solar AdjustMI_DEM-WP(C) ENERG10C--ctn Mid-C_042010 2010GRC 2" xfId="7700"/>
    <cellStyle name="_NIM 06 Base Case Current Trends_Book2_Electric Rev Req Model (2009 GRC) Revised 01-18-2010" xfId="7701"/>
    <cellStyle name="_NIM 06 Base Case Current Trends_Book2_Electric Rev Req Model (2009 GRC) Revised 01-18-2010 2" xfId="7702"/>
    <cellStyle name="_NIM 06 Base Case Current Trends_Book2_Electric Rev Req Model (2009 GRC) Revised 01-18-2010 2 2" xfId="7703"/>
    <cellStyle name="_NIM 06 Base Case Current Trends_Book2_Electric Rev Req Model (2009 GRC) Revised 01-18-2010 2 2 2" xfId="7704"/>
    <cellStyle name="_NIM 06 Base Case Current Trends_Book2_Electric Rev Req Model (2009 GRC) Revised 01-18-2010 2 3" xfId="7705"/>
    <cellStyle name="_NIM 06 Base Case Current Trends_Book2_Electric Rev Req Model (2009 GRC) Revised 01-18-2010 3" xfId="7706"/>
    <cellStyle name="_NIM 06 Base Case Current Trends_Book2_Electric Rev Req Model (2009 GRC) Revised 01-18-2010 3 2" xfId="7707"/>
    <cellStyle name="_NIM 06 Base Case Current Trends_Book2_Electric Rev Req Model (2009 GRC) Revised 01-18-2010 4" xfId="7708"/>
    <cellStyle name="_NIM 06 Base Case Current Trends_Book2_Electric Rev Req Model (2009 GRC) Revised 01-18-2010_DEM-WP(C) ENERG10C--ctn Mid-C_042010 2010GRC" xfId="7709"/>
    <cellStyle name="_NIM 06 Base Case Current Trends_Book2_Electric Rev Req Model (2009 GRC) Revised 01-18-2010_DEM-WP(C) ENERG10C--ctn Mid-C_042010 2010GRC 2" xfId="7710"/>
    <cellStyle name="_NIM 06 Base Case Current Trends_Book2_Final Order Electric EXHIBIT A-1" xfId="7711"/>
    <cellStyle name="_NIM 06 Base Case Current Trends_Book2_Final Order Electric EXHIBIT A-1 2" xfId="7712"/>
    <cellStyle name="_NIM 06 Base Case Current Trends_Book2_Final Order Electric EXHIBIT A-1 2 2" xfId="7713"/>
    <cellStyle name="_NIM 06 Base Case Current Trends_Book2_Final Order Electric EXHIBIT A-1 3" xfId="7714"/>
    <cellStyle name="_NIM 06 Base Case Current Trends_Chelan PUD Power Costs (8-10)" xfId="7715"/>
    <cellStyle name="_NIM 06 Base Case Current Trends_Chelan PUD Power Costs (8-10) 2" xfId="7716"/>
    <cellStyle name="_NIM 06 Base Case Current Trends_Colstrip 1&amp;2 Annual O&amp;M Budgets" xfId="7717"/>
    <cellStyle name="_NIM 06 Base Case Current Trends_Colstrip 1&amp;2 Annual O&amp;M Budgets 2" xfId="7718"/>
    <cellStyle name="_NIM 06 Base Case Current Trends_Colstrip 1&amp;2 Annual O&amp;M Budgets 3" xfId="7719"/>
    <cellStyle name="_NIM 06 Base Case Current Trends_Confidential Material" xfId="7720"/>
    <cellStyle name="_NIM 06 Base Case Current Trends_Confidential Material 2" xfId="7721"/>
    <cellStyle name="_NIM 06 Base Case Current Trends_DEM-WP(C) Colstrip 12 Coal Cost Forecast 2010GRC" xfId="7722"/>
    <cellStyle name="_NIM 06 Base Case Current Trends_DEM-WP(C) Colstrip 12 Coal Cost Forecast 2010GRC 2" xfId="7723"/>
    <cellStyle name="_NIM 06 Base Case Current Trends_DEM-WP(C) ENERG10C--ctn Mid-C_042010 2010GRC" xfId="7724"/>
    <cellStyle name="_NIM 06 Base Case Current Trends_DEM-WP(C) ENERG10C--ctn Mid-C_042010 2010GRC 2" xfId="7725"/>
    <cellStyle name="_NIM 06 Base Case Current Trends_DEM-WP(C) Production O&amp;M 2010GRC As-Filed" xfId="7726"/>
    <cellStyle name="_NIM 06 Base Case Current Trends_DEM-WP(C) Production O&amp;M 2010GRC As-Filed 2" xfId="7727"/>
    <cellStyle name="_NIM 06 Base Case Current Trends_DEM-WP(C) Production O&amp;M 2010GRC As-Filed 2 2" xfId="7728"/>
    <cellStyle name="_NIM 06 Base Case Current Trends_DEM-WP(C) Production O&amp;M 2010GRC As-Filed 2 3" xfId="7729"/>
    <cellStyle name="_NIM 06 Base Case Current Trends_DEM-WP(C) Production O&amp;M 2010GRC As-Filed 3" xfId="7730"/>
    <cellStyle name="_NIM 06 Base Case Current Trends_DEM-WP(C) Production O&amp;M 2010GRC As-Filed 3 2" xfId="7731"/>
    <cellStyle name="_NIM 06 Base Case Current Trends_DEM-WP(C) Production O&amp;M 2010GRC As-Filed 4" xfId="7732"/>
    <cellStyle name="_NIM 06 Base Case Current Trends_DEM-WP(C) Production O&amp;M 2010GRC As-Filed 4 2" xfId="7733"/>
    <cellStyle name="_NIM 06 Base Case Current Trends_DEM-WP(C) Production O&amp;M 2010GRC As-Filed 5" xfId="7734"/>
    <cellStyle name="_NIM 06 Base Case Current Trends_DEM-WP(C) Production O&amp;M 2010GRC As-Filed 5 2" xfId="7735"/>
    <cellStyle name="_NIM 06 Base Case Current Trends_DEM-WP(C) Production O&amp;M 2010GRC As-Filed 6" xfId="7736"/>
    <cellStyle name="_NIM 06 Base Case Current Trends_DEM-WP(C) Production O&amp;M 2010GRC As-Filed 6 2" xfId="7737"/>
    <cellStyle name="_NIM 06 Base Case Current Trends_Electric Rev Req Model (2009 GRC) " xfId="7738"/>
    <cellStyle name="_NIM 06 Base Case Current Trends_Electric Rev Req Model (2009 GRC)  2" xfId="7739"/>
    <cellStyle name="_NIM 06 Base Case Current Trends_Electric Rev Req Model (2009 GRC)  2 2" xfId="7740"/>
    <cellStyle name="_NIM 06 Base Case Current Trends_Electric Rev Req Model (2009 GRC)  2 2 2" xfId="7741"/>
    <cellStyle name="_NIM 06 Base Case Current Trends_Electric Rev Req Model (2009 GRC)  2 3" xfId="7742"/>
    <cellStyle name="_NIM 06 Base Case Current Trends_Electric Rev Req Model (2009 GRC)  3" xfId="7743"/>
    <cellStyle name="_NIM 06 Base Case Current Trends_Electric Rev Req Model (2009 GRC)  3 2" xfId="7744"/>
    <cellStyle name="_NIM 06 Base Case Current Trends_Electric Rev Req Model (2009 GRC)  4" xfId="7745"/>
    <cellStyle name="_NIM 06 Base Case Current Trends_Electric Rev Req Model (2009 GRC) _DEM-WP(C) ENERG10C--ctn Mid-C_042010 2010GRC" xfId="7746"/>
    <cellStyle name="_NIM 06 Base Case Current Trends_Electric Rev Req Model (2009 GRC) _DEM-WP(C) ENERG10C--ctn Mid-C_042010 2010GRC 2" xfId="7747"/>
    <cellStyle name="_NIM 06 Base Case Current Trends_Electric Rev Req Model (2009 GRC) Rebuttal" xfId="7748"/>
    <cellStyle name="_NIM 06 Base Case Current Trends_Electric Rev Req Model (2009 GRC) Rebuttal 2" xfId="7749"/>
    <cellStyle name="_NIM 06 Base Case Current Trends_Electric Rev Req Model (2009 GRC) Rebuttal 2 2" xfId="7750"/>
    <cellStyle name="_NIM 06 Base Case Current Trends_Electric Rev Req Model (2009 GRC) Rebuttal 3" xfId="7751"/>
    <cellStyle name="_NIM 06 Base Case Current Trends_Electric Rev Req Model (2009 GRC) Rebuttal REmoval of New  WH Solar AdjustMI" xfId="7752"/>
    <cellStyle name="_NIM 06 Base Case Current Trends_Electric Rev Req Model (2009 GRC) Rebuttal REmoval of New  WH Solar AdjustMI 2" xfId="7753"/>
    <cellStyle name="_NIM 06 Base Case Current Trends_Electric Rev Req Model (2009 GRC) Rebuttal REmoval of New  WH Solar AdjustMI 2 2" xfId="7754"/>
    <cellStyle name="_NIM 06 Base Case Current Trends_Electric Rev Req Model (2009 GRC) Rebuttal REmoval of New  WH Solar AdjustMI 2 2 2" xfId="7755"/>
    <cellStyle name="_NIM 06 Base Case Current Trends_Electric Rev Req Model (2009 GRC) Rebuttal REmoval of New  WH Solar AdjustMI 2 3" xfId="7756"/>
    <cellStyle name="_NIM 06 Base Case Current Trends_Electric Rev Req Model (2009 GRC) Rebuttal REmoval of New  WH Solar AdjustMI 3" xfId="7757"/>
    <cellStyle name="_NIM 06 Base Case Current Trends_Electric Rev Req Model (2009 GRC) Rebuttal REmoval of New  WH Solar AdjustMI 3 2" xfId="7758"/>
    <cellStyle name="_NIM 06 Base Case Current Trends_Electric Rev Req Model (2009 GRC) Rebuttal REmoval of New  WH Solar AdjustMI 4" xfId="7759"/>
    <cellStyle name="_NIM 06 Base Case Current Trends_Electric Rev Req Model (2009 GRC) Rebuttal REmoval of New  WH Solar AdjustMI_DEM-WP(C) ENERG10C--ctn Mid-C_042010 2010GRC" xfId="7760"/>
    <cellStyle name="_NIM 06 Base Case Current Trends_Electric Rev Req Model (2009 GRC) Rebuttal REmoval of New  WH Solar AdjustMI_DEM-WP(C) ENERG10C--ctn Mid-C_042010 2010GRC 2" xfId="7761"/>
    <cellStyle name="_NIM 06 Base Case Current Trends_Electric Rev Req Model (2009 GRC) Revised 01-18-2010" xfId="7762"/>
    <cellStyle name="_NIM 06 Base Case Current Trends_Electric Rev Req Model (2009 GRC) Revised 01-18-2010 2" xfId="7763"/>
    <cellStyle name="_NIM 06 Base Case Current Trends_Electric Rev Req Model (2009 GRC) Revised 01-18-2010 2 2" xfId="7764"/>
    <cellStyle name="_NIM 06 Base Case Current Trends_Electric Rev Req Model (2009 GRC) Revised 01-18-2010 2 2 2" xfId="7765"/>
    <cellStyle name="_NIM 06 Base Case Current Trends_Electric Rev Req Model (2009 GRC) Revised 01-18-2010 2 3" xfId="7766"/>
    <cellStyle name="_NIM 06 Base Case Current Trends_Electric Rev Req Model (2009 GRC) Revised 01-18-2010 3" xfId="7767"/>
    <cellStyle name="_NIM 06 Base Case Current Trends_Electric Rev Req Model (2009 GRC) Revised 01-18-2010 3 2" xfId="7768"/>
    <cellStyle name="_NIM 06 Base Case Current Trends_Electric Rev Req Model (2009 GRC) Revised 01-18-2010 4" xfId="7769"/>
    <cellStyle name="_NIM 06 Base Case Current Trends_Electric Rev Req Model (2009 GRC) Revised 01-18-2010_DEM-WP(C) ENERG10C--ctn Mid-C_042010 2010GRC" xfId="7770"/>
    <cellStyle name="_NIM 06 Base Case Current Trends_Electric Rev Req Model (2009 GRC) Revised 01-18-2010_DEM-WP(C) ENERG10C--ctn Mid-C_042010 2010GRC 2" xfId="7771"/>
    <cellStyle name="_NIM 06 Base Case Current Trends_Electric Rev Req Model (2010 GRC)" xfId="7772"/>
    <cellStyle name="_NIM 06 Base Case Current Trends_Electric Rev Req Model (2010 GRC) 2" xfId="7773"/>
    <cellStyle name="_NIM 06 Base Case Current Trends_Electric Rev Req Model (2010 GRC) SF" xfId="7774"/>
    <cellStyle name="_NIM 06 Base Case Current Trends_Electric Rev Req Model (2010 GRC) SF 2" xfId="7775"/>
    <cellStyle name="_NIM 06 Base Case Current Trends_Final Order Electric EXHIBIT A-1" xfId="7776"/>
    <cellStyle name="_NIM 06 Base Case Current Trends_Final Order Electric EXHIBIT A-1 2" xfId="7777"/>
    <cellStyle name="_NIM 06 Base Case Current Trends_Final Order Electric EXHIBIT A-1 2 2" xfId="7778"/>
    <cellStyle name="_NIM 06 Base Case Current Trends_Final Order Electric EXHIBIT A-1 3" xfId="7779"/>
    <cellStyle name="_NIM 06 Base Case Current Trends_NIM Summary" xfId="7780"/>
    <cellStyle name="_NIM 06 Base Case Current Trends_NIM Summary 2" xfId="7781"/>
    <cellStyle name="_NIM 06 Base Case Current Trends_NIM Summary 2 2" xfId="7782"/>
    <cellStyle name="_NIM 06 Base Case Current Trends_NIM Summary 2 2 2" xfId="7783"/>
    <cellStyle name="_NIM 06 Base Case Current Trends_NIM Summary 2 3" xfId="7784"/>
    <cellStyle name="_NIM 06 Base Case Current Trends_NIM Summary 3" xfId="7785"/>
    <cellStyle name="_NIM 06 Base Case Current Trends_NIM Summary 3 2" xfId="7786"/>
    <cellStyle name="_NIM 06 Base Case Current Trends_NIM Summary 4" xfId="7787"/>
    <cellStyle name="_NIM 06 Base Case Current Trends_NIM Summary_DEM-WP(C) ENERG10C--ctn Mid-C_042010 2010GRC" xfId="7788"/>
    <cellStyle name="_NIM 06 Base Case Current Trends_NIM Summary_DEM-WP(C) ENERG10C--ctn Mid-C_042010 2010GRC 2" xfId="7789"/>
    <cellStyle name="_NIM 06 Base Case Current Trends_NIM+O&amp;M" xfId="7790"/>
    <cellStyle name="_NIM 06 Base Case Current Trends_NIM+O&amp;M 2" xfId="7791"/>
    <cellStyle name="_NIM 06 Base Case Current Trends_NIM+O&amp;M 2 2" xfId="7792"/>
    <cellStyle name="_NIM 06 Base Case Current Trends_NIM+O&amp;M 3" xfId="7793"/>
    <cellStyle name="_NIM 06 Base Case Current Trends_NIM+O&amp;M Monthly" xfId="7794"/>
    <cellStyle name="_NIM 06 Base Case Current Trends_NIM+O&amp;M Monthly 2" xfId="7795"/>
    <cellStyle name="_NIM 06 Base Case Current Trends_NIM+O&amp;M Monthly 2 2" xfId="7796"/>
    <cellStyle name="_NIM 06 Base Case Current Trends_NIM+O&amp;M Monthly 3" xfId="7797"/>
    <cellStyle name="_NIM 06 Base Case Current Trends_Rebuttal Power Costs" xfId="7798"/>
    <cellStyle name="_NIM 06 Base Case Current Trends_Rebuttal Power Costs 2" xfId="7799"/>
    <cellStyle name="_NIM 06 Base Case Current Trends_Rebuttal Power Costs 2 2" xfId="7800"/>
    <cellStyle name="_NIM 06 Base Case Current Trends_Rebuttal Power Costs 2 2 2" xfId="7801"/>
    <cellStyle name="_NIM 06 Base Case Current Trends_Rebuttal Power Costs 2 3" xfId="7802"/>
    <cellStyle name="_NIM 06 Base Case Current Trends_Rebuttal Power Costs 3" xfId="7803"/>
    <cellStyle name="_NIM 06 Base Case Current Trends_Rebuttal Power Costs 3 2" xfId="7804"/>
    <cellStyle name="_NIM 06 Base Case Current Trends_Rebuttal Power Costs 4" xfId="7805"/>
    <cellStyle name="_NIM 06 Base Case Current Trends_Rebuttal Power Costs_Adj Bench DR 3 for Initial Briefs (Electric)" xfId="7806"/>
    <cellStyle name="_NIM 06 Base Case Current Trends_Rebuttal Power Costs_Adj Bench DR 3 for Initial Briefs (Electric) 2" xfId="7807"/>
    <cellStyle name="_NIM 06 Base Case Current Trends_Rebuttal Power Costs_Adj Bench DR 3 for Initial Briefs (Electric) 2 2" xfId="7808"/>
    <cellStyle name="_NIM 06 Base Case Current Trends_Rebuttal Power Costs_Adj Bench DR 3 for Initial Briefs (Electric) 2 2 2" xfId="7809"/>
    <cellStyle name="_NIM 06 Base Case Current Trends_Rebuttal Power Costs_Adj Bench DR 3 for Initial Briefs (Electric) 2 3" xfId="7810"/>
    <cellStyle name="_NIM 06 Base Case Current Trends_Rebuttal Power Costs_Adj Bench DR 3 for Initial Briefs (Electric) 3" xfId="7811"/>
    <cellStyle name="_NIM 06 Base Case Current Trends_Rebuttal Power Costs_Adj Bench DR 3 for Initial Briefs (Electric) 3 2" xfId="7812"/>
    <cellStyle name="_NIM 06 Base Case Current Trends_Rebuttal Power Costs_Adj Bench DR 3 for Initial Briefs (Electric) 4" xfId="7813"/>
    <cellStyle name="_NIM 06 Base Case Current Trends_Rebuttal Power Costs_Adj Bench DR 3 for Initial Briefs (Electric)_DEM-WP(C) ENERG10C--ctn Mid-C_042010 2010GRC" xfId="7814"/>
    <cellStyle name="_NIM 06 Base Case Current Trends_Rebuttal Power Costs_Adj Bench DR 3 for Initial Briefs (Electric)_DEM-WP(C) ENERG10C--ctn Mid-C_042010 2010GRC 2" xfId="7815"/>
    <cellStyle name="_NIM 06 Base Case Current Trends_Rebuttal Power Costs_DEM-WP(C) ENERG10C--ctn Mid-C_042010 2010GRC" xfId="7816"/>
    <cellStyle name="_NIM 06 Base Case Current Trends_Rebuttal Power Costs_DEM-WP(C) ENERG10C--ctn Mid-C_042010 2010GRC 2" xfId="7817"/>
    <cellStyle name="_NIM 06 Base Case Current Trends_Rebuttal Power Costs_Electric Rev Req Model (2009 GRC) Rebuttal" xfId="7818"/>
    <cellStyle name="_NIM 06 Base Case Current Trends_Rebuttal Power Costs_Electric Rev Req Model (2009 GRC) Rebuttal 2" xfId="7819"/>
    <cellStyle name="_NIM 06 Base Case Current Trends_Rebuttal Power Costs_Electric Rev Req Model (2009 GRC) Rebuttal 2 2" xfId="7820"/>
    <cellStyle name="_NIM 06 Base Case Current Trends_Rebuttal Power Costs_Electric Rev Req Model (2009 GRC) Rebuttal 3" xfId="7821"/>
    <cellStyle name="_NIM 06 Base Case Current Trends_Rebuttal Power Costs_Electric Rev Req Model (2009 GRC) Rebuttal REmoval of New  WH Solar AdjustMI" xfId="7822"/>
    <cellStyle name="_NIM 06 Base Case Current Trends_Rebuttal Power Costs_Electric Rev Req Model (2009 GRC) Rebuttal REmoval of New  WH Solar AdjustMI 2" xfId="7823"/>
    <cellStyle name="_NIM 06 Base Case Current Trends_Rebuttal Power Costs_Electric Rev Req Model (2009 GRC) Rebuttal REmoval of New  WH Solar AdjustMI 2 2" xfId="7824"/>
    <cellStyle name="_NIM 06 Base Case Current Trends_Rebuttal Power Costs_Electric Rev Req Model (2009 GRC) Rebuttal REmoval of New  WH Solar AdjustMI 2 2 2" xfId="7825"/>
    <cellStyle name="_NIM 06 Base Case Current Trends_Rebuttal Power Costs_Electric Rev Req Model (2009 GRC) Rebuttal REmoval of New  WH Solar AdjustMI 2 3" xfId="7826"/>
    <cellStyle name="_NIM 06 Base Case Current Trends_Rebuttal Power Costs_Electric Rev Req Model (2009 GRC) Rebuttal REmoval of New  WH Solar AdjustMI 3" xfId="7827"/>
    <cellStyle name="_NIM 06 Base Case Current Trends_Rebuttal Power Costs_Electric Rev Req Model (2009 GRC) Rebuttal REmoval of New  WH Solar AdjustMI 3 2" xfId="7828"/>
    <cellStyle name="_NIM 06 Base Case Current Trends_Rebuttal Power Costs_Electric Rev Req Model (2009 GRC) Rebuttal REmoval of New  WH Solar AdjustMI 4" xfId="7829"/>
    <cellStyle name="_NIM 06 Base Case Current Trends_Rebuttal Power Costs_Electric Rev Req Model (2009 GRC) Rebuttal REmoval of New  WH Solar AdjustMI_DEM-WP(C) ENERG10C--ctn Mid-C_042010 2010GRC" xfId="7830"/>
    <cellStyle name="_NIM 06 Base Case Current Trends_Rebuttal Power Costs_Electric Rev Req Model (2009 GRC) Rebuttal REmoval of New  WH Solar AdjustMI_DEM-WP(C) ENERG10C--ctn Mid-C_042010 2010GRC 2" xfId="7831"/>
    <cellStyle name="_NIM 06 Base Case Current Trends_Rebuttal Power Costs_Electric Rev Req Model (2009 GRC) Revised 01-18-2010" xfId="7832"/>
    <cellStyle name="_NIM 06 Base Case Current Trends_Rebuttal Power Costs_Electric Rev Req Model (2009 GRC) Revised 01-18-2010 2" xfId="7833"/>
    <cellStyle name="_NIM 06 Base Case Current Trends_Rebuttal Power Costs_Electric Rev Req Model (2009 GRC) Revised 01-18-2010 2 2" xfId="7834"/>
    <cellStyle name="_NIM 06 Base Case Current Trends_Rebuttal Power Costs_Electric Rev Req Model (2009 GRC) Revised 01-18-2010 2 2 2" xfId="7835"/>
    <cellStyle name="_NIM 06 Base Case Current Trends_Rebuttal Power Costs_Electric Rev Req Model (2009 GRC) Revised 01-18-2010 2 3" xfId="7836"/>
    <cellStyle name="_NIM 06 Base Case Current Trends_Rebuttal Power Costs_Electric Rev Req Model (2009 GRC) Revised 01-18-2010 3" xfId="7837"/>
    <cellStyle name="_NIM 06 Base Case Current Trends_Rebuttal Power Costs_Electric Rev Req Model (2009 GRC) Revised 01-18-2010 3 2" xfId="7838"/>
    <cellStyle name="_NIM 06 Base Case Current Trends_Rebuttal Power Costs_Electric Rev Req Model (2009 GRC) Revised 01-18-2010 4" xfId="7839"/>
    <cellStyle name="_NIM 06 Base Case Current Trends_Rebuttal Power Costs_Electric Rev Req Model (2009 GRC) Revised 01-18-2010_DEM-WP(C) ENERG10C--ctn Mid-C_042010 2010GRC" xfId="7840"/>
    <cellStyle name="_NIM 06 Base Case Current Trends_Rebuttal Power Costs_Electric Rev Req Model (2009 GRC) Revised 01-18-2010_DEM-WP(C) ENERG10C--ctn Mid-C_042010 2010GRC 2" xfId="7841"/>
    <cellStyle name="_NIM 06 Base Case Current Trends_Rebuttal Power Costs_Final Order Electric EXHIBIT A-1" xfId="7842"/>
    <cellStyle name="_NIM 06 Base Case Current Trends_Rebuttal Power Costs_Final Order Electric EXHIBIT A-1 2" xfId="7843"/>
    <cellStyle name="_NIM 06 Base Case Current Trends_Rebuttal Power Costs_Final Order Electric EXHIBIT A-1 2 2" xfId="7844"/>
    <cellStyle name="_NIM 06 Base Case Current Trends_Rebuttal Power Costs_Final Order Electric EXHIBIT A-1 3" xfId="7845"/>
    <cellStyle name="_NIM 06 Base Case Current Trends_TENASKA REGULATORY ASSET" xfId="7846"/>
    <cellStyle name="_NIM 06 Base Case Current Trends_TENASKA REGULATORY ASSET 2" xfId="7847"/>
    <cellStyle name="_NIM 06 Base Case Current Trends_TENASKA REGULATORY ASSET 2 2" xfId="7848"/>
    <cellStyle name="_NIM 06 Base Case Current Trends_TENASKA REGULATORY ASSET 3" xfId="7849"/>
    <cellStyle name="_NIM Summary 09GRC" xfId="7850"/>
    <cellStyle name="_NIM Summary 09GRC 2" xfId="7851"/>
    <cellStyle name="_NIM Summary 09GRC 2 2" xfId="7852"/>
    <cellStyle name="_NIM Summary 09GRC 2 2 2" xfId="7853"/>
    <cellStyle name="_NIM Summary 09GRC 2 3" xfId="7854"/>
    <cellStyle name="_NIM Summary 09GRC 3" xfId="7855"/>
    <cellStyle name="_NIM Summary 09GRC 3 2" xfId="7856"/>
    <cellStyle name="_NIM Summary 09GRC 4" xfId="7857"/>
    <cellStyle name="_NIM Summary 09GRC_DEM-WP(C) ENERG10C--ctn Mid-C_042010 2010GRC" xfId="7858"/>
    <cellStyle name="_NIM Summary 09GRC_DEM-WP(C) ENERG10C--ctn Mid-C_042010 2010GRC 2" xfId="7859"/>
    <cellStyle name="_NIM Summary 09GRC_NIM Summary" xfId="7860"/>
    <cellStyle name="_NIM Summary 09GRC_NIM Summary 2" xfId="7861"/>
    <cellStyle name="_NIM Summary 09GRC_NIM Summary 2 2" xfId="7862"/>
    <cellStyle name="_NIM Summary 09GRC_NIM Summary 2 2 2" xfId="7863"/>
    <cellStyle name="_NIM Summary 09GRC_NIM Summary 2 3" xfId="7864"/>
    <cellStyle name="_NIM Summary 09GRC_NIM Summary 3" xfId="7865"/>
    <cellStyle name="_NIM Summary 09GRC_NIM Summary 3 2" xfId="7866"/>
    <cellStyle name="_NIM Summary 09GRC_NIM Summary 4" xfId="7867"/>
    <cellStyle name="_NIM Summary 09GRC_NIM Summary_DEM-WP(C) ENERG10C--ctn Mid-C_042010 2010GRC" xfId="7868"/>
    <cellStyle name="_NIM Summary 09GRC_NIM Summary_DEM-WP(C) ENERG10C--ctn Mid-C_042010 2010GRC 2" xfId="7869"/>
    <cellStyle name="_PC DRAFT 10 15 07" xfId="7870"/>
    <cellStyle name="_PC DRAFT 10 15 07 2" xfId="7871"/>
    <cellStyle name="_PCA 7 - Exhibit D update 9_30_2008" xfId="7872"/>
    <cellStyle name="_PCA 7 - Exhibit D update 9_30_2008 2" xfId="7873"/>
    <cellStyle name="_PCA 7 - Exhibit D update 9_30_2008 2 2" xfId="7874"/>
    <cellStyle name="_PCA 7 - Exhibit D update 9_30_2008 2 2 2" xfId="7875"/>
    <cellStyle name="_PCA 7 - Exhibit D update 9_30_2008 2 3" xfId="7876"/>
    <cellStyle name="_PCA 7 - Exhibit D update 9_30_2008 3" xfId="7877"/>
    <cellStyle name="_PCA 7 - Exhibit D update 9_30_2008 3 2" xfId="7878"/>
    <cellStyle name="_PCA 7 - Exhibit D update 9_30_2008 4" xfId="7879"/>
    <cellStyle name="_PCA 7 - Exhibit D update 9_30_2008 4 2" xfId="7880"/>
    <cellStyle name="_PCA 7 - Exhibit D update 9_30_2008 4 2 2" xfId="7881"/>
    <cellStyle name="_PCA 7 - Exhibit D update 9_30_2008 4 3" xfId="7882"/>
    <cellStyle name="_PCA 7 - Exhibit D update 9_30_2008 5" xfId="7883"/>
    <cellStyle name="_PCA 7 - Exhibit D update 9_30_2008 5 2" xfId="7884"/>
    <cellStyle name="_PCA 7 - Exhibit D update 9_30_2008 6" xfId="7885"/>
    <cellStyle name="_PCA 7 - Exhibit D update 9_30_2008 6 2" xfId="7886"/>
    <cellStyle name="_PCA 7 - Exhibit D update 9_30_2008_Chelan PUD Power Costs (8-10)" xfId="7887"/>
    <cellStyle name="_PCA 7 - Exhibit D update 9_30_2008_Chelan PUD Power Costs (8-10) 2" xfId="7888"/>
    <cellStyle name="_PCA 7 - Exhibit D update 9_30_2008_DEM-WP(C) Chelan Power Costs" xfId="7889"/>
    <cellStyle name="_PCA 7 - Exhibit D update 9_30_2008_DEM-WP(C) Chelan Power Costs 2" xfId="7890"/>
    <cellStyle name="_PCA 7 - Exhibit D update 9_30_2008_DEM-WP(C) ENERG10C--ctn Mid-C_042010 2010GRC" xfId="7891"/>
    <cellStyle name="_PCA 7 - Exhibit D update 9_30_2008_DEM-WP(C) ENERG10C--ctn Mid-C_042010 2010GRC 2" xfId="7892"/>
    <cellStyle name="_PCA 7 - Exhibit D update 9_30_2008_DEM-WP(C) Gas Transport 2010GRC" xfId="7893"/>
    <cellStyle name="_PCA 7 - Exhibit D update 9_30_2008_DEM-WP(C) Gas Transport 2010GRC 2" xfId="7894"/>
    <cellStyle name="_PCA 7 - Exhibit D update 9_30_2008_NIM Summary" xfId="7895"/>
    <cellStyle name="_PCA 7 - Exhibit D update 9_30_2008_NIM Summary 2" xfId="7896"/>
    <cellStyle name="_PCA 7 - Exhibit D update 9_30_2008_NIM Summary 2 2" xfId="7897"/>
    <cellStyle name="_PCA 7 - Exhibit D update 9_30_2008_NIM Summary 2 2 2" xfId="7898"/>
    <cellStyle name="_PCA 7 - Exhibit D update 9_30_2008_NIM Summary 2 3" xfId="7899"/>
    <cellStyle name="_PCA 7 - Exhibit D update 9_30_2008_NIM Summary 3" xfId="7900"/>
    <cellStyle name="_PCA 7 - Exhibit D update 9_30_2008_NIM Summary 3 2" xfId="7901"/>
    <cellStyle name="_PCA 7 - Exhibit D update 9_30_2008_NIM Summary 4" xfId="7902"/>
    <cellStyle name="_PCA 7 - Exhibit D update 9_30_2008_NIM Summary_DEM-WP(C) ENERG10C--ctn Mid-C_042010 2010GRC" xfId="7903"/>
    <cellStyle name="_PCA 7 - Exhibit D update 9_30_2008_NIM Summary_DEM-WP(C) ENERG10C--ctn Mid-C_042010 2010GRC 2" xfId="7904"/>
    <cellStyle name="_PCA 7 - Exhibit D update 9_30_2008_Transmission Workbook for May BOD" xfId="7905"/>
    <cellStyle name="_PCA 7 - Exhibit D update 9_30_2008_Transmission Workbook for May BOD 2" xfId="7906"/>
    <cellStyle name="_PCA 7 - Exhibit D update 9_30_2008_Transmission Workbook for May BOD 2 2" xfId="7907"/>
    <cellStyle name="_PCA 7 - Exhibit D update 9_30_2008_Transmission Workbook for May BOD 2 2 2" xfId="7908"/>
    <cellStyle name="_PCA 7 - Exhibit D update 9_30_2008_Transmission Workbook for May BOD 2 3" xfId="7909"/>
    <cellStyle name="_PCA 7 - Exhibit D update 9_30_2008_Transmission Workbook for May BOD 3" xfId="7910"/>
    <cellStyle name="_PCA 7 - Exhibit D update 9_30_2008_Transmission Workbook for May BOD 3 2" xfId="7911"/>
    <cellStyle name="_PCA 7 - Exhibit D update 9_30_2008_Transmission Workbook for May BOD 4" xfId="7912"/>
    <cellStyle name="_PCA 7 - Exhibit D update 9_30_2008_Transmission Workbook for May BOD_DEM-WP(C) ENERG10C--ctn Mid-C_042010 2010GRC" xfId="7913"/>
    <cellStyle name="_PCA 7 - Exhibit D update 9_30_2008_Transmission Workbook for May BOD_DEM-WP(C) ENERG10C--ctn Mid-C_042010 2010GRC 2" xfId="7914"/>
    <cellStyle name="_PCA 7 - Exhibit D update 9_30_2008_Wind Integration 10GRC" xfId="7915"/>
    <cellStyle name="_PCA 7 - Exhibit D update 9_30_2008_Wind Integration 10GRC 2" xfId="7916"/>
    <cellStyle name="_PCA 7 - Exhibit D update 9_30_2008_Wind Integration 10GRC 2 2" xfId="7917"/>
    <cellStyle name="_PCA 7 - Exhibit D update 9_30_2008_Wind Integration 10GRC 2 2 2" xfId="7918"/>
    <cellStyle name="_PCA 7 - Exhibit D update 9_30_2008_Wind Integration 10GRC 2 3" xfId="7919"/>
    <cellStyle name="_PCA 7 - Exhibit D update 9_30_2008_Wind Integration 10GRC 3" xfId="7920"/>
    <cellStyle name="_PCA 7 - Exhibit D update 9_30_2008_Wind Integration 10GRC 3 2" xfId="7921"/>
    <cellStyle name="_PCA 7 - Exhibit D update 9_30_2008_Wind Integration 10GRC 4" xfId="7922"/>
    <cellStyle name="_PCA 7 - Exhibit D update 9_30_2008_Wind Integration 10GRC_DEM-WP(C) ENERG10C--ctn Mid-C_042010 2010GRC" xfId="7923"/>
    <cellStyle name="_PCA 7 - Exhibit D update 9_30_2008_Wind Integration 10GRC_DEM-WP(C) ENERG10C--ctn Mid-C_042010 2010GRC 2" xfId="7924"/>
    <cellStyle name="_Portfolio SPlan Base Case.xls Chart 1" xfId="7925"/>
    <cellStyle name="_Portfolio SPlan Base Case.xls Chart 1 2" xfId="7926"/>
    <cellStyle name="_Portfolio SPlan Base Case.xls Chart 1 2 2" xfId="7927"/>
    <cellStyle name="_Portfolio SPlan Base Case.xls Chart 1 2 2 2" xfId="7928"/>
    <cellStyle name="_Portfolio SPlan Base Case.xls Chart 1 2 3" xfId="7929"/>
    <cellStyle name="_Portfolio SPlan Base Case.xls Chart 1 3" xfId="7930"/>
    <cellStyle name="_Portfolio SPlan Base Case.xls Chart 1 3 2" xfId="7931"/>
    <cellStyle name="_Portfolio SPlan Base Case.xls Chart 1 4" xfId="7932"/>
    <cellStyle name="_Portfolio SPlan Base Case.xls Chart 1 4 2" xfId="7933"/>
    <cellStyle name="_Portfolio SPlan Base Case.xls Chart 1 5" xfId="7934"/>
    <cellStyle name="_Portfolio SPlan Base Case.xls Chart 1 5 2" xfId="7935"/>
    <cellStyle name="_Portfolio SPlan Base Case.xls Chart 1 6" xfId="7936"/>
    <cellStyle name="_Portfolio SPlan Base Case.xls Chart 1 6 2" xfId="7937"/>
    <cellStyle name="_Portfolio SPlan Base Case.xls Chart 1_Adj Bench DR 3 for Initial Briefs (Electric)" xfId="7938"/>
    <cellStyle name="_Portfolio SPlan Base Case.xls Chart 1_Adj Bench DR 3 for Initial Briefs (Electric) 2" xfId="7939"/>
    <cellStyle name="_Portfolio SPlan Base Case.xls Chart 1_Adj Bench DR 3 for Initial Briefs (Electric) 2 2" xfId="7940"/>
    <cellStyle name="_Portfolio SPlan Base Case.xls Chart 1_Adj Bench DR 3 for Initial Briefs (Electric) 2 2 2" xfId="7941"/>
    <cellStyle name="_Portfolio SPlan Base Case.xls Chart 1_Adj Bench DR 3 for Initial Briefs (Electric) 2 3" xfId="7942"/>
    <cellStyle name="_Portfolio SPlan Base Case.xls Chart 1_Adj Bench DR 3 for Initial Briefs (Electric) 3" xfId="7943"/>
    <cellStyle name="_Portfolio SPlan Base Case.xls Chart 1_Adj Bench DR 3 for Initial Briefs (Electric) 3 2" xfId="7944"/>
    <cellStyle name="_Portfolio SPlan Base Case.xls Chart 1_Adj Bench DR 3 for Initial Briefs (Electric) 4" xfId="7945"/>
    <cellStyle name="_Portfolio SPlan Base Case.xls Chart 1_Adj Bench DR 3 for Initial Briefs (Electric)_DEM-WP(C) ENERG10C--ctn Mid-C_042010 2010GRC" xfId="7946"/>
    <cellStyle name="_Portfolio SPlan Base Case.xls Chart 1_Adj Bench DR 3 for Initial Briefs (Electric)_DEM-WP(C) ENERG10C--ctn Mid-C_042010 2010GRC 2" xfId="7947"/>
    <cellStyle name="_Portfolio SPlan Base Case.xls Chart 1_Book1" xfId="7948"/>
    <cellStyle name="_Portfolio SPlan Base Case.xls Chart 1_Book1 2" xfId="7949"/>
    <cellStyle name="_Portfolio SPlan Base Case.xls Chart 1_Book2" xfId="7950"/>
    <cellStyle name="_Portfolio SPlan Base Case.xls Chart 1_Book2 2" xfId="7951"/>
    <cellStyle name="_Portfolio SPlan Base Case.xls Chart 1_Book2 2 2" xfId="7952"/>
    <cellStyle name="_Portfolio SPlan Base Case.xls Chart 1_Book2 2 2 2" xfId="7953"/>
    <cellStyle name="_Portfolio SPlan Base Case.xls Chart 1_Book2 2 3" xfId="7954"/>
    <cellStyle name="_Portfolio SPlan Base Case.xls Chart 1_Book2 3" xfId="7955"/>
    <cellStyle name="_Portfolio SPlan Base Case.xls Chart 1_Book2 3 2" xfId="7956"/>
    <cellStyle name="_Portfolio SPlan Base Case.xls Chart 1_Book2 4" xfId="7957"/>
    <cellStyle name="_Portfolio SPlan Base Case.xls Chart 1_Book2_Adj Bench DR 3 for Initial Briefs (Electric)" xfId="7958"/>
    <cellStyle name="_Portfolio SPlan Base Case.xls Chart 1_Book2_Adj Bench DR 3 for Initial Briefs (Electric) 2" xfId="7959"/>
    <cellStyle name="_Portfolio SPlan Base Case.xls Chart 1_Book2_Adj Bench DR 3 for Initial Briefs (Electric) 2 2" xfId="7960"/>
    <cellStyle name="_Portfolio SPlan Base Case.xls Chart 1_Book2_Adj Bench DR 3 for Initial Briefs (Electric) 2 2 2" xfId="7961"/>
    <cellStyle name="_Portfolio SPlan Base Case.xls Chart 1_Book2_Adj Bench DR 3 for Initial Briefs (Electric) 2 3" xfId="7962"/>
    <cellStyle name="_Portfolio SPlan Base Case.xls Chart 1_Book2_Adj Bench DR 3 for Initial Briefs (Electric) 3" xfId="7963"/>
    <cellStyle name="_Portfolio SPlan Base Case.xls Chart 1_Book2_Adj Bench DR 3 for Initial Briefs (Electric) 3 2" xfId="7964"/>
    <cellStyle name="_Portfolio SPlan Base Case.xls Chart 1_Book2_Adj Bench DR 3 for Initial Briefs (Electric) 4" xfId="7965"/>
    <cellStyle name="_Portfolio SPlan Base Case.xls Chart 1_Book2_Adj Bench DR 3 for Initial Briefs (Electric)_DEM-WP(C) ENERG10C--ctn Mid-C_042010 2010GRC" xfId="7966"/>
    <cellStyle name="_Portfolio SPlan Base Case.xls Chart 1_Book2_Adj Bench DR 3 for Initial Briefs (Electric)_DEM-WP(C) ENERG10C--ctn Mid-C_042010 2010GRC 2" xfId="7967"/>
    <cellStyle name="_Portfolio SPlan Base Case.xls Chart 1_Book2_DEM-WP(C) ENERG10C--ctn Mid-C_042010 2010GRC" xfId="7968"/>
    <cellStyle name="_Portfolio SPlan Base Case.xls Chart 1_Book2_DEM-WP(C) ENERG10C--ctn Mid-C_042010 2010GRC 2" xfId="7969"/>
    <cellStyle name="_Portfolio SPlan Base Case.xls Chart 1_Book2_Electric Rev Req Model (2009 GRC) Rebuttal" xfId="7970"/>
    <cellStyle name="_Portfolio SPlan Base Case.xls Chart 1_Book2_Electric Rev Req Model (2009 GRC) Rebuttal 2" xfId="7971"/>
    <cellStyle name="_Portfolio SPlan Base Case.xls Chart 1_Book2_Electric Rev Req Model (2009 GRC) Rebuttal 2 2" xfId="7972"/>
    <cellStyle name="_Portfolio SPlan Base Case.xls Chart 1_Book2_Electric Rev Req Model (2009 GRC) Rebuttal 3" xfId="7973"/>
    <cellStyle name="_Portfolio SPlan Base Case.xls Chart 1_Book2_Electric Rev Req Model (2009 GRC) Rebuttal REmoval of New  WH Solar AdjustMI" xfId="7974"/>
    <cellStyle name="_Portfolio SPlan Base Case.xls Chart 1_Book2_Electric Rev Req Model (2009 GRC) Rebuttal REmoval of New  WH Solar AdjustMI 2" xfId="7975"/>
    <cellStyle name="_Portfolio SPlan Base Case.xls Chart 1_Book2_Electric Rev Req Model (2009 GRC) Rebuttal REmoval of New  WH Solar AdjustMI 2 2" xfId="7976"/>
    <cellStyle name="_Portfolio SPlan Base Case.xls Chart 1_Book2_Electric Rev Req Model (2009 GRC) Rebuttal REmoval of New  WH Solar AdjustMI 2 2 2" xfId="7977"/>
    <cellStyle name="_Portfolio SPlan Base Case.xls Chart 1_Book2_Electric Rev Req Model (2009 GRC) Rebuttal REmoval of New  WH Solar AdjustMI 2 3" xfId="7978"/>
    <cellStyle name="_Portfolio SPlan Base Case.xls Chart 1_Book2_Electric Rev Req Model (2009 GRC) Rebuttal REmoval of New  WH Solar AdjustMI 3" xfId="7979"/>
    <cellStyle name="_Portfolio SPlan Base Case.xls Chart 1_Book2_Electric Rev Req Model (2009 GRC) Rebuttal REmoval of New  WH Solar AdjustMI 3 2" xfId="7980"/>
    <cellStyle name="_Portfolio SPlan Base Case.xls Chart 1_Book2_Electric Rev Req Model (2009 GRC) Rebuttal REmoval of New  WH Solar AdjustMI 4" xfId="7981"/>
    <cellStyle name="_Portfolio SPlan Base Case.xls Chart 1_Book2_Electric Rev Req Model (2009 GRC) Rebuttal REmoval of New  WH Solar AdjustMI_DEM-WP(C) ENERG10C--ctn Mid-C_042010 2010GRC" xfId="7982"/>
    <cellStyle name="_Portfolio SPlan Base Case.xls Chart 1_Book2_Electric Rev Req Model (2009 GRC) Rebuttal REmoval of New  WH Solar AdjustMI_DEM-WP(C) ENERG10C--ctn Mid-C_042010 2010GRC 2" xfId="7983"/>
    <cellStyle name="_Portfolio SPlan Base Case.xls Chart 1_Book2_Electric Rev Req Model (2009 GRC) Revised 01-18-2010" xfId="7984"/>
    <cellStyle name="_Portfolio SPlan Base Case.xls Chart 1_Book2_Electric Rev Req Model (2009 GRC) Revised 01-18-2010 2" xfId="7985"/>
    <cellStyle name="_Portfolio SPlan Base Case.xls Chart 1_Book2_Electric Rev Req Model (2009 GRC) Revised 01-18-2010 2 2" xfId="7986"/>
    <cellStyle name="_Portfolio SPlan Base Case.xls Chart 1_Book2_Electric Rev Req Model (2009 GRC) Revised 01-18-2010 2 2 2" xfId="7987"/>
    <cellStyle name="_Portfolio SPlan Base Case.xls Chart 1_Book2_Electric Rev Req Model (2009 GRC) Revised 01-18-2010 2 3" xfId="7988"/>
    <cellStyle name="_Portfolio SPlan Base Case.xls Chart 1_Book2_Electric Rev Req Model (2009 GRC) Revised 01-18-2010 3" xfId="7989"/>
    <cellStyle name="_Portfolio SPlan Base Case.xls Chart 1_Book2_Electric Rev Req Model (2009 GRC) Revised 01-18-2010 3 2" xfId="7990"/>
    <cellStyle name="_Portfolio SPlan Base Case.xls Chart 1_Book2_Electric Rev Req Model (2009 GRC) Revised 01-18-2010 4" xfId="7991"/>
    <cellStyle name="_Portfolio SPlan Base Case.xls Chart 1_Book2_Electric Rev Req Model (2009 GRC) Revised 01-18-2010_DEM-WP(C) ENERG10C--ctn Mid-C_042010 2010GRC" xfId="7992"/>
    <cellStyle name="_Portfolio SPlan Base Case.xls Chart 1_Book2_Electric Rev Req Model (2009 GRC) Revised 01-18-2010_DEM-WP(C) ENERG10C--ctn Mid-C_042010 2010GRC 2" xfId="7993"/>
    <cellStyle name="_Portfolio SPlan Base Case.xls Chart 1_Book2_Final Order Electric EXHIBIT A-1" xfId="7994"/>
    <cellStyle name="_Portfolio SPlan Base Case.xls Chart 1_Book2_Final Order Electric EXHIBIT A-1 2" xfId="7995"/>
    <cellStyle name="_Portfolio SPlan Base Case.xls Chart 1_Book2_Final Order Electric EXHIBIT A-1 2 2" xfId="7996"/>
    <cellStyle name="_Portfolio SPlan Base Case.xls Chart 1_Book2_Final Order Electric EXHIBIT A-1 3" xfId="7997"/>
    <cellStyle name="_Portfolio SPlan Base Case.xls Chart 1_Chelan PUD Power Costs (8-10)" xfId="7998"/>
    <cellStyle name="_Portfolio SPlan Base Case.xls Chart 1_Chelan PUD Power Costs (8-10) 2" xfId="7999"/>
    <cellStyle name="_Portfolio SPlan Base Case.xls Chart 1_Colstrip 1&amp;2 Annual O&amp;M Budgets" xfId="8000"/>
    <cellStyle name="_Portfolio SPlan Base Case.xls Chart 1_Colstrip 1&amp;2 Annual O&amp;M Budgets 2" xfId="8001"/>
    <cellStyle name="_Portfolio SPlan Base Case.xls Chart 1_Colstrip 1&amp;2 Annual O&amp;M Budgets 3" xfId="8002"/>
    <cellStyle name="_Portfolio SPlan Base Case.xls Chart 1_Confidential Material" xfId="8003"/>
    <cellStyle name="_Portfolio SPlan Base Case.xls Chart 1_Confidential Material 2" xfId="8004"/>
    <cellStyle name="_Portfolio SPlan Base Case.xls Chart 1_DEM-WP(C) Colstrip 12 Coal Cost Forecast 2010GRC" xfId="8005"/>
    <cellStyle name="_Portfolio SPlan Base Case.xls Chart 1_DEM-WP(C) Colstrip 12 Coal Cost Forecast 2010GRC 2" xfId="8006"/>
    <cellStyle name="_Portfolio SPlan Base Case.xls Chart 1_DEM-WP(C) ENERG10C--ctn Mid-C_042010 2010GRC" xfId="8007"/>
    <cellStyle name="_Portfolio SPlan Base Case.xls Chart 1_DEM-WP(C) ENERG10C--ctn Mid-C_042010 2010GRC 2" xfId="8008"/>
    <cellStyle name="_Portfolio SPlan Base Case.xls Chart 1_DEM-WP(C) Production O&amp;M 2010GRC As-Filed" xfId="8009"/>
    <cellStyle name="_Portfolio SPlan Base Case.xls Chart 1_DEM-WP(C) Production O&amp;M 2010GRC As-Filed 2" xfId="8010"/>
    <cellStyle name="_Portfolio SPlan Base Case.xls Chart 1_DEM-WP(C) Production O&amp;M 2010GRC As-Filed 2 2" xfId="8011"/>
    <cellStyle name="_Portfolio SPlan Base Case.xls Chart 1_DEM-WP(C) Production O&amp;M 2010GRC As-Filed 2 3" xfId="8012"/>
    <cellStyle name="_Portfolio SPlan Base Case.xls Chart 1_DEM-WP(C) Production O&amp;M 2010GRC As-Filed 3" xfId="8013"/>
    <cellStyle name="_Portfolio SPlan Base Case.xls Chart 1_DEM-WP(C) Production O&amp;M 2010GRC As-Filed 3 2" xfId="8014"/>
    <cellStyle name="_Portfolio SPlan Base Case.xls Chart 1_DEM-WP(C) Production O&amp;M 2010GRC As-Filed 4" xfId="8015"/>
    <cellStyle name="_Portfolio SPlan Base Case.xls Chart 1_DEM-WP(C) Production O&amp;M 2010GRC As-Filed 4 2" xfId="8016"/>
    <cellStyle name="_Portfolio SPlan Base Case.xls Chart 1_DEM-WP(C) Production O&amp;M 2010GRC As-Filed 5" xfId="8017"/>
    <cellStyle name="_Portfolio SPlan Base Case.xls Chart 1_DEM-WP(C) Production O&amp;M 2010GRC As-Filed 5 2" xfId="8018"/>
    <cellStyle name="_Portfolio SPlan Base Case.xls Chart 1_DEM-WP(C) Production O&amp;M 2010GRC As-Filed 6" xfId="8019"/>
    <cellStyle name="_Portfolio SPlan Base Case.xls Chart 1_DEM-WP(C) Production O&amp;M 2010GRC As-Filed 6 2" xfId="8020"/>
    <cellStyle name="_Portfolio SPlan Base Case.xls Chart 1_Electric Rev Req Model (2009 GRC) " xfId="8021"/>
    <cellStyle name="_Portfolio SPlan Base Case.xls Chart 1_Electric Rev Req Model (2009 GRC)  2" xfId="8022"/>
    <cellStyle name="_Portfolio SPlan Base Case.xls Chart 1_Electric Rev Req Model (2009 GRC)  2 2" xfId="8023"/>
    <cellStyle name="_Portfolio SPlan Base Case.xls Chart 1_Electric Rev Req Model (2009 GRC)  2 2 2" xfId="8024"/>
    <cellStyle name="_Portfolio SPlan Base Case.xls Chart 1_Electric Rev Req Model (2009 GRC)  2 3" xfId="8025"/>
    <cellStyle name="_Portfolio SPlan Base Case.xls Chart 1_Electric Rev Req Model (2009 GRC)  3" xfId="8026"/>
    <cellStyle name="_Portfolio SPlan Base Case.xls Chart 1_Electric Rev Req Model (2009 GRC)  3 2" xfId="8027"/>
    <cellStyle name="_Portfolio SPlan Base Case.xls Chart 1_Electric Rev Req Model (2009 GRC)  4" xfId="8028"/>
    <cellStyle name="_Portfolio SPlan Base Case.xls Chart 1_Electric Rev Req Model (2009 GRC) _DEM-WP(C) ENERG10C--ctn Mid-C_042010 2010GRC" xfId="8029"/>
    <cellStyle name="_Portfolio SPlan Base Case.xls Chart 1_Electric Rev Req Model (2009 GRC) _DEM-WP(C) ENERG10C--ctn Mid-C_042010 2010GRC 2" xfId="8030"/>
    <cellStyle name="_Portfolio SPlan Base Case.xls Chart 1_Electric Rev Req Model (2009 GRC) Rebuttal" xfId="8031"/>
    <cellStyle name="_Portfolio SPlan Base Case.xls Chart 1_Electric Rev Req Model (2009 GRC) Rebuttal 2" xfId="8032"/>
    <cellStyle name="_Portfolio SPlan Base Case.xls Chart 1_Electric Rev Req Model (2009 GRC) Rebuttal 2 2" xfId="8033"/>
    <cellStyle name="_Portfolio SPlan Base Case.xls Chart 1_Electric Rev Req Model (2009 GRC) Rebuttal 3" xfId="8034"/>
    <cellStyle name="_Portfolio SPlan Base Case.xls Chart 1_Electric Rev Req Model (2009 GRC) Rebuttal REmoval of New  WH Solar AdjustMI" xfId="8035"/>
    <cellStyle name="_Portfolio SPlan Base Case.xls Chart 1_Electric Rev Req Model (2009 GRC) Rebuttal REmoval of New  WH Solar AdjustMI 2" xfId="8036"/>
    <cellStyle name="_Portfolio SPlan Base Case.xls Chart 1_Electric Rev Req Model (2009 GRC) Rebuttal REmoval of New  WH Solar AdjustMI 2 2" xfId="8037"/>
    <cellStyle name="_Portfolio SPlan Base Case.xls Chart 1_Electric Rev Req Model (2009 GRC) Rebuttal REmoval of New  WH Solar AdjustMI 2 2 2" xfId="8038"/>
    <cellStyle name="_Portfolio SPlan Base Case.xls Chart 1_Electric Rev Req Model (2009 GRC) Rebuttal REmoval of New  WH Solar AdjustMI 2 3" xfId="8039"/>
    <cellStyle name="_Portfolio SPlan Base Case.xls Chart 1_Electric Rev Req Model (2009 GRC) Rebuttal REmoval of New  WH Solar AdjustMI 3" xfId="8040"/>
    <cellStyle name="_Portfolio SPlan Base Case.xls Chart 1_Electric Rev Req Model (2009 GRC) Rebuttal REmoval of New  WH Solar AdjustMI 3 2" xfId="8041"/>
    <cellStyle name="_Portfolio SPlan Base Case.xls Chart 1_Electric Rev Req Model (2009 GRC) Rebuttal REmoval of New  WH Solar AdjustMI 4" xfId="8042"/>
    <cellStyle name="_Portfolio SPlan Base Case.xls Chart 1_Electric Rev Req Model (2009 GRC) Rebuttal REmoval of New  WH Solar AdjustMI_DEM-WP(C) ENERG10C--ctn Mid-C_042010 2010GRC" xfId="8043"/>
    <cellStyle name="_Portfolio SPlan Base Case.xls Chart 1_Electric Rev Req Model (2009 GRC) Rebuttal REmoval of New  WH Solar AdjustMI_DEM-WP(C) ENERG10C--ctn Mid-C_042010 2010GRC 2" xfId="8044"/>
    <cellStyle name="_Portfolio SPlan Base Case.xls Chart 1_Electric Rev Req Model (2009 GRC) Revised 01-18-2010" xfId="8045"/>
    <cellStyle name="_Portfolio SPlan Base Case.xls Chart 1_Electric Rev Req Model (2009 GRC) Revised 01-18-2010 2" xfId="8046"/>
    <cellStyle name="_Portfolio SPlan Base Case.xls Chart 1_Electric Rev Req Model (2009 GRC) Revised 01-18-2010 2 2" xfId="8047"/>
    <cellStyle name="_Portfolio SPlan Base Case.xls Chart 1_Electric Rev Req Model (2009 GRC) Revised 01-18-2010 2 2 2" xfId="8048"/>
    <cellStyle name="_Portfolio SPlan Base Case.xls Chart 1_Electric Rev Req Model (2009 GRC) Revised 01-18-2010 2 3" xfId="8049"/>
    <cellStyle name="_Portfolio SPlan Base Case.xls Chart 1_Electric Rev Req Model (2009 GRC) Revised 01-18-2010 3" xfId="8050"/>
    <cellStyle name="_Portfolio SPlan Base Case.xls Chart 1_Electric Rev Req Model (2009 GRC) Revised 01-18-2010 3 2" xfId="8051"/>
    <cellStyle name="_Portfolio SPlan Base Case.xls Chart 1_Electric Rev Req Model (2009 GRC) Revised 01-18-2010 4" xfId="8052"/>
    <cellStyle name="_Portfolio SPlan Base Case.xls Chart 1_Electric Rev Req Model (2009 GRC) Revised 01-18-2010_DEM-WP(C) ENERG10C--ctn Mid-C_042010 2010GRC" xfId="8053"/>
    <cellStyle name="_Portfolio SPlan Base Case.xls Chart 1_Electric Rev Req Model (2009 GRC) Revised 01-18-2010_DEM-WP(C) ENERG10C--ctn Mid-C_042010 2010GRC 2" xfId="8054"/>
    <cellStyle name="_Portfolio SPlan Base Case.xls Chart 1_Electric Rev Req Model (2010 GRC)" xfId="8055"/>
    <cellStyle name="_Portfolio SPlan Base Case.xls Chart 1_Electric Rev Req Model (2010 GRC) 2" xfId="8056"/>
    <cellStyle name="_Portfolio SPlan Base Case.xls Chart 1_Electric Rev Req Model (2010 GRC) SF" xfId="8057"/>
    <cellStyle name="_Portfolio SPlan Base Case.xls Chart 1_Electric Rev Req Model (2010 GRC) SF 2" xfId="8058"/>
    <cellStyle name="_Portfolio SPlan Base Case.xls Chart 1_Final Order Electric EXHIBIT A-1" xfId="8059"/>
    <cellStyle name="_Portfolio SPlan Base Case.xls Chart 1_Final Order Electric EXHIBIT A-1 2" xfId="8060"/>
    <cellStyle name="_Portfolio SPlan Base Case.xls Chart 1_Final Order Electric EXHIBIT A-1 2 2" xfId="8061"/>
    <cellStyle name="_Portfolio SPlan Base Case.xls Chart 1_Final Order Electric EXHIBIT A-1 3" xfId="8062"/>
    <cellStyle name="_Portfolio SPlan Base Case.xls Chart 1_NIM Summary" xfId="8063"/>
    <cellStyle name="_Portfolio SPlan Base Case.xls Chart 1_NIM Summary 2" xfId="8064"/>
    <cellStyle name="_Portfolio SPlan Base Case.xls Chart 1_NIM Summary 2 2" xfId="8065"/>
    <cellStyle name="_Portfolio SPlan Base Case.xls Chart 1_NIM Summary 2 2 2" xfId="8066"/>
    <cellStyle name="_Portfolio SPlan Base Case.xls Chart 1_NIM Summary 2 3" xfId="8067"/>
    <cellStyle name="_Portfolio SPlan Base Case.xls Chart 1_NIM Summary 3" xfId="8068"/>
    <cellStyle name="_Portfolio SPlan Base Case.xls Chart 1_NIM Summary 3 2" xfId="8069"/>
    <cellStyle name="_Portfolio SPlan Base Case.xls Chart 1_NIM Summary 4" xfId="8070"/>
    <cellStyle name="_Portfolio SPlan Base Case.xls Chart 1_NIM Summary_DEM-WP(C) ENERG10C--ctn Mid-C_042010 2010GRC" xfId="8071"/>
    <cellStyle name="_Portfolio SPlan Base Case.xls Chart 1_NIM Summary_DEM-WP(C) ENERG10C--ctn Mid-C_042010 2010GRC 2" xfId="8072"/>
    <cellStyle name="_Portfolio SPlan Base Case.xls Chart 1_Rebuttal Power Costs" xfId="8073"/>
    <cellStyle name="_Portfolio SPlan Base Case.xls Chart 1_Rebuttal Power Costs 2" xfId="8074"/>
    <cellStyle name="_Portfolio SPlan Base Case.xls Chart 1_Rebuttal Power Costs 2 2" xfId="8075"/>
    <cellStyle name="_Portfolio SPlan Base Case.xls Chart 1_Rebuttal Power Costs 2 2 2" xfId="8076"/>
    <cellStyle name="_Portfolio SPlan Base Case.xls Chart 1_Rebuttal Power Costs 2 3" xfId="8077"/>
    <cellStyle name="_Portfolio SPlan Base Case.xls Chart 1_Rebuttal Power Costs 3" xfId="8078"/>
    <cellStyle name="_Portfolio SPlan Base Case.xls Chart 1_Rebuttal Power Costs 3 2" xfId="8079"/>
    <cellStyle name="_Portfolio SPlan Base Case.xls Chart 1_Rebuttal Power Costs 4" xfId="8080"/>
    <cellStyle name="_Portfolio SPlan Base Case.xls Chart 1_Rebuttal Power Costs_Adj Bench DR 3 for Initial Briefs (Electric)" xfId="8081"/>
    <cellStyle name="_Portfolio SPlan Base Case.xls Chart 1_Rebuttal Power Costs_Adj Bench DR 3 for Initial Briefs (Electric) 2" xfId="8082"/>
    <cellStyle name="_Portfolio SPlan Base Case.xls Chart 1_Rebuttal Power Costs_Adj Bench DR 3 for Initial Briefs (Electric) 2 2" xfId="8083"/>
    <cellStyle name="_Portfolio SPlan Base Case.xls Chart 1_Rebuttal Power Costs_Adj Bench DR 3 for Initial Briefs (Electric) 2 2 2" xfId="8084"/>
    <cellStyle name="_Portfolio SPlan Base Case.xls Chart 1_Rebuttal Power Costs_Adj Bench DR 3 for Initial Briefs (Electric) 2 3" xfId="8085"/>
    <cellStyle name="_Portfolio SPlan Base Case.xls Chart 1_Rebuttal Power Costs_Adj Bench DR 3 for Initial Briefs (Electric) 3" xfId="8086"/>
    <cellStyle name="_Portfolio SPlan Base Case.xls Chart 1_Rebuttal Power Costs_Adj Bench DR 3 for Initial Briefs (Electric) 3 2" xfId="8087"/>
    <cellStyle name="_Portfolio SPlan Base Case.xls Chart 1_Rebuttal Power Costs_Adj Bench DR 3 for Initial Briefs (Electric) 4" xfId="8088"/>
    <cellStyle name="_Portfolio SPlan Base Case.xls Chart 1_Rebuttal Power Costs_Adj Bench DR 3 for Initial Briefs (Electric)_DEM-WP(C) ENERG10C--ctn Mid-C_042010 2010GRC" xfId="8089"/>
    <cellStyle name="_Portfolio SPlan Base Case.xls Chart 1_Rebuttal Power Costs_Adj Bench DR 3 for Initial Briefs (Electric)_DEM-WP(C) ENERG10C--ctn Mid-C_042010 2010GRC 2" xfId="8090"/>
    <cellStyle name="_Portfolio SPlan Base Case.xls Chart 1_Rebuttal Power Costs_DEM-WP(C) ENERG10C--ctn Mid-C_042010 2010GRC" xfId="8091"/>
    <cellStyle name="_Portfolio SPlan Base Case.xls Chart 1_Rebuttal Power Costs_DEM-WP(C) ENERG10C--ctn Mid-C_042010 2010GRC 2" xfId="8092"/>
    <cellStyle name="_Portfolio SPlan Base Case.xls Chart 1_Rebuttal Power Costs_Electric Rev Req Model (2009 GRC) Rebuttal" xfId="8093"/>
    <cellStyle name="_Portfolio SPlan Base Case.xls Chart 1_Rebuttal Power Costs_Electric Rev Req Model (2009 GRC) Rebuttal 2" xfId="8094"/>
    <cellStyle name="_Portfolio SPlan Base Case.xls Chart 1_Rebuttal Power Costs_Electric Rev Req Model (2009 GRC) Rebuttal 2 2" xfId="8095"/>
    <cellStyle name="_Portfolio SPlan Base Case.xls Chart 1_Rebuttal Power Costs_Electric Rev Req Model (2009 GRC) Rebuttal 3" xfId="8096"/>
    <cellStyle name="_Portfolio SPlan Base Case.xls Chart 1_Rebuttal Power Costs_Electric Rev Req Model (2009 GRC) Rebuttal REmoval of New  WH Solar AdjustMI" xfId="8097"/>
    <cellStyle name="_Portfolio SPlan Base Case.xls Chart 1_Rebuttal Power Costs_Electric Rev Req Model (2009 GRC) Rebuttal REmoval of New  WH Solar AdjustMI 2" xfId="8098"/>
    <cellStyle name="_Portfolio SPlan Base Case.xls Chart 1_Rebuttal Power Costs_Electric Rev Req Model (2009 GRC) Rebuttal REmoval of New  WH Solar AdjustMI 2 2" xfId="8099"/>
    <cellStyle name="_Portfolio SPlan Base Case.xls Chart 1_Rebuttal Power Costs_Electric Rev Req Model (2009 GRC) Rebuttal REmoval of New  WH Solar AdjustMI 2 2 2" xfId="8100"/>
    <cellStyle name="_Portfolio SPlan Base Case.xls Chart 1_Rebuttal Power Costs_Electric Rev Req Model (2009 GRC) Rebuttal REmoval of New  WH Solar AdjustMI 2 3" xfId="8101"/>
    <cellStyle name="_Portfolio SPlan Base Case.xls Chart 1_Rebuttal Power Costs_Electric Rev Req Model (2009 GRC) Rebuttal REmoval of New  WH Solar AdjustMI 3" xfId="8102"/>
    <cellStyle name="_Portfolio SPlan Base Case.xls Chart 1_Rebuttal Power Costs_Electric Rev Req Model (2009 GRC) Rebuttal REmoval of New  WH Solar AdjustMI 3 2" xfId="8103"/>
    <cellStyle name="_Portfolio SPlan Base Case.xls Chart 1_Rebuttal Power Costs_Electric Rev Req Model (2009 GRC) Rebuttal REmoval of New  WH Solar AdjustMI 4" xfId="8104"/>
    <cellStyle name="_Portfolio SPlan Base Case.xls Chart 1_Rebuttal Power Costs_Electric Rev Req Model (2009 GRC) Rebuttal REmoval of New  WH Solar AdjustMI_DEM-WP(C) ENERG10C--ctn Mid-C_042010 2010GRC" xfId="8105"/>
    <cellStyle name="_Portfolio SPlan Base Case.xls Chart 1_Rebuttal Power Costs_Electric Rev Req Model (2009 GRC) Rebuttal REmoval of New  WH Solar AdjustMI_DEM-WP(C) ENERG10C--ctn Mid-C_042010 2010GRC 2" xfId="8106"/>
    <cellStyle name="_Portfolio SPlan Base Case.xls Chart 1_Rebuttal Power Costs_Electric Rev Req Model (2009 GRC) Revised 01-18-2010" xfId="8107"/>
    <cellStyle name="_Portfolio SPlan Base Case.xls Chart 1_Rebuttal Power Costs_Electric Rev Req Model (2009 GRC) Revised 01-18-2010 2" xfId="8108"/>
    <cellStyle name="_Portfolio SPlan Base Case.xls Chart 1_Rebuttal Power Costs_Electric Rev Req Model (2009 GRC) Revised 01-18-2010 2 2" xfId="8109"/>
    <cellStyle name="_Portfolio SPlan Base Case.xls Chart 1_Rebuttal Power Costs_Electric Rev Req Model (2009 GRC) Revised 01-18-2010 2 2 2" xfId="8110"/>
    <cellStyle name="_Portfolio SPlan Base Case.xls Chart 1_Rebuttal Power Costs_Electric Rev Req Model (2009 GRC) Revised 01-18-2010 2 3" xfId="8111"/>
    <cellStyle name="_Portfolio SPlan Base Case.xls Chart 1_Rebuttal Power Costs_Electric Rev Req Model (2009 GRC) Revised 01-18-2010 3" xfId="8112"/>
    <cellStyle name="_Portfolio SPlan Base Case.xls Chart 1_Rebuttal Power Costs_Electric Rev Req Model (2009 GRC) Revised 01-18-2010 3 2" xfId="8113"/>
    <cellStyle name="_Portfolio SPlan Base Case.xls Chart 1_Rebuttal Power Costs_Electric Rev Req Model (2009 GRC) Revised 01-18-2010 4" xfId="8114"/>
    <cellStyle name="_Portfolio SPlan Base Case.xls Chart 1_Rebuttal Power Costs_Electric Rev Req Model (2009 GRC) Revised 01-18-2010_DEM-WP(C) ENERG10C--ctn Mid-C_042010 2010GRC" xfId="8115"/>
    <cellStyle name="_Portfolio SPlan Base Case.xls Chart 1_Rebuttal Power Costs_Electric Rev Req Model (2009 GRC) Revised 01-18-2010_DEM-WP(C) ENERG10C--ctn Mid-C_042010 2010GRC 2" xfId="8116"/>
    <cellStyle name="_Portfolio SPlan Base Case.xls Chart 1_Rebuttal Power Costs_Final Order Electric EXHIBIT A-1" xfId="8117"/>
    <cellStyle name="_Portfolio SPlan Base Case.xls Chart 1_Rebuttal Power Costs_Final Order Electric EXHIBIT A-1 2" xfId="8118"/>
    <cellStyle name="_Portfolio SPlan Base Case.xls Chart 1_Rebuttal Power Costs_Final Order Electric EXHIBIT A-1 2 2" xfId="8119"/>
    <cellStyle name="_Portfolio SPlan Base Case.xls Chart 1_Rebuttal Power Costs_Final Order Electric EXHIBIT A-1 3" xfId="8120"/>
    <cellStyle name="_Portfolio SPlan Base Case.xls Chart 1_TENASKA REGULATORY ASSET" xfId="8121"/>
    <cellStyle name="_Portfolio SPlan Base Case.xls Chart 1_TENASKA REGULATORY ASSET 2" xfId="8122"/>
    <cellStyle name="_Portfolio SPlan Base Case.xls Chart 1_TENASKA REGULATORY ASSET 2 2" xfId="8123"/>
    <cellStyle name="_Portfolio SPlan Base Case.xls Chart 1_TENASKA REGULATORY ASSET 3" xfId="8124"/>
    <cellStyle name="_Portfolio SPlan Base Case.xls Chart 2" xfId="8125"/>
    <cellStyle name="_Portfolio SPlan Base Case.xls Chart 2 2" xfId="8126"/>
    <cellStyle name="_Portfolio SPlan Base Case.xls Chart 2 2 2" xfId="8127"/>
    <cellStyle name="_Portfolio SPlan Base Case.xls Chart 2 2 2 2" xfId="8128"/>
    <cellStyle name="_Portfolio SPlan Base Case.xls Chart 2 2 3" xfId="8129"/>
    <cellStyle name="_Portfolio SPlan Base Case.xls Chart 2 3" xfId="8130"/>
    <cellStyle name="_Portfolio SPlan Base Case.xls Chart 2 3 2" xfId="8131"/>
    <cellStyle name="_Portfolio SPlan Base Case.xls Chart 2 4" xfId="8132"/>
    <cellStyle name="_Portfolio SPlan Base Case.xls Chart 2 4 2" xfId="8133"/>
    <cellStyle name="_Portfolio SPlan Base Case.xls Chart 2 5" xfId="8134"/>
    <cellStyle name="_Portfolio SPlan Base Case.xls Chart 2 5 2" xfId="8135"/>
    <cellStyle name="_Portfolio SPlan Base Case.xls Chart 2 6" xfId="8136"/>
    <cellStyle name="_Portfolio SPlan Base Case.xls Chart 2 6 2" xfId="8137"/>
    <cellStyle name="_Portfolio SPlan Base Case.xls Chart 2_Adj Bench DR 3 for Initial Briefs (Electric)" xfId="8138"/>
    <cellStyle name="_Portfolio SPlan Base Case.xls Chart 2_Adj Bench DR 3 for Initial Briefs (Electric) 2" xfId="8139"/>
    <cellStyle name="_Portfolio SPlan Base Case.xls Chart 2_Adj Bench DR 3 for Initial Briefs (Electric) 2 2" xfId="8140"/>
    <cellStyle name="_Portfolio SPlan Base Case.xls Chart 2_Adj Bench DR 3 for Initial Briefs (Electric) 2 2 2" xfId="8141"/>
    <cellStyle name="_Portfolio SPlan Base Case.xls Chart 2_Adj Bench DR 3 for Initial Briefs (Electric) 2 3" xfId="8142"/>
    <cellStyle name="_Portfolio SPlan Base Case.xls Chart 2_Adj Bench DR 3 for Initial Briefs (Electric) 3" xfId="8143"/>
    <cellStyle name="_Portfolio SPlan Base Case.xls Chart 2_Adj Bench DR 3 for Initial Briefs (Electric) 3 2" xfId="8144"/>
    <cellStyle name="_Portfolio SPlan Base Case.xls Chart 2_Adj Bench DR 3 for Initial Briefs (Electric) 4" xfId="8145"/>
    <cellStyle name="_Portfolio SPlan Base Case.xls Chart 2_Adj Bench DR 3 for Initial Briefs (Electric)_DEM-WP(C) ENERG10C--ctn Mid-C_042010 2010GRC" xfId="8146"/>
    <cellStyle name="_Portfolio SPlan Base Case.xls Chart 2_Adj Bench DR 3 for Initial Briefs (Electric)_DEM-WP(C) ENERG10C--ctn Mid-C_042010 2010GRC 2" xfId="8147"/>
    <cellStyle name="_Portfolio SPlan Base Case.xls Chart 2_Book1" xfId="8148"/>
    <cellStyle name="_Portfolio SPlan Base Case.xls Chart 2_Book1 2" xfId="8149"/>
    <cellStyle name="_Portfolio SPlan Base Case.xls Chart 2_Book2" xfId="8150"/>
    <cellStyle name="_Portfolio SPlan Base Case.xls Chart 2_Book2 2" xfId="8151"/>
    <cellStyle name="_Portfolio SPlan Base Case.xls Chart 2_Book2 2 2" xfId="8152"/>
    <cellStyle name="_Portfolio SPlan Base Case.xls Chart 2_Book2 2 2 2" xfId="8153"/>
    <cellStyle name="_Portfolio SPlan Base Case.xls Chart 2_Book2 2 3" xfId="8154"/>
    <cellStyle name="_Portfolio SPlan Base Case.xls Chart 2_Book2 3" xfId="8155"/>
    <cellStyle name="_Portfolio SPlan Base Case.xls Chart 2_Book2 3 2" xfId="8156"/>
    <cellStyle name="_Portfolio SPlan Base Case.xls Chart 2_Book2 4" xfId="8157"/>
    <cellStyle name="_Portfolio SPlan Base Case.xls Chart 2_Book2_Adj Bench DR 3 for Initial Briefs (Electric)" xfId="8158"/>
    <cellStyle name="_Portfolio SPlan Base Case.xls Chart 2_Book2_Adj Bench DR 3 for Initial Briefs (Electric) 2" xfId="8159"/>
    <cellStyle name="_Portfolio SPlan Base Case.xls Chart 2_Book2_Adj Bench DR 3 for Initial Briefs (Electric) 2 2" xfId="8160"/>
    <cellStyle name="_Portfolio SPlan Base Case.xls Chart 2_Book2_Adj Bench DR 3 for Initial Briefs (Electric) 2 2 2" xfId="8161"/>
    <cellStyle name="_Portfolio SPlan Base Case.xls Chart 2_Book2_Adj Bench DR 3 for Initial Briefs (Electric) 2 3" xfId="8162"/>
    <cellStyle name="_Portfolio SPlan Base Case.xls Chart 2_Book2_Adj Bench DR 3 for Initial Briefs (Electric) 3" xfId="8163"/>
    <cellStyle name="_Portfolio SPlan Base Case.xls Chart 2_Book2_Adj Bench DR 3 for Initial Briefs (Electric) 3 2" xfId="8164"/>
    <cellStyle name="_Portfolio SPlan Base Case.xls Chart 2_Book2_Adj Bench DR 3 for Initial Briefs (Electric) 4" xfId="8165"/>
    <cellStyle name="_Portfolio SPlan Base Case.xls Chart 2_Book2_Adj Bench DR 3 for Initial Briefs (Electric)_DEM-WP(C) ENERG10C--ctn Mid-C_042010 2010GRC" xfId="8166"/>
    <cellStyle name="_Portfolio SPlan Base Case.xls Chart 2_Book2_Adj Bench DR 3 for Initial Briefs (Electric)_DEM-WP(C) ENERG10C--ctn Mid-C_042010 2010GRC 2" xfId="8167"/>
    <cellStyle name="_Portfolio SPlan Base Case.xls Chart 2_Book2_DEM-WP(C) ENERG10C--ctn Mid-C_042010 2010GRC" xfId="8168"/>
    <cellStyle name="_Portfolio SPlan Base Case.xls Chart 2_Book2_DEM-WP(C) ENERG10C--ctn Mid-C_042010 2010GRC 2" xfId="8169"/>
    <cellStyle name="_Portfolio SPlan Base Case.xls Chart 2_Book2_Electric Rev Req Model (2009 GRC) Rebuttal" xfId="8170"/>
    <cellStyle name="_Portfolio SPlan Base Case.xls Chart 2_Book2_Electric Rev Req Model (2009 GRC) Rebuttal 2" xfId="8171"/>
    <cellStyle name="_Portfolio SPlan Base Case.xls Chart 2_Book2_Electric Rev Req Model (2009 GRC) Rebuttal 2 2" xfId="8172"/>
    <cellStyle name="_Portfolio SPlan Base Case.xls Chart 2_Book2_Electric Rev Req Model (2009 GRC) Rebuttal 3" xfId="8173"/>
    <cellStyle name="_Portfolio SPlan Base Case.xls Chart 2_Book2_Electric Rev Req Model (2009 GRC) Rebuttal REmoval of New  WH Solar AdjustMI" xfId="8174"/>
    <cellStyle name="_Portfolio SPlan Base Case.xls Chart 2_Book2_Electric Rev Req Model (2009 GRC) Rebuttal REmoval of New  WH Solar AdjustMI 2" xfId="8175"/>
    <cellStyle name="_Portfolio SPlan Base Case.xls Chart 2_Book2_Electric Rev Req Model (2009 GRC) Rebuttal REmoval of New  WH Solar AdjustMI 2 2" xfId="8176"/>
    <cellStyle name="_Portfolio SPlan Base Case.xls Chart 2_Book2_Electric Rev Req Model (2009 GRC) Rebuttal REmoval of New  WH Solar AdjustMI 2 2 2" xfId="8177"/>
    <cellStyle name="_Portfolio SPlan Base Case.xls Chart 2_Book2_Electric Rev Req Model (2009 GRC) Rebuttal REmoval of New  WH Solar AdjustMI 2 3" xfId="8178"/>
    <cellStyle name="_Portfolio SPlan Base Case.xls Chart 2_Book2_Electric Rev Req Model (2009 GRC) Rebuttal REmoval of New  WH Solar AdjustMI 3" xfId="8179"/>
    <cellStyle name="_Portfolio SPlan Base Case.xls Chart 2_Book2_Electric Rev Req Model (2009 GRC) Rebuttal REmoval of New  WH Solar AdjustMI 3 2" xfId="8180"/>
    <cellStyle name="_Portfolio SPlan Base Case.xls Chart 2_Book2_Electric Rev Req Model (2009 GRC) Rebuttal REmoval of New  WH Solar AdjustMI 4" xfId="8181"/>
    <cellStyle name="_Portfolio SPlan Base Case.xls Chart 2_Book2_Electric Rev Req Model (2009 GRC) Rebuttal REmoval of New  WH Solar AdjustMI_DEM-WP(C) ENERG10C--ctn Mid-C_042010 2010GRC" xfId="8182"/>
    <cellStyle name="_Portfolio SPlan Base Case.xls Chart 2_Book2_Electric Rev Req Model (2009 GRC) Rebuttal REmoval of New  WH Solar AdjustMI_DEM-WP(C) ENERG10C--ctn Mid-C_042010 2010GRC 2" xfId="8183"/>
    <cellStyle name="_Portfolio SPlan Base Case.xls Chart 2_Book2_Electric Rev Req Model (2009 GRC) Revised 01-18-2010" xfId="8184"/>
    <cellStyle name="_Portfolio SPlan Base Case.xls Chart 2_Book2_Electric Rev Req Model (2009 GRC) Revised 01-18-2010 2" xfId="8185"/>
    <cellStyle name="_Portfolio SPlan Base Case.xls Chart 2_Book2_Electric Rev Req Model (2009 GRC) Revised 01-18-2010 2 2" xfId="8186"/>
    <cellStyle name="_Portfolio SPlan Base Case.xls Chart 2_Book2_Electric Rev Req Model (2009 GRC) Revised 01-18-2010 2 2 2" xfId="8187"/>
    <cellStyle name="_Portfolio SPlan Base Case.xls Chart 2_Book2_Electric Rev Req Model (2009 GRC) Revised 01-18-2010 2 3" xfId="8188"/>
    <cellStyle name="_Portfolio SPlan Base Case.xls Chart 2_Book2_Electric Rev Req Model (2009 GRC) Revised 01-18-2010 3" xfId="8189"/>
    <cellStyle name="_Portfolio SPlan Base Case.xls Chart 2_Book2_Electric Rev Req Model (2009 GRC) Revised 01-18-2010 3 2" xfId="8190"/>
    <cellStyle name="_Portfolio SPlan Base Case.xls Chart 2_Book2_Electric Rev Req Model (2009 GRC) Revised 01-18-2010 4" xfId="8191"/>
    <cellStyle name="_Portfolio SPlan Base Case.xls Chart 2_Book2_Electric Rev Req Model (2009 GRC) Revised 01-18-2010_DEM-WP(C) ENERG10C--ctn Mid-C_042010 2010GRC" xfId="8192"/>
    <cellStyle name="_Portfolio SPlan Base Case.xls Chart 2_Book2_Electric Rev Req Model (2009 GRC) Revised 01-18-2010_DEM-WP(C) ENERG10C--ctn Mid-C_042010 2010GRC 2" xfId="8193"/>
    <cellStyle name="_Portfolio SPlan Base Case.xls Chart 2_Book2_Final Order Electric EXHIBIT A-1" xfId="8194"/>
    <cellStyle name="_Portfolio SPlan Base Case.xls Chart 2_Book2_Final Order Electric EXHIBIT A-1 2" xfId="8195"/>
    <cellStyle name="_Portfolio SPlan Base Case.xls Chart 2_Book2_Final Order Electric EXHIBIT A-1 2 2" xfId="8196"/>
    <cellStyle name="_Portfolio SPlan Base Case.xls Chart 2_Book2_Final Order Electric EXHIBIT A-1 3" xfId="8197"/>
    <cellStyle name="_Portfolio SPlan Base Case.xls Chart 2_Chelan PUD Power Costs (8-10)" xfId="8198"/>
    <cellStyle name="_Portfolio SPlan Base Case.xls Chart 2_Chelan PUD Power Costs (8-10) 2" xfId="8199"/>
    <cellStyle name="_Portfolio SPlan Base Case.xls Chart 2_Colstrip 1&amp;2 Annual O&amp;M Budgets" xfId="8200"/>
    <cellStyle name="_Portfolio SPlan Base Case.xls Chart 2_Colstrip 1&amp;2 Annual O&amp;M Budgets 2" xfId="8201"/>
    <cellStyle name="_Portfolio SPlan Base Case.xls Chart 2_Colstrip 1&amp;2 Annual O&amp;M Budgets 3" xfId="8202"/>
    <cellStyle name="_Portfolio SPlan Base Case.xls Chart 2_Confidential Material" xfId="8203"/>
    <cellStyle name="_Portfolio SPlan Base Case.xls Chart 2_Confidential Material 2" xfId="8204"/>
    <cellStyle name="_Portfolio SPlan Base Case.xls Chart 2_DEM-WP(C) Colstrip 12 Coal Cost Forecast 2010GRC" xfId="8205"/>
    <cellStyle name="_Portfolio SPlan Base Case.xls Chart 2_DEM-WP(C) Colstrip 12 Coal Cost Forecast 2010GRC 2" xfId="8206"/>
    <cellStyle name="_Portfolio SPlan Base Case.xls Chart 2_DEM-WP(C) ENERG10C--ctn Mid-C_042010 2010GRC" xfId="8207"/>
    <cellStyle name="_Portfolio SPlan Base Case.xls Chart 2_DEM-WP(C) ENERG10C--ctn Mid-C_042010 2010GRC 2" xfId="8208"/>
    <cellStyle name="_Portfolio SPlan Base Case.xls Chart 2_DEM-WP(C) Production O&amp;M 2010GRC As-Filed" xfId="8209"/>
    <cellStyle name="_Portfolio SPlan Base Case.xls Chart 2_DEM-WP(C) Production O&amp;M 2010GRC As-Filed 2" xfId="8210"/>
    <cellStyle name="_Portfolio SPlan Base Case.xls Chart 2_DEM-WP(C) Production O&amp;M 2010GRC As-Filed 2 2" xfId="8211"/>
    <cellStyle name="_Portfolio SPlan Base Case.xls Chart 2_DEM-WP(C) Production O&amp;M 2010GRC As-Filed 2 3" xfId="8212"/>
    <cellStyle name="_Portfolio SPlan Base Case.xls Chart 2_DEM-WP(C) Production O&amp;M 2010GRC As-Filed 3" xfId="8213"/>
    <cellStyle name="_Portfolio SPlan Base Case.xls Chart 2_DEM-WP(C) Production O&amp;M 2010GRC As-Filed 3 2" xfId="8214"/>
    <cellStyle name="_Portfolio SPlan Base Case.xls Chart 2_DEM-WP(C) Production O&amp;M 2010GRC As-Filed 4" xfId="8215"/>
    <cellStyle name="_Portfolio SPlan Base Case.xls Chart 2_DEM-WP(C) Production O&amp;M 2010GRC As-Filed 4 2" xfId="8216"/>
    <cellStyle name="_Portfolio SPlan Base Case.xls Chart 2_DEM-WP(C) Production O&amp;M 2010GRC As-Filed 5" xfId="8217"/>
    <cellStyle name="_Portfolio SPlan Base Case.xls Chart 2_DEM-WP(C) Production O&amp;M 2010GRC As-Filed 5 2" xfId="8218"/>
    <cellStyle name="_Portfolio SPlan Base Case.xls Chart 2_DEM-WP(C) Production O&amp;M 2010GRC As-Filed 6" xfId="8219"/>
    <cellStyle name="_Portfolio SPlan Base Case.xls Chart 2_DEM-WP(C) Production O&amp;M 2010GRC As-Filed 6 2" xfId="8220"/>
    <cellStyle name="_Portfolio SPlan Base Case.xls Chart 2_Electric Rev Req Model (2009 GRC) " xfId="8221"/>
    <cellStyle name="_Portfolio SPlan Base Case.xls Chart 2_Electric Rev Req Model (2009 GRC)  2" xfId="8222"/>
    <cellStyle name="_Portfolio SPlan Base Case.xls Chart 2_Electric Rev Req Model (2009 GRC)  2 2" xfId="8223"/>
    <cellStyle name="_Portfolio SPlan Base Case.xls Chart 2_Electric Rev Req Model (2009 GRC)  2 2 2" xfId="8224"/>
    <cellStyle name="_Portfolio SPlan Base Case.xls Chart 2_Electric Rev Req Model (2009 GRC)  2 3" xfId="8225"/>
    <cellStyle name="_Portfolio SPlan Base Case.xls Chart 2_Electric Rev Req Model (2009 GRC)  3" xfId="8226"/>
    <cellStyle name="_Portfolio SPlan Base Case.xls Chart 2_Electric Rev Req Model (2009 GRC)  3 2" xfId="8227"/>
    <cellStyle name="_Portfolio SPlan Base Case.xls Chart 2_Electric Rev Req Model (2009 GRC)  4" xfId="8228"/>
    <cellStyle name="_Portfolio SPlan Base Case.xls Chart 2_Electric Rev Req Model (2009 GRC) _DEM-WP(C) ENERG10C--ctn Mid-C_042010 2010GRC" xfId="8229"/>
    <cellStyle name="_Portfolio SPlan Base Case.xls Chart 2_Electric Rev Req Model (2009 GRC) _DEM-WP(C) ENERG10C--ctn Mid-C_042010 2010GRC 2" xfId="8230"/>
    <cellStyle name="_Portfolio SPlan Base Case.xls Chart 2_Electric Rev Req Model (2009 GRC) Rebuttal" xfId="8231"/>
    <cellStyle name="_Portfolio SPlan Base Case.xls Chart 2_Electric Rev Req Model (2009 GRC) Rebuttal 2" xfId="8232"/>
    <cellStyle name="_Portfolio SPlan Base Case.xls Chart 2_Electric Rev Req Model (2009 GRC) Rebuttal 2 2" xfId="8233"/>
    <cellStyle name="_Portfolio SPlan Base Case.xls Chart 2_Electric Rev Req Model (2009 GRC) Rebuttal 3" xfId="8234"/>
    <cellStyle name="_Portfolio SPlan Base Case.xls Chart 2_Electric Rev Req Model (2009 GRC) Rebuttal REmoval of New  WH Solar AdjustMI" xfId="8235"/>
    <cellStyle name="_Portfolio SPlan Base Case.xls Chart 2_Electric Rev Req Model (2009 GRC) Rebuttal REmoval of New  WH Solar AdjustMI 2" xfId="8236"/>
    <cellStyle name="_Portfolio SPlan Base Case.xls Chart 2_Electric Rev Req Model (2009 GRC) Rebuttal REmoval of New  WH Solar AdjustMI 2 2" xfId="8237"/>
    <cellStyle name="_Portfolio SPlan Base Case.xls Chart 2_Electric Rev Req Model (2009 GRC) Rebuttal REmoval of New  WH Solar AdjustMI 2 2 2" xfId="8238"/>
    <cellStyle name="_Portfolio SPlan Base Case.xls Chart 2_Electric Rev Req Model (2009 GRC) Rebuttal REmoval of New  WH Solar AdjustMI 2 3" xfId="8239"/>
    <cellStyle name="_Portfolio SPlan Base Case.xls Chart 2_Electric Rev Req Model (2009 GRC) Rebuttal REmoval of New  WH Solar AdjustMI 3" xfId="8240"/>
    <cellStyle name="_Portfolio SPlan Base Case.xls Chart 2_Electric Rev Req Model (2009 GRC) Rebuttal REmoval of New  WH Solar AdjustMI 3 2" xfId="8241"/>
    <cellStyle name="_Portfolio SPlan Base Case.xls Chart 2_Electric Rev Req Model (2009 GRC) Rebuttal REmoval of New  WH Solar AdjustMI 4" xfId="8242"/>
    <cellStyle name="_Portfolio SPlan Base Case.xls Chart 2_Electric Rev Req Model (2009 GRC) Rebuttal REmoval of New  WH Solar AdjustMI_DEM-WP(C) ENERG10C--ctn Mid-C_042010 2010GRC" xfId="8243"/>
    <cellStyle name="_Portfolio SPlan Base Case.xls Chart 2_Electric Rev Req Model (2009 GRC) Rebuttal REmoval of New  WH Solar AdjustMI_DEM-WP(C) ENERG10C--ctn Mid-C_042010 2010GRC 2" xfId="8244"/>
    <cellStyle name="_Portfolio SPlan Base Case.xls Chart 2_Electric Rev Req Model (2009 GRC) Revised 01-18-2010" xfId="8245"/>
    <cellStyle name="_Portfolio SPlan Base Case.xls Chart 2_Electric Rev Req Model (2009 GRC) Revised 01-18-2010 2" xfId="8246"/>
    <cellStyle name="_Portfolio SPlan Base Case.xls Chart 2_Electric Rev Req Model (2009 GRC) Revised 01-18-2010 2 2" xfId="8247"/>
    <cellStyle name="_Portfolio SPlan Base Case.xls Chart 2_Electric Rev Req Model (2009 GRC) Revised 01-18-2010 2 2 2" xfId="8248"/>
    <cellStyle name="_Portfolio SPlan Base Case.xls Chart 2_Electric Rev Req Model (2009 GRC) Revised 01-18-2010 2 3" xfId="8249"/>
    <cellStyle name="_Portfolio SPlan Base Case.xls Chart 2_Electric Rev Req Model (2009 GRC) Revised 01-18-2010 3" xfId="8250"/>
    <cellStyle name="_Portfolio SPlan Base Case.xls Chart 2_Electric Rev Req Model (2009 GRC) Revised 01-18-2010 3 2" xfId="8251"/>
    <cellStyle name="_Portfolio SPlan Base Case.xls Chart 2_Electric Rev Req Model (2009 GRC) Revised 01-18-2010 4" xfId="8252"/>
    <cellStyle name="_Portfolio SPlan Base Case.xls Chart 2_Electric Rev Req Model (2009 GRC) Revised 01-18-2010_DEM-WP(C) ENERG10C--ctn Mid-C_042010 2010GRC" xfId="8253"/>
    <cellStyle name="_Portfolio SPlan Base Case.xls Chart 2_Electric Rev Req Model (2009 GRC) Revised 01-18-2010_DEM-WP(C) ENERG10C--ctn Mid-C_042010 2010GRC 2" xfId="8254"/>
    <cellStyle name="_Portfolio SPlan Base Case.xls Chart 2_Electric Rev Req Model (2010 GRC)" xfId="8255"/>
    <cellStyle name="_Portfolio SPlan Base Case.xls Chart 2_Electric Rev Req Model (2010 GRC) 2" xfId="8256"/>
    <cellStyle name="_Portfolio SPlan Base Case.xls Chart 2_Electric Rev Req Model (2010 GRC) SF" xfId="8257"/>
    <cellStyle name="_Portfolio SPlan Base Case.xls Chart 2_Electric Rev Req Model (2010 GRC) SF 2" xfId="8258"/>
    <cellStyle name="_Portfolio SPlan Base Case.xls Chart 2_Final Order Electric EXHIBIT A-1" xfId="8259"/>
    <cellStyle name="_Portfolio SPlan Base Case.xls Chart 2_Final Order Electric EXHIBIT A-1 2" xfId="8260"/>
    <cellStyle name="_Portfolio SPlan Base Case.xls Chart 2_Final Order Electric EXHIBIT A-1 2 2" xfId="8261"/>
    <cellStyle name="_Portfolio SPlan Base Case.xls Chart 2_Final Order Electric EXHIBIT A-1 3" xfId="8262"/>
    <cellStyle name="_Portfolio SPlan Base Case.xls Chart 2_NIM Summary" xfId="8263"/>
    <cellStyle name="_Portfolio SPlan Base Case.xls Chart 2_NIM Summary 2" xfId="8264"/>
    <cellStyle name="_Portfolio SPlan Base Case.xls Chart 2_NIM Summary 2 2" xfId="8265"/>
    <cellStyle name="_Portfolio SPlan Base Case.xls Chart 2_NIM Summary 2 2 2" xfId="8266"/>
    <cellStyle name="_Portfolio SPlan Base Case.xls Chart 2_NIM Summary 2 3" xfId="8267"/>
    <cellStyle name="_Portfolio SPlan Base Case.xls Chart 2_NIM Summary 3" xfId="8268"/>
    <cellStyle name="_Portfolio SPlan Base Case.xls Chart 2_NIM Summary 3 2" xfId="8269"/>
    <cellStyle name="_Portfolio SPlan Base Case.xls Chart 2_NIM Summary 4" xfId="8270"/>
    <cellStyle name="_Portfolio SPlan Base Case.xls Chart 2_NIM Summary_DEM-WP(C) ENERG10C--ctn Mid-C_042010 2010GRC" xfId="8271"/>
    <cellStyle name="_Portfolio SPlan Base Case.xls Chart 2_NIM Summary_DEM-WP(C) ENERG10C--ctn Mid-C_042010 2010GRC 2" xfId="8272"/>
    <cellStyle name="_Portfolio SPlan Base Case.xls Chart 2_Rebuttal Power Costs" xfId="8273"/>
    <cellStyle name="_Portfolio SPlan Base Case.xls Chart 2_Rebuttal Power Costs 2" xfId="8274"/>
    <cellStyle name="_Portfolio SPlan Base Case.xls Chart 2_Rebuttal Power Costs 2 2" xfId="8275"/>
    <cellStyle name="_Portfolio SPlan Base Case.xls Chart 2_Rebuttal Power Costs 2 2 2" xfId="8276"/>
    <cellStyle name="_Portfolio SPlan Base Case.xls Chart 2_Rebuttal Power Costs 2 3" xfId="8277"/>
    <cellStyle name="_Portfolio SPlan Base Case.xls Chart 2_Rebuttal Power Costs 3" xfId="8278"/>
    <cellStyle name="_Portfolio SPlan Base Case.xls Chart 2_Rebuttal Power Costs 3 2" xfId="8279"/>
    <cellStyle name="_Portfolio SPlan Base Case.xls Chart 2_Rebuttal Power Costs 4" xfId="8280"/>
    <cellStyle name="_Portfolio SPlan Base Case.xls Chart 2_Rebuttal Power Costs_Adj Bench DR 3 for Initial Briefs (Electric)" xfId="8281"/>
    <cellStyle name="_Portfolio SPlan Base Case.xls Chart 2_Rebuttal Power Costs_Adj Bench DR 3 for Initial Briefs (Electric) 2" xfId="8282"/>
    <cellStyle name="_Portfolio SPlan Base Case.xls Chart 2_Rebuttal Power Costs_Adj Bench DR 3 for Initial Briefs (Electric) 2 2" xfId="8283"/>
    <cellStyle name="_Portfolio SPlan Base Case.xls Chart 2_Rebuttal Power Costs_Adj Bench DR 3 for Initial Briefs (Electric) 2 2 2" xfId="8284"/>
    <cellStyle name="_Portfolio SPlan Base Case.xls Chart 2_Rebuttal Power Costs_Adj Bench DR 3 for Initial Briefs (Electric) 2 3" xfId="8285"/>
    <cellStyle name="_Portfolio SPlan Base Case.xls Chart 2_Rebuttal Power Costs_Adj Bench DR 3 for Initial Briefs (Electric) 3" xfId="8286"/>
    <cellStyle name="_Portfolio SPlan Base Case.xls Chart 2_Rebuttal Power Costs_Adj Bench DR 3 for Initial Briefs (Electric) 3 2" xfId="8287"/>
    <cellStyle name="_Portfolio SPlan Base Case.xls Chart 2_Rebuttal Power Costs_Adj Bench DR 3 for Initial Briefs (Electric) 4" xfId="8288"/>
    <cellStyle name="_Portfolio SPlan Base Case.xls Chart 2_Rebuttal Power Costs_Adj Bench DR 3 for Initial Briefs (Electric)_DEM-WP(C) ENERG10C--ctn Mid-C_042010 2010GRC" xfId="8289"/>
    <cellStyle name="_Portfolio SPlan Base Case.xls Chart 2_Rebuttal Power Costs_Adj Bench DR 3 for Initial Briefs (Electric)_DEM-WP(C) ENERG10C--ctn Mid-C_042010 2010GRC 2" xfId="8290"/>
    <cellStyle name="_Portfolio SPlan Base Case.xls Chart 2_Rebuttal Power Costs_DEM-WP(C) ENERG10C--ctn Mid-C_042010 2010GRC" xfId="8291"/>
    <cellStyle name="_Portfolio SPlan Base Case.xls Chart 2_Rebuttal Power Costs_DEM-WP(C) ENERG10C--ctn Mid-C_042010 2010GRC 2" xfId="8292"/>
    <cellStyle name="_Portfolio SPlan Base Case.xls Chart 2_Rebuttal Power Costs_Electric Rev Req Model (2009 GRC) Rebuttal" xfId="8293"/>
    <cellStyle name="_Portfolio SPlan Base Case.xls Chart 2_Rebuttal Power Costs_Electric Rev Req Model (2009 GRC) Rebuttal 2" xfId="8294"/>
    <cellStyle name="_Portfolio SPlan Base Case.xls Chart 2_Rebuttal Power Costs_Electric Rev Req Model (2009 GRC) Rebuttal 2 2" xfId="8295"/>
    <cellStyle name="_Portfolio SPlan Base Case.xls Chart 2_Rebuttal Power Costs_Electric Rev Req Model (2009 GRC) Rebuttal 3" xfId="8296"/>
    <cellStyle name="_Portfolio SPlan Base Case.xls Chart 2_Rebuttal Power Costs_Electric Rev Req Model (2009 GRC) Rebuttal REmoval of New  WH Solar AdjustMI" xfId="8297"/>
    <cellStyle name="_Portfolio SPlan Base Case.xls Chart 2_Rebuttal Power Costs_Electric Rev Req Model (2009 GRC) Rebuttal REmoval of New  WH Solar AdjustMI 2" xfId="8298"/>
    <cellStyle name="_Portfolio SPlan Base Case.xls Chart 2_Rebuttal Power Costs_Electric Rev Req Model (2009 GRC) Rebuttal REmoval of New  WH Solar AdjustMI 2 2" xfId="8299"/>
    <cellStyle name="_Portfolio SPlan Base Case.xls Chart 2_Rebuttal Power Costs_Electric Rev Req Model (2009 GRC) Rebuttal REmoval of New  WH Solar AdjustMI 2 2 2" xfId="8300"/>
    <cellStyle name="_Portfolio SPlan Base Case.xls Chart 2_Rebuttal Power Costs_Electric Rev Req Model (2009 GRC) Rebuttal REmoval of New  WH Solar AdjustMI 2 3" xfId="8301"/>
    <cellStyle name="_Portfolio SPlan Base Case.xls Chart 2_Rebuttal Power Costs_Electric Rev Req Model (2009 GRC) Rebuttal REmoval of New  WH Solar AdjustMI 3" xfId="8302"/>
    <cellStyle name="_Portfolio SPlan Base Case.xls Chart 2_Rebuttal Power Costs_Electric Rev Req Model (2009 GRC) Rebuttal REmoval of New  WH Solar AdjustMI 3 2" xfId="8303"/>
    <cellStyle name="_Portfolio SPlan Base Case.xls Chart 2_Rebuttal Power Costs_Electric Rev Req Model (2009 GRC) Rebuttal REmoval of New  WH Solar AdjustMI 4" xfId="8304"/>
    <cellStyle name="_Portfolio SPlan Base Case.xls Chart 2_Rebuttal Power Costs_Electric Rev Req Model (2009 GRC) Rebuttal REmoval of New  WH Solar AdjustMI_DEM-WP(C) ENERG10C--ctn Mid-C_042010 2010GRC" xfId="8305"/>
    <cellStyle name="_Portfolio SPlan Base Case.xls Chart 2_Rebuttal Power Costs_Electric Rev Req Model (2009 GRC) Rebuttal REmoval of New  WH Solar AdjustMI_DEM-WP(C) ENERG10C--ctn Mid-C_042010 2010GRC 2" xfId="8306"/>
    <cellStyle name="_Portfolio SPlan Base Case.xls Chart 2_Rebuttal Power Costs_Electric Rev Req Model (2009 GRC) Revised 01-18-2010" xfId="8307"/>
    <cellStyle name="_Portfolio SPlan Base Case.xls Chart 2_Rebuttal Power Costs_Electric Rev Req Model (2009 GRC) Revised 01-18-2010 2" xfId="8308"/>
    <cellStyle name="_Portfolio SPlan Base Case.xls Chart 2_Rebuttal Power Costs_Electric Rev Req Model (2009 GRC) Revised 01-18-2010 2 2" xfId="8309"/>
    <cellStyle name="_Portfolio SPlan Base Case.xls Chart 2_Rebuttal Power Costs_Electric Rev Req Model (2009 GRC) Revised 01-18-2010 2 2 2" xfId="8310"/>
    <cellStyle name="_Portfolio SPlan Base Case.xls Chart 2_Rebuttal Power Costs_Electric Rev Req Model (2009 GRC) Revised 01-18-2010 2 3" xfId="8311"/>
    <cellStyle name="_Portfolio SPlan Base Case.xls Chart 2_Rebuttal Power Costs_Electric Rev Req Model (2009 GRC) Revised 01-18-2010 3" xfId="8312"/>
    <cellStyle name="_Portfolio SPlan Base Case.xls Chart 2_Rebuttal Power Costs_Electric Rev Req Model (2009 GRC) Revised 01-18-2010 3 2" xfId="8313"/>
    <cellStyle name="_Portfolio SPlan Base Case.xls Chart 2_Rebuttal Power Costs_Electric Rev Req Model (2009 GRC) Revised 01-18-2010 4" xfId="8314"/>
    <cellStyle name="_Portfolio SPlan Base Case.xls Chart 2_Rebuttal Power Costs_Electric Rev Req Model (2009 GRC) Revised 01-18-2010_DEM-WP(C) ENERG10C--ctn Mid-C_042010 2010GRC" xfId="8315"/>
    <cellStyle name="_Portfolio SPlan Base Case.xls Chart 2_Rebuttal Power Costs_Electric Rev Req Model (2009 GRC) Revised 01-18-2010_DEM-WP(C) ENERG10C--ctn Mid-C_042010 2010GRC 2" xfId="8316"/>
    <cellStyle name="_Portfolio SPlan Base Case.xls Chart 2_Rebuttal Power Costs_Final Order Electric EXHIBIT A-1" xfId="8317"/>
    <cellStyle name="_Portfolio SPlan Base Case.xls Chart 2_Rebuttal Power Costs_Final Order Electric EXHIBIT A-1 2" xfId="8318"/>
    <cellStyle name="_Portfolio SPlan Base Case.xls Chart 2_Rebuttal Power Costs_Final Order Electric EXHIBIT A-1 2 2" xfId="8319"/>
    <cellStyle name="_Portfolio SPlan Base Case.xls Chart 2_Rebuttal Power Costs_Final Order Electric EXHIBIT A-1 3" xfId="8320"/>
    <cellStyle name="_Portfolio SPlan Base Case.xls Chart 2_TENASKA REGULATORY ASSET" xfId="8321"/>
    <cellStyle name="_Portfolio SPlan Base Case.xls Chart 2_TENASKA REGULATORY ASSET 2" xfId="8322"/>
    <cellStyle name="_Portfolio SPlan Base Case.xls Chart 2_TENASKA REGULATORY ASSET 2 2" xfId="8323"/>
    <cellStyle name="_Portfolio SPlan Base Case.xls Chart 2_TENASKA REGULATORY ASSET 3" xfId="8324"/>
    <cellStyle name="_Portfolio SPlan Base Case.xls Chart 3" xfId="8325"/>
    <cellStyle name="_Portfolio SPlan Base Case.xls Chart 3 2" xfId="8326"/>
    <cellStyle name="_Portfolio SPlan Base Case.xls Chart 3 2 2" xfId="8327"/>
    <cellStyle name="_Portfolio SPlan Base Case.xls Chart 3 2 2 2" xfId="8328"/>
    <cellStyle name="_Portfolio SPlan Base Case.xls Chart 3 2 3" xfId="8329"/>
    <cellStyle name="_Portfolio SPlan Base Case.xls Chart 3 3" xfId="8330"/>
    <cellStyle name="_Portfolio SPlan Base Case.xls Chart 3 3 2" xfId="8331"/>
    <cellStyle name="_Portfolio SPlan Base Case.xls Chart 3 4" xfId="8332"/>
    <cellStyle name="_Portfolio SPlan Base Case.xls Chart 3 4 2" xfId="8333"/>
    <cellStyle name="_Portfolio SPlan Base Case.xls Chart 3 5" xfId="8334"/>
    <cellStyle name="_Portfolio SPlan Base Case.xls Chart 3 5 2" xfId="8335"/>
    <cellStyle name="_Portfolio SPlan Base Case.xls Chart 3 6" xfId="8336"/>
    <cellStyle name="_Portfolio SPlan Base Case.xls Chart 3 6 2" xfId="8337"/>
    <cellStyle name="_Portfolio SPlan Base Case.xls Chart 3_Adj Bench DR 3 for Initial Briefs (Electric)" xfId="8338"/>
    <cellStyle name="_Portfolio SPlan Base Case.xls Chart 3_Adj Bench DR 3 for Initial Briefs (Electric) 2" xfId="8339"/>
    <cellStyle name="_Portfolio SPlan Base Case.xls Chart 3_Adj Bench DR 3 for Initial Briefs (Electric) 2 2" xfId="8340"/>
    <cellStyle name="_Portfolio SPlan Base Case.xls Chart 3_Adj Bench DR 3 for Initial Briefs (Electric) 2 2 2" xfId="8341"/>
    <cellStyle name="_Portfolio SPlan Base Case.xls Chart 3_Adj Bench DR 3 for Initial Briefs (Electric) 2 3" xfId="8342"/>
    <cellStyle name="_Portfolio SPlan Base Case.xls Chart 3_Adj Bench DR 3 for Initial Briefs (Electric) 3" xfId="8343"/>
    <cellStyle name="_Portfolio SPlan Base Case.xls Chart 3_Adj Bench DR 3 for Initial Briefs (Electric) 3 2" xfId="8344"/>
    <cellStyle name="_Portfolio SPlan Base Case.xls Chart 3_Adj Bench DR 3 for Initial Briefs (Electric) 4" xfId="8345"/>
    <cellStyle name="_Portfolio SPlan Base Case.xls Chart 3_Adj Bench DR 3 for Initial Briefs (Electric)_DEM-WP(C) ENERG10C--ctn Mid-C_042010 2010GRC" xfId="8346"/>
    <cellStyle name="_Portfolio SPlan Base Case.xls Chart 3_Adj Bench DR 3 for Initial Briefs (Electric)_DEM-WP(C) ENERG10C--ctn Mid-C_042010 2010GRC 2" xfId="8347"/>
    <cellStyle name="_Portfolio SPlan Base Case.xls Chart 3_Book1" xfId="8348"/>
    <cellStyle name="_Portfolio SPlan Base Case.xls Chart 3_Book1 2" xfId="8349"/>
    <cellStyle name="_Portfolio SPlan Base Case.xls Chart 3_Book2" xfId="8350"/>
    <cellStyle name="_Portfolio SPlan Base Case.xls Chart 3_Book2 2" xfId="8351"/>
    <cellStyle name="_Portfolio SPlan Base Case.xls Chart 3_Book2 2 2" xfId="8352"/>
    <cellStyle name="_Portfolio SPlan Base Case.xls Chart 3_Book2 2 2 2" xfId="8353"/>
    <cellStyle name="_Portfolio SPlan Base Case.xls Chart 3_Book2 2 3" xfId="8354"/>
    <cellStyle name="_Portfolio SPlan Base Case.xls Chart 3_Book2 3" xfId="8355"/>
    <cellStyle name="_Portfolio SPlan Base Case.xls Chart 3_Book2 3 2" xfId="8356"/>
    <cellStyle name="_Portfolio SPlan Base Case.xls Chart 3_Book2 4" xfId="8357"/>
    <cellStyle name="_Portfolio SPlan Base Case.xls Chart 3_Book2_Adj Bench DR 3 for Initial Briefs (Electric)" xfId="8358"/>
    <cellStyle name="_Portfolio SPlan Base Case.xls Chart 3_Book2_Adj Bench DR 3 for Initial Briefs (Electric) 2" xfId="8359"/>
    <cellStyle name="_Portfolio SPlan Base Case.xls Chart 3_Book2_Adj Bench DR 3 for Initial Briefs (Electric) 2 2" xfId="8360"/>
    <cellStyle name="_Portfolio SPlan Base Case.xls Chart 3_Book2_Adj Bench DR 3 for Initial Briefs (Electric) 2 2 2" xfId="8361"/>
    <cellStyle name="_Portfolio SPlan Base Case.xls Chart 3_Book2_Adj Bench DR 3 for Initial Briefs (Electric) 2 3" xfId="8362"/>
    <cellStyle name="_Portfolio SPlan Base Case.xls Chart 3_Book2_Adj Bench DR 3 for Initial Briefs (Electric) 3" xfId="8363"/>
    <cellStyle name="_Portfolio SPlan Base Case.xls Chart 3_Book2_Adj Bench DR 3 for Initial Briefs (Electric) 3 2" xfId="8364"/>
    <cellStyle name="_Portfolio SPlan Base Case.xls Chart 3_Book2_Adj Bench DR 3 for Initial Briefs (Electric) 4" xfId="8365"/>
    <cellStyle name="_Portfolio SPlan Base Case.xls Chart 3_Book2_Adj Bench DR 3 for Initial Briefs (Electric)_DEM-WP(C) ENERG10C--ctn Mid-C_042010 2010GRC" xfId="8366"/>
    <cellStyle name="_Portfolio SPlan Base Case.xls Chart 3_Book2_Adj Bench DR 3 for Initial Briefs (Electric)_DEM-WP(C) ENERG10C--ctn Mid-C_042010 2010GRC 2" xfId="8367"/>
    <cellStyle name="_Portfolio SPlan Base Case.xls Chart 3_Book2_DEM-WP(C) ENERG10C--ctn Mid-C_042010 2010GRC" xfId="8368"/>
    <cellStyle name="_Portfolio SPlan Base Case.xls Chart 3_Book2_DEM-WP(C) ENERG10C--ctn Mid-C_042010 2010GRC 2" xfId="8369"/>
    <cellStyle name="_Portfolio SPlan Base Case.xls Chart 3_Book2_Electric Rev Req Model (2009 GRC) Rebuttal" xfId="8370"/>
    <cellStyle name="_Portfolio SPlan Base Case.xls Chart 3_Book2_Electric Rev Req Model (2009 GRC) Rebuttal 2" xfId="8371"/>
    <cellStyle name="_Portfolio SPlan Base Case.xls Chart 3_Book2_Electric Rev Req Model (2009 GRC) Rebuttal 2 2" xfId="8372"/>
    <cellStyle name="_Portfolio SPlan Base Case.xls Chart 3_Book2_Electric Rev Req Model (2009 GRC) Rebuttal 3" xfId="8373"/>
    <cellStyle name="_Portfolio SPlan Base Case.xls Chart 3_Book2_Electric Rev Req Model (2009 GRC) Rebuttal REmoval of New  WH Solar AdjustMI" xfId="8374"/>
    <cellStyle name="_Portfolio SPlan Base Case.xls Chart 3_Book2_Electric Rev Req Model (2009 GRC) Rebuttal REmoval of New  WH Solar AdjustMI 2" xfId="8375"/>
    <cellStyle name="_Portfolio SPlan Base Case.xls Chart 3_Book2_Electric Rev Req Model (2009 GRC) Rebuttal REmoval of New  WH Solar AdjustMI 2 2" xfId="8376"/>
    <cellStyle name="_Portfolio SPlan Base Case.xls Chart 3_Book2_Electric Rev Req Model (2009 GRC) Rebuttal REmoval of New  WH Solar AdjustMI 2 2 2" xfId="8377"/>
    <cellStyle name="_Portfolio SPlan Base Case.xls Chart 3_Book2_Electric Rev Req Model (2009 GRC) Rebuttal REmoval of New  WH Solar AdjustMI 2 3" xfId="8378"/>
    <cellStyle name="_Portfolio SPlan Base Case.xls Chart 3_Book2_Electric Rev Req Model (2009 GRC) Rebuttal REmoval of New  WH Solar AdjustMI 3" xfId="8379"/>
    <cellStyle name="_Portfolio SPlan Base Case.xls Chart 3_Book2_Electric Rev Req Model (2009 GRC) Rebuttal REmoval of New  WH Solar AdjustMI 3 2" xfId="8380"/>
    <cellStyle name="_Portfolio SPlan Base Case.xls Chart 3_Book2_Electric Rev Req Model (2009 GRC) Rebuttal REmoval of New  WH Solar AdjustMI 4" xfId="8381"/>
    <cellStyle name="_Portfolio SPlan Base Case.xls Chart 3_Book2_Electric Rev Req Model (2009 GRC) Rebuttal REmoval of New  WH Solar AdjustMI_DEM-WP(C) ENERG10C--ctn Mid-C_042010 2010GRC" xfId="8382"/>
    <cellStyle name="_Portfolio SPlan Base Case.xls Chart 3_Book2_Electric Rev Req Model (2009 GRC) Rebuttal REmoval of New  WH Solar AdjustMI_DEM-WP(C) ENERG10C--ctn Mid-C_042010 2010GRC 2" xfId="8383"/>
    <cellStyle name="_Portfolio SPlan Base Case.xls Chart 3_Book2_Electric Rev Req Model (2009 GRC) Revised 01-18-2010" xfId="8384"/>
    <cellStyle name="_Portfolio SPlan Base Case.xls Chart 3_Book2_Electric Rev Req Model (2009 GRC) Revised 01-18-2010 2" xfId="8385"/>
    <cellStyle name="_Portfolio SPlan Base Case.xls Chart 3_Book2_Electric Rev Req Model (2009 GRC) Revised 01-18-2010 2 2" xfId="8386"/>
    <cellStyle name="_Portfolio SPlan Base Case.xls Chart 3_Book2_Electric Rev Req Model (2009 GRC) Revised 01-18-2010 2 2 2" xfId="8387"/>
    <cellStyle name="_Portfolio SPlan Base Case.xls Chart 3_Book2_Electric Rev Req Model (2009 GRC) Revised 01-18-2010 2 3" xfId="8388"/>
    <cellStyle name="_Portfolio SPlan Base Case.xls Chart 3_Book2_Electric Rev Req Model (2009 GRC) Revised 01-18-2010 3" xfId="8389"/>
    <cellStyle name="_Portfolio SPlan Base Case.xls Chart 3_Book2_Electric Rev Req Model (2009 GRC) Revised 01-18-2010 3 2" xfId="8390"/>
    <cellStyle name="_Portfolio SPlan Base Case.xls Chart 3_Book2_Electric Rev Req Model (2009 GRC) Revised 01-18-2010 4" xfId="8391"/>
    <cellStyle name="_Portfolio SPlan Base Case.xls Chart 3_Book2_Electric Rev Req Model (2009 GRC) Revised 01-18-2010_DEM-WP(C) ENERG10C--ctn Mid-C_042010 2010GRC" xfId="8392"/>
    <cellStyle name="_Portfolio SPlan Base Case.xls Chart 3_Book2_Electric Rev Req Model (2009 GRC) Revised 01-18-2010_DEM-WP(C) ENERG10C--ctn Mid-C_042010 2010GRC 2" xfId="8393"/>
    <cellStyle name="_Portfolio SPlan Base Case.xls Chart 3_Book2_Final Order Electric EXHIBIT A-1" xfId="8394"/>
    <cellStyle name="_Portfolio SPlan Base Case.xls Chart 3_Book2_Final Order Electric EXHIBIT A-1 2" xfId="8395"/>
    <cellStyle name="_Portfolio SPlan Base Case.xls Chart 3_Book2_Final Order Electric EXHIBIT A-1 2 2" xfId="8396"/>
    <cellStyle name="_Portfolio SPlan Base Case.xls Chart 3_Book2_Final Order Electric EXHIBIT A-1 3" xfId="8397"/>
    <cellStyle name="_Portfolio SPlan Base Case.xls Chart 3_Chelan PUD Power Costs (8-10)" xfId="8398"/>
    <cellStyle name="_Portfolio SPlan Base Case.xls Chart 3_Chelan PUD Power Costs (8-10) 2" xfId="8399"/>
    <cellStyle name="_Portfolio SPlan Base Case.xls Chart 3_Colstrip 1&amp;2 Annual O&amp;M Budgets" xfId="8400"/>
    <cellStyle name="_Portfolio SPlan Base Case.xls Chart 3_Colstrip 1&amp;2 Annual O&amp;M Budgets 2" xfId="8401"/>
    <cellStyle name="_Portfolio SPlan Base Case.xls Chart 3_Colstrip 1&amp;2 Annual O&amp;M Budgets 3" xfId="8402"/>
    <cellStyle name="_Portfolio SPlan Base Case.xls Chart 3_Confidential Material" xfId="8403"/>
    <cellStyle name="_Portfolio SPlan Base Case.xls Chart 3_Confidential Material 2" xfId="8404"/>
    <cellStyle name="_Portfolio SPlan Base Case.xls Chart 3_DEM-WP(C) Colstrip 12 Coal Cost Forecast 2010GRC" xfId="8405"/>
    <cellStyle name="_Portfolio SPlan Base Case.xls Chart 3_DEM-WP(C) Colstrip 12 Coal Cost Forecast 2010GRC 2" xfId="8406"/>
    <cellStyle name="_Portfolio SPlan Base Case.xls Chart 3_DEM-WP(C) ENERG10C--ctn Mid-C_042010 2010GRC" xfId="8407"/>
    <cellStyle name="_Portfolio SPlan Base Case.xls Chart 3_DEM-WP(C) ENERG10C--ctn Mid-C_042010 2010GRC 2" xfId="8408"/>
    <cellStyle name="_Portfolio SPlan Base Case.xls Chart 3_DEM-WP(C) Production O&amp;M 2010GRC As-Filed" xfId="8409"/>
    <cellStyle name="_Portfolio SPlan Base Case.xls Chart 3_DEM-WP(C) Production O&amp;M 2010GRC As-Filed 2" xfId="8410"/>
    <cellStyle name="_Portfolio SPlan Base Case.xls Chart 3_DEM-WP(C) Production O&amp;M 2010GRC As-Filed 2 2" xfId="8411"/>
    <cellStyle name="_Portfolio SPlan Base Case.xls Chart 3_DEM-WP(C) Production O&amp;M 2010GRC As-Filed 2 3" xfId="8412"/>
    <cellStyle name="_Portfolio SPlan Base Case.xls Chart 3_DEM-WP(C) Production O&amp;M 2010GRC As-Filed 3" xfId="8413"/>
    <cellStyle name="_Portfolio SPlan Base Case.xls Chart 3_DEM-WP(C) Production O&amp;M 2010GRC As-Filed 3 2" xfId="8414"/>
    <cellStyle name="_Portfolio SPlan Base Case.xls Chart 3_DEM-WP(C) Production O&amp;M 2010GRC As-Filed 4" xfId="8415"/>
    <cellStyle name="_Portfolio SPlan Base Case.xls Chart 3_DEM-WP(C) Production O&amp;M 2010GRC As-Filed 4 2" xfId="8416"/>
    <cellStyle name="_Portfolio SPlan Base Case.xls Chart 3_DEM-WP(C) Production O&amp;M 2010GRC As-Filed 5" xfId="8417"/>
    <cellStyle name="_Portfolio SPlan Base Case.xls Chart 3_DEM-WP(C) Production O&amp;M 2010GRC As-Filed 5 2" xfId="8418"/>
    <cellStyle name="_Portfolio SPlan Base Case.xls Chart 3_DEM-WP(C) Production O&amp;M 2010GRC As-Filed 6" xfId="8419"/>
    <cellStyle name="_Portfolio SPlan Base Case.xls Chart 3_DEM-WP(C) Production O&amp;M 2010GRC As-Filed 6 2" xfId="8420"/>
    <cellStyle name="_Portfolio SPlan Base Case.xls Chart 3_Electric Rev Req Model (2009 GRC) " xfId="8421"/>
    <cellStyle name="_Portfolio SPlan Base Case.xls Chart 3_Electric Rev Req Model (2009 GRC)  2" xfId="8422"/>
    <cellStyle name="_Portfolio SPlan Base Case.xls Chart 3_Electric Rev Req Model (2009 GRC)  2 2" xfId="8423"/>
    <cellStyle name="_Portfolio SPlan Base Case.xls Chart 3_Electric Rev Req Model (2009 GRC)  2 2 2" xfId="8424"/>
    <cellStyle name="_Portfolio SPlan Base Case.xls Chart 3_Electric Rev Req Model (2009 GRC)  2 3" xfId="8425"/>
    <cellStyle name="_Portfolio SPlan Base Case.xls Chart 3_Electric Rev Req Model (2009 GRC)  3" xfId="8426"/>
    <cellStyle name="_Portfolio SPlan Base Case.xls Chart 3_Electric Rev Req Model (2009 GRC)  3 2" xfId="8427"/>
    <cellStyle name="_Portfolio SPlan Base Case.xls Chart 3_Electric Rev Req Model (2009 GRC)  4" xfId="8428"/>
    <cellStyle name="_Portfolio SPlan Base Case.xls Chart 3_Electric Rev Req Model (2009 GRC) _DEM-WP(C) ENERG10C--ctn Mid-C_042010 2010GRC" xfId="8429"/>
    <cellStyle name="_Portfolio SPlan Base Case.xls Chart 3_Electric Rev Req Model (2009 GRC) _DEM-WP(C) ENERG10C--ctn Mid-C_042010 2010GRC 2" xfId="8430"/>
    <cellStyle name="_Portfolio SPlan Base Case.xls Chart 3_Electric Rev Req Model (2009 GRC) Rebuttal" xfId="8431"/>
    <cellStyle name="_Portfolio SPlan Base Case.xls Chart 3_Electric Rev Req Model (2009 GRC) Rebuttal 2" xfId="8432"/>
    <cellStyle name="_Portfolio SPlan Base Case.xls Chart 3_Electric Rev Req Model (2009 GRC) Rebuttal 2 2" xfId="8433"/>
    <cellStyle name="_Portfolio SPlan Base Case.xls Chart 3_Electric Rev Req Model (2009 GRC) Rebuttal 3" xfId="8434"/>
    <cellStyle name="_Portfolio SPlan Base Case.xls Chart 3_Electric Rev Req Model (2009 GRC) Rebuttal REmoval of New  WH Solar AdjustMI" xfId="8435"/>
    <cellStyle name="_Portfolio SPlan Base Case.xls Chart 3_Electric Rev Req Model (2009 GRC) Rebuttal REmoval of New  WH Solar AdjustMI 2" xfId="8436"/>
    <cellStyle name="_Portfolio SPlan Base Case.xls Chart 3_Electric Rev Req Model (2009 GRC) Rebuttal REmoval of New  WH Solar AdjustMI 2 2" xfId="8437"/>
    <cellStyle name="_Portfolio SPlan Base Case.xls Chart 3_Electric Rev Req Model (2009 GRC) Rebuttal REmoval of New  WH Solar AdjustMI 2 2 2" xfId="8438"/>
    <cellStyle name="_Portfolio SPlan Base Case.xls Chart 3_Electric Rev Req Model (2009 GRC) Rebuttal REmoval of New  WH Solar AdjustMI 2 3" xfId="8439"/>
    <cellStyle name="_Portfolio SPlan Base Case.xls Chart 3_Electric Rev Req Model (2009 GRC) Rebuttal REmoval of New  WH Solar AdjustMI 3" xfId="8440"/>
    <cellStyle name="_Portfolio SPlan Base Case.xls Chart 3_Electric Rev Req Model (2009 GRC) Rebuttal REmoval of New  WH Solar AdjustMI 3 2" xfId="8441"/>
    <cellStyle name="_Portfolio SPlan Base Case.xls Chart 3_Electric Rev Req Model (2009 GRC) Rebuttal REmoval of New  WH Solar AdjustMI 4" xfId="8442"/>
    <cellStyle name="_Portfolio SPlan Base Case.xls Chart 3_Electric Rev Req Model (2009 GRC) Rebuttal REmoval of New  WH Solar AdjustMI_DEM-WP(C) ENERG10C--ctn Mid-C_042010 2010GRC" xfId="8443"/>
    <cellStyle name="_Portfolio SPlan Base Case.xls Chart 3_Electric Rev Req Model (2009 GRC) Rebuttal REmoval of New  WH Solar AdjustMI_DEM-WP(C) ENERG10C--ctn Mid-C_042010 2010GRC 2" xfId="8444"/>
    <cellStyle name="_Portfolio SPlan Base Case.xls Chart 3_Electric Rev Req Model (2009 GRC) Revised 01-18-2010" xfId="8445"/>
    <cellStyle name="_Portfolio SPlan Base Case.xls Chart 3_Electric Rev Req Model (2009 GRC) Revised 01-18-2010 2" xfId="8446"/>
    <cellStyle name="_Portfolio SPlan Base Case.xls Chart 3_Electric Rev Req Model (2009 GRC) Revised 01-18-2010 2 2" xfId="8447"/>
    <cellStyle name="_Portfolio SPlan Base Case.xls Chart 3_Electric Rev Req Model (2009 GRC) Revised 01-18-2010 2 2 2" xfId="8448"/>
    <cellStyle name="_Portfolio SPlan Base Case.xls Chart 3_Electric Rev Req Model (2009 GRC) Revised 01-18-2010 2 3" xfId="8449"/>
    <cellStyle name="_Portfolio SPlan Base Case.xls Chart 3_Electric Rev Req Model (2009 GRC) Revised 01-18-2010 3" xfId="8450"/>
    <cellStyle name="_Portfolio SPlan Base Case.xls Chart 3_Electric Rev Req Model (2009 GRC) Revised 01-18-2010 3 2" xfId="8451"/>
    <cellStyle name="_Portfolio SPlan Base Case.xls Chart 3_Electric Rev Req Model (2009 GRC) Revised 01-18-2010 4" xfId="8452"/>
    <cellStyle name="_Portfolio SPlan Base Case.xls Chart 3_Electric Rev Req Model (2009 GRC) Revised 01-18-2010_DEM-WP(C) ENERG10C--ctn Mid-C_042010 2010GRC" xfId="8453"/>
    <cellStyle name="_Portfolio SPlan Base Case.xls Chart 3_Electric Rev Req Model (2009 GRC) Revised 01-18-2010_DEM-WP(C) ENERG10C--ctn Mid-C_042010 2010GRC 2" xfId="8454"/>
    <cellStyle name="_Portfolio SPlan Base Case.xls Chart 3_Electric Rev Req Model (2010 GRC)" xfId="8455"/>
    <cellStyle name="_Portfolio SPlan Base Case.xls Chart 3_Electric Rev Req Model (2010 GRC) 2" xfId="8456"/>
    <cellStyle name="_Portfolio SPlan Base Case.xls Chart 3_Electric Rev Req Model (2010 GRC) SF" xfId="8457"/>
    <cellStyle name="_Portfolio SPlan Base Case.xls Chart 3_Electric Rev Req Model (2010 GRC) SF 2" xfId="8458"/>
    <cellStyle name="_Portfolio SPlan Base Case.xls Chart 3_Final Order Electric EXHIBIT A-1" xfId="8459"/>
    <cellStyle name="_Portfolio SPlan Base Case.xls Chart 3_Final Order Electric EXHIBIT A-1 2" xfId="8460"/>
    <cellStyle name="_Portfolio SPlan Base Case.xls Chart 3_Final Order Electric EXHIBIT A-1 2 2" xfId="8461"/>
    <cellStyle name="_Portfolio SPlan Base Case.xls Chart 3_Final Order Electric EXHIBIT A-1 3" xfId="8462"/>
    <cellStyle name="_Portfolio SPlan Base Case.xls Chart 3_NIM Summary" xfId="8463"/>
    <cellStyle name="_Portfolio SPlan Base Case.xls Chart 3_NIM Summary 2" xfId="8464"/>
    <cellStyle name="_Portfolio SPlan Base Case.xls Chart 3_NIM Summary 2 2" xfId="8465"/>
    <cellStyle name="_Portfolio SPlan Base Case.xls Chart 3_NIM Summary 2 2 2" xfId="8466"/>
    <cellStyle name="_Portfolio SPlan Base Case.xls Chart 3_NIM Summary 2 3" xfId="8467"/>
    <cellStyle name="_Portfolio SPlan Base Case.xls Chart 3_NIM Summary 3" xfId="8468"/>
    <cellStyle name="_Portfolio SPlan Base Case.xls Chart 3_NIM Summary 3 2" xfId="8469"/>
    <cellStyle name="_Portfolio SPlan Base Case.xls Chart 3_NIM Summary 4" xfId="8470"/>
    <cellStyle name="_Portfolio SPlan Base Case.xls Chart 3_NIM Summary_DEM-WP(C) ENERG10C--ctn Mid-C_042010 2010GRC" xfId="8471"/>
    <cellStyle name="_Portfolio SPlan Base Case.xls Chart 3_NIM Summary_DEM-WP(C) ENERG10C--ctn Mid-C_042010 2010GRC 2" xfId="8472"/>
    <cellStyle name="_Portfolio SPlan Base Case.xls Chart 3_Rebuttal Power Costs" xfId="8473"/>
    <cellStyle name="_Portfolio SPlan Base Case.xls Chart 3_Rebuttal Power Costs 2" xfId="8474"/>
    <cellStyle name="_Portfolio SPlan Base Case.xls Chart 3_Rebuttal Power Costs 2 2" xfId="8475"/>
    <cellStyle name="_Portfolio SPlan Base Case.xls Chart 3_Rebuttal Power Costs 2 2 2" xfId="8476"/>
    <cellStyle name="_Portfolio SPlan Base Case.xls Chart 3_Rebuttal Power Costs 2 3" xfId="8477"/>
    <cellStyle name="_Portfolio SPlan Base Case.xls Chart 3_Rebuttal Power Costs 3" xfId="8478"/>
    <cellStyle name="_Portfolio SPlan Base Case.xls Chart 3_Rebuttal Power Costs 3 2" xfId="8479"/>
    <cellStyle name="_Portfolio SPlan Base Case.xls Chart 3_Rebuttal Power Costs 4" xfId="8480"/>
    <cellStyle name="_Portfolio SPlan Base Case.xls Chart 3_Rebuttal Power Costs_Adj Bench DR 3 for Initial Briefs (Electric)" xfId="8481"/>
    <cellStyle name="_Portfolio SPlan Base Case.xls Chart 3_Rebuttal Power Costs_Adj Bench DR 3 for Initial Briefs (Electric) 2" xfId="8482"/>
    <cellStyle name="_Portfolio SPlan Base Case.xls Chart 3_Rebuttal Power Costs_Adj Bench DR 3 for Initial Briefs (Electric) 2 2" xfId="8483"/>
    <cellStyle name="_Portfolio SPlan Base Case.xls Chart 3_Rebuttal Power Costs_Adj Bench DR 3 for Initial Briefs (Electric) 2 2 2" xfId="8484"/>
    <cellStyle name="_Portfolio SPlan Base Case.xls Chart 3_Rebuttal Power Costs_Adj Bench DR 3 for Initial Briefs (Electric) 2 3" xfId="8485"/>
    <cellStyle name="_Portfolio SPlan Base Case.xls Chart 3_Rebuttal Power Costs_Adj Bench DR 3 for Initial Briefs (Electric) 3" xfId="8486"/>
    <cellStyle name="_Portfolio SPlan Base Case.xls Chart 3_Rebuttal Power Costs_Adj Bench DR 3 for Initial Briefs (Electric) 3 2" xfId="8487"/>
    <cellStyle name="_Portfolio SPlan Base Case.xls Chart 3_Rebuttal Power Costs_Adj Bench DR 3 for Initial Briefs (Electric) 4" xfId="8488"/>
    <cellStyle name="_Portfolio SPlan Base Case.xls Chart 3_Rebuttal Power Costs_Adj Bench DR 3 for Initial Briefs (Electric)_DEM-WP(C) ENERG10C--ctn Mid-C_042010 2010GRC" xfId="8489"/>
    <cellStyle name="_Portfolio SPlan Base Case.xls Chart 3_Rebuttal Power Costs_Adj Bench DR 3 for Initial Briefs (Electric)_DEM-WP(C) ENERG10C--ctn Mid-C_042010 2010GRC 2" xfId="8490"/>
    <cellStyle name="_Portfolio SPlan Base Case.xls Chart 3_Rebuttal Power Costs_DEM-WP(C) ENERG10C--ctn Mid-C_042010 2010GRC" xfId="8491"/>
    <cellStyle name="_Portfolio SPlan Base Case.xls Chart 3_Rebuttal Power Costs_DEM-WP(C) ENERG10C--ctn Mid-C_042010 2010GRC 2" xfId="8492"/>
    <cellStyle name="_Portfolio SPlan Base Case.xls Chart 3_Rebuttal Power Costs_Electric Rev Req Model (2009 GRC) Rebuttal" xfId="8493"/>
    <cellStyle name="_Portfolio SPlan Base Case.xls Chart 3_Rebuttal Power Costs_Electric Rev Req Model (2009 GRC) Rebuttal 2" xfId="8494"/>
    <cellStyle name="_Portfolio SPlan Base Case.xls Chart 3_Rebuttal Power Costs_Electric Rev Req Model (2009 GRC) Rebuttal 2 2" xfId="8495"/>
    <cellStyle name="_Portfolio SPlan Base Case.xls Chart 3_Rebuttal Power Costs_Electric Rev Req Model (2009 GRC) Rebuttal 3" xfId="8496"/>
    <cellStyle name="_Portfolio SPlan Base Case.xls Chart 3_Rebuttal Power Costs_Electric Rev Req Model (2009 GRC) Rebuttal REmoval of New  WH Solar AdjustMI" xfId="8497"/>
    <cellStyle name="_Portfolio SPlan Base Case.xls Chart 3_Rebuttal Power Costs_Electric Rev Req Model (2009 GRC) Rebuttal REmoval of New  WH Solar AdjustMI 2" xfId="8498"/>
    <cellStyle name="_Portfolio SPlan Base Case.xls Chart 3_Rebuttal Power Costs_Electric Rev Req Model (2009 GRC) Rebuttal REmoval of New  WH Solar AdjustMI 2 2" xfId="8499"/>
    <cellStyle name="_Portfolio SPlan Base Case.xls Chart 3_Rebuttal Power Costs_Electric Rev Req Model (2009 GRC) Rebuttal REmoval of New  WH Solar AdjustMI 2 2 2" xfId="8500"/>
    <cellStyle name="_Portfolio SPlan Base Case.xls Chart 3_Rebuttal Power Costs_Electric Rev Req Model (2009 GRC) Rebuttal REmoval of New  WH Solar AdjustMI 2 3" xfId="8501"/>
    <cellStyle name="_Portfolio SPlan Base Case.xls Chart 3_Rebuttal Power Costs_Electric Rev Req Model (2009 GRC) Rebuttal REmoval of New  WH Solar AdjustMI 3" xfId="8502"/>
    <cellStyle name="_Portfolio SPlan Base Case.xls Chart 3_Rebuttal Power Costs_Electric Rev Req Model (2009 GRC) Rebuttal REmoval of New  WH Solar AdjustMI 3 2" xfId="8503"/>
    <cellStyle name="_Portfolio SPlan Base Case.xls Chart 3_Rebuttal Power Costs_Electric Rev Req Model (2009 GRC) Rebuttal REmoval of New  WH Solar AdjustMI 4" xfId="8504"/>
    <cellStyle name="_Portfolio SPlan Base Case.xls Chart 3_Rebuttal Power Costs_Electric Rev Req Model (2009 GRC) Rebuttal REmoval of New  WH Solar AdjustMI_DEM-WP(C) ENERG10C--ctn Mid-C_042010 2010GRC" xfId="8505"/>
    <cellStyle name="_Portfolio SPlan Base Case.xls Chart 3_Rebuttal Power Costs_Electric Rev Req Model (2009 GRC) Rebuttal REmoval of New  WH Solar AdjustMI_DEM-WP(C) ENERG10C--ctn Mid-C_042010 2010GRC 2" xfId="8506"/>
    <cellStyle name="_Portfolio SPlan Base Case.xls Chart 3_Rebuttal Power Costs_Electric Rev Req Model (2009 GRC) Revised 01-18-2010" xfId="8507"/>
    <cellStyle name="_Portfolio SPlan Base Case.xls Chart 3_Rebuttal Power Costs_Electric Rev Req Model (2009 GRC) Revised 01-18-2010 2" xfId="8508"/>
    <cellStyle name="_Portfolio SPlan Base Case.xls Chart 3_Rebuttal Power Costs_Electric Rev Req Model (2009 GRC) Revised 01-18-2010 2 2" xfId="8509"/>
    <cellStyle name="_Portfolio SPlan Base Case.xls Chart 3_Rebuttal Power Costs_Electric Rev Req Model (2009 GRC) Revised 01-18-2010 2 2 2" xfId="8510"/>
    <cellStyle name="_Portfolio SPlan Base Case.xls Chart 3_Rebuttal Power Costs_Electric Rev Req Model (2009 GRC) Revised 01-18-2010 2 3" xfId="8511"/>
    <cellStyle name="_Portfolio SPlan Base Case.xls Chart 3_Rebuttal Power Costs_Electric Rev Req Model (2009 GRC) Revised 01-18-2010 3" xfId="8512"/>
    <cellStyle name="_Portfolio SPlan Base Case.xls Chart 3_Rebuttal Power Costs_Electric Rev Req Model (2009 GRC) Revised 01-18-2010 3 2" xfId="8513"/>
    <cellStyle name="_Portfolio SPlan Base Case.xls Chart 3_Rebuttal Power Costs_Electric Rev Req Model (2009 GRC) Revised 01-18-2010 4" xfId="8514"/>
    <cellStyle name="_Portfolio SPlan Base Case.xls Chart 3_Rebuttal Power Costs_Electric Rev Req Model (2009 GRC) Revised 01-18-2010_DEM-WP(C) ENERG10C--ctn Mid-C_042010 2010GRC" xfId="8515"/>
    <cellStyle name="_Portfolio SPlan Base Case.xls Chart 3_Rebuttal Power Costs_Electric Rev Req Model (2009 GRC) Revised 01-18-2010_DEM-WP(C) ENERG10C--ctn Mid-C_042010 2010GRC 2" xfId="8516"/>
    <cellStyle name="_Portfolio SPlan Base Case.xls Chart 3_Rebuttal Power Costs_Final Order Electric EXHIBIT A-1" xfId="8517"/>
    <cellStyle name="_Portfolio SPlan Base Case.xls Chart 3_Rebuttal Power Costs_Final Order Electric EXHIBIT A-1 2" xfId="8518"/>
    <cellStyle name="_Portfolio SPlan Base Case.xls Chart 3_Rebuttal Power Costs_Final Order Electric EXHIBIT A-1 2 2" xfId="8519"/>
    <cellStyle name="_Portfolio SPlan Base Case.xls Chart 3_Rebuttal Power Costs_Final Order Electric EXHIBIT A-1 3" xfId="8520"/>
    <cellStyle name="_Portfolio SPlan Base Case.xls Chart 3_TENASKA REGULATORY ASSET" xfId="8521"/>
    <cellStyle name="_Portfolio SPlan Base Case.xls Chart 3_TENASKA REGULATORY ASSET 2" xfId="8522"/>
    <cellStyle name="_Portfolio SPlan Base Case.xls Chart 3_TENASKA REGULATORY ASSET 2 2" xfId="8523"/>
    <cellStyle name="_Portfolio SPlan Base Case.xls Chart 3_TENASKA REGULATORY ASSET 3" xfId="8524"/>
    <cellStyle name="_Power Cost Value Copy 11.30.05 gas 1.09.06 AURORA at 1.10.06" xfId="8525"/>
    <cellStyle name="_Power Cost Value Copy 11.30.05 gas 1.09.06 AURORA at 1.10.06 2" xfId="8526"/>
    <cellStyle name="_Power Cost Value Copy 11.30.05 gas 1.09.06 AURORA at 1.10.06 2 2" xfId="8527"/>
    <cellStyle name="_Power Cost Value Copy 11.30.05 gas 1.09.06 AURORA at 1.10.06 2 2 2" xfId="8528"/>
    <cellStyle name="_Power Cost Value Copy 11.30.05 gas 1.09.06 AURORA at 1.10.06 2 2 2 2" xfId="8529"/>
    <cellStyle name="_Power Cost Value Copy 11.30.05 gas 1.09.06 AURORA at 1.10.06 2 2 3" xfId="8530"/>
    <cellStyle name="_Power Cost Value Copy 11.30.05 gas 1.09.06 AURORA at 1.10.06 2 3" xfId="8531"/>
    <cellStyle name="_Power Cost Value Copy 11.30.05 gas 1.09.06 AURORA at 1.10.06 2 3 2" xfId="8532"/>
    <cellStyle name="_Power Cost Value Copy 11.30.05 gas 1.09.06 AURORA at 1.10.06 2 4" xfId="8533"/>
    <cellStyle name="_Power Cost Value Copy 11.30.05 gas 1.09.06 AURORA at 1.10.06 3" xfId="8534"/>
    <cellStyle name="_Power Cost Value Copy 11.30.05 gas 1.09.06 AURORA at 1.10.06 3 2" xfId="8535"/>
    <cellStyle name="_Power Cost Value Copy 11.30.05 gas 1.09.06 AURORA at 1.10.06 3 2 2" xfId="8536"/>
    <cellStyle name="_Power Cost Value Copy 11.30.05 gas 1.09.06 AURORA at 1.10.06 3 3" xfId="8537"/>
    <cellStyle name="_Power Cost Value Copy 11.30.05 gas 1.09.06 AURORA at 1.10.06 4" xfId="8538"/>
    <cellStyle name="_Power Cost Value Copy 11.30.05 gas 1.09.06 AURORA at 1.10.06 4 2" xfId="8539"/>
    <cellStyle name="_Power Cost Value Copy 11.30.05 gas 1.09.06 AURORA at 1.10.06 4 2 2" xfId="8540"/>
    <cellStyle name="_Power Cost Value Copy 11.30.05 gas 1.09.06 AURORA at 1.10.06 4 3" xfId="8541"/>
    <cellStyle name="_Power Cost Value Copy 11.30.05 gas 1.09.06 AURORA at 1.10.06 5" xfId="8542"/>
    <cellStyle name="_Power Cost Value Copy 11.30.05 gas 1.09.06 AURORA at 1.10.06 5 2" xfId="8543"/>
    <cellStyle name="_Power Cost Value Copy 11.30.05 gas 1.09.06 AURORA at 1.10.06 6" xfId="8544"/>
    <cellStyle name="_Power Cost Value Copy 11.30.05 gas 1.09.06 AURORA at 1.10.06 6 2" xfId="8545"/>
    <cellStyle name="_Power Cost Value Copy 11.30.05 gas 1.09.06 AURORA at 1.10.06 6 2 2" xfId="8546"/>
    <cellStyle name="_Power Cost Value Copy 11.30.05 gas 1.09.06 AURORA at 1.10.06 6 3" xfId="8547"/>
    <cellStyle name="_Power Cost Value Copy 11.30.05 gas 1.09.06 AURORA at 1.10.06 7" xfId="8548"/>
    <cellStyle name="_Power Cost Value Copy 11.30.05 gas 1.09.06 AURORA at 1.10.06 7 2" xfId="8549"/>
    <cellStyle name="_Power Cost Value Copy 11.30.05 gas 1.09.06 AURORA at 1.10.06 7 2 2" xfId="8550"/>
    <cellStyle name="_Power Cost Value Copy 11.30.05 gas 1.09.06 AURORA at 1.10.06 7 3" xfId="8551"/>
    <cellStyle name="_Power Cost Value Copy 11.30.05 gas 1.09.06 AURORA at 1.10.06 8" xfId="8552"/>
    <cellStyle name="_Power Cost Value Copy 11.30.05 gas 1.09.06 AURORA at 1.10.06_04 07E Wild Horse Wind Expansion (C) (2)" xfId="8553"/>
    <cellStyle name="_Power Cost Value Copy 11.30.05 gas 1.09.06 AURORA at 1.10.06_04 07E Wild Horse Wind Expansion (C) (2) 2" xfId="8554"/>
    <cellStyle name="_Power Cost Value Copy 11.30.05 gas 1.09.06 AURORA at 1.10.06_04 07E Wild Horse Wind Expansion (C) (2) 2 2" xfId="8555"/>
    <cellStyle name="_Power Cost Value Copy 11.30.05 gas 1.09.06 AURORA at 1.10.06_04 07E Wild Horse Wind Expansion (C) (2) 2 2 2" xfId="8556"/>
    <cellStyle name="_Power Cost Value Copy 11.30.05 gas 1.09.06 AURORA at 1.10.06_04 07E Wild Horse Wind Expansion (C) (2) 2 3" xfId="8557"/>
    <cellStyle name="_Power Cost Value Copy 11.30.05 gas 1.09.06 AURORA at 1.10.06_04 07E Wild Horse Wind Expansion (C) (2) 3" xfId="8558"/>
    <cellStyle name="_Power Cost Value Copy 11.30.05 gas 1.09.06 AURORA at 1.10.06_04 07E Wild Horse Wind Expansion (C) (2) 3 2" xfId="8559"/>
    <cellStyle name="_Power Cost Value Copy 11.30.05 gas 1.09.06 AURORA at 1.10.06_04 07E Wild Horse Wind Expansion (C) (2) 4" xfId="8560"/>
    <cellStyle name="_Power Cost Value Copy 11.30.05 gas 1.09.06 AURORA at 1.10.06_04 07E Wild Horse Wind Expansion (C) (2)_Adj Bench DR 3 for Initial Briefs (Electric)" xfId="8561"/>
    <cellStyle name="_Power Cost Value Copy 11.30.05 gas 1.09.06 AURORA at 1.10.06_04 07E Wild Horse Wind Expansion (C) (2)_Adj Bench DR 3 for Initial Briefs (Electric) 2" xfId="8562"/>
    <cellStyle name="_Power Cost Value Copy 11.30.05 gas 1.09.06 AURORA at 1.10.06_04 07E Wild Horse Wind Expansion (C) (2)_Adj Bench DR 3 for Initial Briefs (Electric) 2 2" xfId="8563"/>
    <cellStyle name="_Power Cost Value Copy 11.30.05 gas 1.09.06 AURORA at 1.10.06_04 07E Wild Horse Wind Expansion (C) (2)_Adj Bench DR 3 for Initial Briefs (Electric) 2 2 2" xfId="8564"/>
    <cellStyle name="_Power Cost Value Copy 11.30.05 gas 1.09.06 AURORA at 1.10.06_04 07E Wild Horse Wind Expansion (C) (2)_Adj Bench DR 3 for Initial Briefs (Electric) 2 3" xfId="8565"/>
    <cellStyle name="_Power Cost Value Copy 11.30.05 gas 1.09.06 AURORA at 1.10.06_04 07E Wild Horse Wind Expansion (C) (2)_Adj Bench DR 3 for Initial Briefs (Electric) 3" xfId="8566"/>
    <cellStyle name="_Power Cost Value Copy 11.30.05 gas 1.09.06 AURORA at 1.10.06_04 07E Wild Horse Wind Expansion (C) (2)_Adj Bench DR 3 for Initial Briefs (Electric) 3 2" xfId="8567"/>
    <cellStyle name="_Power Cost Value Copy 11.30.05 gas 1.09.06 AURORA at 1.10.06_04 07E Wild Horse Wind Expansion (C) (2)_Adj Bench DR 3 for Initial Briefs (Electric) 4" xfId="8568"/>
    <cellStyle name="_Power Cost Value Copy 11.30.05 gas 1.09.06 AURORA at 1.10.06_04 07E Wild Horse Wind Expansion (C) (2)_Adj Bench DR 3 for Initial Briefs (Electric)_DEM-WP(C) ENERG10C--ctn Mid-C_042010 2010GRC" xfId="8569"/>
    <cellStyle name="_Power Cost Value Copy 11.30.05 gas 1.09.06 AURORA at 1.10.06_04 07E Wild Horse Wind Expansion (C) (2)_Adj Bench DR 3 for Initial Briefs (Electric)_DEM-WP(C) ENERG10C--ctn Mid-C_042010 2010GRC 2" xfId="8570"/>
    <cellStyle name="_Power Cost Value Copy 11.30.05 gas 1.09.06 AURORA at 1.10.06_04 07E Wild Horse Wind Expansion (C) (2)_Book1" xfId="8571"/>
    <cellStyle name="_Power Cost Value Copy 11.30.05 gas 1.09.06 AURORA at 1.10.06_04 07E Wild Horse Wind Expansion (C) (2)_Book1 2" xfId="8572"/>
    <cellStyle name="_Power Cost Value Copy 11.30.05 gas 1.09.06 AURORA at 1.10.06_04 07E Wild Horse Wind Expansion (C) (2)_DEM-WP(C) ENERG10C--ctn Mid-C_042010 2010GRC" xfId="8573"/>
    <cellStyle name="_Power Cost Value Copy 11.30.05 gas 1.09.06 AURORA at 1.10.06_04 07E Wild Horse Wind Expansion (C) (2)_DEM-WP(C) ENERG10C--ctn Mid-C_042010 2010GRC 2" xfId="8574"/>
    <cellStyle name="_Power Cost Value Copy 11.30.05 gas 1.09.06 AURORA at 1.10.06_04 07E Wild Horse Wind Expansion (C) (2)_Electric Rev Req Model (2009 GRC) " xfId="8575"/>
    <cellStyle name="_Power Cost Value Copy 11.30.05 gas 1.09.06 AURORA at 1.10.06_04 07E Wild Horse Wind Expansion (C) (2)_Electric Rev Req Model (2009 GRC)  2" xfId="8576"/>
    <cellStyle name="_Power Cost Value Copy 11.30.05 gas 1.09.06 AURORA at 1.10.06_04 07E Wild Horse Wind Expansion (C) (2)_Electric Rev Req Model (2009 GRC)  2 2" xfId="8577"/>
    <cellStyle name="_Power Cost Value Copy 11.30.05 gas 1.09.06 AURORA at 1.10.06_04 07E Wild Horse Wind Expansion (C) (2)_Electric Rev Req Model (2009 GRC)  2 2 2" xfId="8578"/>
    <cellStyle name="_Power Cost Value Copy 11.30.05 gas 1.09.06 AURORA at 1.10.06_04 07E Wild Horse Wind Expansion (C) (2)_Electric Rev Req Model (2009 GRC)  2 3" xfId="8579"/>
    <cellStyle name="_Power Cost Value Copy 11.30.05 gas 1.09.06 AURORA at 1.10.06_04 07E Wild Horse Wind Expansion (C) (2)_Electric Rev Req Model (2009 GRC)  3" xfId="8580"/>
    <cellStyle name="_Power Cost Value Copy 11.30.05 gas 1.09.06 AURORA at 1.10.06_04 07E Wild Horse Wind Expansion (C) (2)_Electric Rev Req Model (2009 GRC)  3 2" xfId="8581"/>
    <cellStyle name="_Power Cost Value Copy 11.30.05 gas 1.09.06 AURORA at 1.10.06_04 07E Wild Horse Wind Expansion (C) (2)_Electric Rev Req Model (2009 GRC)  4" xfId="8582"/>
    <cellStyle name="_Power Cost Value Copy 11.30.05 gas 1.09.06 AURORA at 1.10.06_04 07E Wild Horse Wind Expansion (C) (2)_Electric Rev Req Model (2009 GRC) _DEM-WP(C) ENERG10C--ctn Mid-C_042010 2010GRC" xfId="8583"/>
    <cellStyle name="_Power Cost Value Copy 11.30.05 gas 1.09.06 AURORA at 1.10.06_04 07E Wild Horse Wind Expansion (C) (2)_Electric Rev Req Model (2009 GRC) _DEM-WP(C) ENERG10C--ctn Mid-C_042010 2010GRC 2" xfId="8584"/>
    <cellStyle name="_Power Cost Value Copy 11.30.05 gas 1.09.06 AURORA at 1.10.06_04 07E Wild Horse Wind Expansion (C) (2)_Electric Rev Req Model (2009 GRC) Rebuttal" xfId="8585"/>
    <cellStyle name="_Power Cost Value Copy 11.30.05 gas 1.09.06 AURORA at 1.10.06_04 07E Wild Horse Wind Expansion (C) (2)_Electric Rev Req Model (2009 GRC) Rebuttal 2" xfId="8586"/>
    <cellStyle name="_Power Cost Value Copy 11.30.05 gas 1.09.06 AURORA at 1.10.06_04 07E Wild Horse Wind Expansion (C) (2)_Electric Rev Req Model (2009 GRC) Rebuttal 2 2" xfId="8587"/>
    <cellStyle name="_Power Cost Value Copy 11.30.05 gas 1.09.06 AURORA at 1.10.06_04 07E Wild Horse Wind Expansion (C) (2)_Electric Rev Req Model (2009 GRC) Rebuttal 3" xfId="8588"/>
    <cellStyle name="_Power Cost Value Copy 11.30.05 gas 1.09.06 AURORA at 1.10.06_04 07E Wild Horse Wind Expansion (C) (2)_Electric Rev Req Model (2009 GRC) Rebuttal REmoval of New  WH Solar AdjustMI" xfId="8589"/>
    <cellStyle name="_Power Cost Value Copy 11.30.05 gas 1.09.06 AURORA at 1.10.06_04 07E Wild Horse Wind Expansion (C) (2)_Electric Rev Req Model (2009 GRC) Rebuttal REmoval of New  WH Solar AdjustMI 2" xfId="8590"/>
    <cellStyle name="_Power Cost Value Copy 11.30.05 gas 1.09.06 AURORA at 1.10.06_04 07E Wild Horse Wind Expansion (C) (2)_Electric Rev Req Model (2009 GRC) Rebuttal REmoval of New  WH Solar AdjustMI 2 2" xfId="8591"/>
    <cellStyle name="_Power Cost Value Copy 11.30.05 gas 1.09.06 AURORA at 1.10.06_04 07E Wild Horse Wind Expansion (C) (2)_Electric Rev Req Model (2009 GRC) Rebuttal REmoval of New  WH Solar AdjustMI 3" xfId="8592"/>
    <cellStyle name="_Power Cost Value Copy 11.30.05 gas 1.09.06 AURORA at 1.10.06_04 07E Wild Horse Wind Expansion (C) (2)_Electric Rev Req Model (2009 GRC) Rebuttal REmoval of New  WH Solar AdjustMI 3 2" xfId="8593"/>
    <cellStyle name="_Power Cost Value Copy 11.30.05 gas 1.09.06 AURORA at 1.10.06_04 07E Wild Horse Wind Expansion (C) (2)_Electric Rev Req Model (2009 GRC) Rebuttal REmoval of New  WH Solar AdjustMI 4" xfId="8594"/>
    <cellStyle name="_Power Cost Value Copy 11.30.05 gas 1.09.06 AURORA at 1.10.06_04 07E Wild Horse Wind Expansion (C) (2)_Electric Rev Req Model (2009 GRC) Rebuttal REmoval of New  WH Solar AdjustMI_DEM-WP(C) ENERG10C--ctn Mid-C_042010 2010GRC" xfId="8595"/>
    <cellStyle name="_Power Cost Value Copy 11.30.05 gas 1.09.06 AURORA at 1.10.06_04 07E Wild Horse Wind Expansion (C) (2)_Electric Rev Req Model (2009 GRC) Rebuttal REmoval of New  WH Solar AdjustMI_DEM-WP(C) ENERG10C--ctn Mid-C_042010 2010GRC 2" xfId="8596"/>
    <cellStyle name="_Power Cost Value Copy 11.30.05 gas 1.09.06 AURORA at 1.10.06_04 07E Wild Horse Wind Expansion (C) (2)_Electric Rev Req Model (2009 GRC) Revised 01-18-2010" xfId="8597"/>
    <cellStyle name="_Power Cost Value Copy 11.30.05 gas 1.09.06 AURORA at 1.10.06_04 07E Wild Horse Wind Expansion (C) (2)_Electric Rev Req Model (2009 GRC) Revised 01-18-2010 2" xfId="8598"/>
    <cellStyle name="_Power Cost Value Copy 11.30.05 gas 1.09.06 AURORA at 1.10.06_04 07E Wild Horse Wind Expansion (C) (2)_Electric Rev Req Model (2009 GRC) Revised 01-18-2010 2 2" xfId="8599"/>
    <cellStyle name="_Power Cost Value Copy 11.30.05 gas 1.09.06 AURORA at 1.10.06_04 07E Wild Horse Wind Expansion (C) (2)_Electric Rev Req Model (2009 GRC) Revised 01-18-2010 3" xfId="8600"/>
    <cellStyle name="_Power Cost Value Copy 11.30.05 gas 1.09.06 AURORA at 1.10.06_04 07E Wild Horse Wind Expansion (C) (2)_Electric Rev Req Model (2009 GRC) Revised 01-18-2010 3 2" xfId="8601"/>
    <cellStyle name="_Power Cost Value Copy 11.30.05 gas 1.09.06 AURORA at 1.10.06_04 07E Wild Horse Wind Expansion (C) (2)_Electric Rev Req Model (2009 GRC) Revised 01-18-2010 4" xfId="8602"/>
    <cellStyle name="_Power Cost Value Copy 11.30.05 gas 1.09.06 AURORA at 1.10.06_04 07E Wild Horse Wind Expansion (C) (2)_Electric Rev Req Model (2009 GRC) Revised 01-18-2010_DEM-WP(C) ENERG10C--ctn Mid-C_042010 2010GRC" xfId="8603"/>
    <cellStyle name="_Power Cost Value Copy 11.30.05 gas 1.09.06 AURORA at 1.10.06_04 07E Wild Horse Wind Expansion (C) (2)_Electric Rev Req Model (2009 GRC) Revised 01-18-2010_DEM-WP(C) ENERG10C--ctn Mid-C_042010 2010GRC 2" xfId="8604"/>
    <cellStyle name="_Power Cost Value Copy 11.30.05 gas 1.09.06 AURORA at 1.10.06_04 07E Wild Horse Wind Expansion (C) (2)_Electric Rev Req Model (2010 GRC)" xfId="8605"/>
    <cellStyle name="_Power Cost Value Copy 11.30.05 gas 1.09.06 AURORA at 1.10.06_04 07E Wild Horse Wind Expansion (C) (2)_Electric Rev Req Model (2010 GRC) 2" xfId="8606"/>
    <cellStyle name="_Power Cost Value Copy 11.30.05 gas 1.09.06 AURORA at 1.10.06_04 07E Wild Horse Wind Expansion (C) (2)_Electric Rev Req Model (2010 GRC) SF" xfId="8607"/>
    <cellStyle name="_Power Cost Value Copy 11.30.05 gas 1.09.06 AURORA at 1.10.06_04 07E Wild Horse Wind Expansion (C) (2)_Electric Rev Req Model (2010 GRC) SF 2" xfId="8608"/>
    <cellStyle name="_Power Cost Value Copy 11.30.05 gas 1.09.06 AURORA at 1.10.06_04 07E Wild Horse Wind Expansion (C) (2)_Final Order Electric EXHIBIT A-1" xfId="8609"/>
    <cellStyle name="_Power Cost Value Copy 11.30.05 gas 1.09.06 AURORA at 1.10.06_04 07E Wild Horse Wind Expansion (C) (2)_Final Order Electric EXHIBIT A-1 2" xfId="8610"/>
    <cellStyle name="_Power Cost Value Copy 11.30.05 gas 1.09.06 AURORA at 1.10.06_04 07E Wild Horse Wind Expansion (C) (2)_Final Order Electric EXHIBIT A-1 2 2" xfId="8611"/>
    <cellStyle name="_Power Cost Value Copy 11.30.05 gas 1.09.06 AURORA at 1.10.06_04 07E Wild Horse Wind Expansion (C) (2)_Final Order Electric EXHIBIT A-1 3" xfId="8612"/>
    <cellStyle name="_Power Cost Value Copy 11.30.05 gas 1.09.06 AURORA at 1.10.06_04 07E Wild Horse Wind Expansion (C) (2)_TENASKA REGULATORY ASSET" xfId="8613"/>
    <cellStyle name="_Power Cost Value Copy 11.30.05 gas 1.09.06 AURORA at 1.10.06_04 07E Wild Horse Wind Expansion (C) (2)_TENASKA REGULATORY ASSET 2" xfId="8614"/>
    <cellStyle name="_Power Cost Value Copy 11.30.05 gas 1.09.06 AURORA at 1.10.06_04 07E Wild Horse Wind Expansion (C) (2)_TENASKA REGULATORY ASSET 2 2" xfId="8615"/>
    <cellStyle name="_Power Cost Value Copy 11.30.05 gas 1.09.06 AURORA at 1.10.06_04 07E Wild Horse Wind Expansion (C) (2)_TENASKA REGULATORY ASSET 3" xfId="8616"/>
    <cellStyle name="_Power Cost Value Copy 11.30.05 gas 1.09.06 AURORA at 1.10.06_16.37E Wild Horse Expansion DeferralRevwrkingfile SF" xfId="8617"/>
    <cellStyle name="_Power Cost Value Copy 11.30.05 gas 1.09.06 AURORA at 1.10.06_16.37E Wild Horse Expansion DeferralRevwrkingfile SF 2" xfId="8618"/>
    <cellStyle name="_Power Cost Value Copy 11.30.05 gas 1.09.06 AURORA at 1.10.06_16.37E Wild Horse Expansion DeferralRevwrkingfile SF 2 2" xfId="8619"/>
    <cellStyle name="_Power Cost Value Copy 11.30.05 gas 1.09.06 AURORA at 1.10.06_16.37E Wild Horse Expansion DeferralRevwrkingfile SF 3" xfId="8620"/>
    <cellStyle name="_Power Cost Value Copy 11.30.05 gas 1.09.06 AURORA at 1.10.06_16.37E Wild Horse Expansion DeferralRevwrkingfile SF 3 2" xfId="8621"/>
    <cellStyle name="_Power Cost Value Copy 11.30.05 gas 1.09.06 AURORA at 1.10.06_16.37E Wild Horse Expansion DeferralRevwrkingfile SF 4" xfId="8622"/>
    <cellStyle name="_Power Cost Value Copy 11.30.05 gas 1.09.06 AURORA at 1.10.06_16.37E Wild Horse Expansion DeferralRevwrkingfile SF_DEM-WP(C) ENERG10C--ctn Mid-C_042010 2010GRC" xfId="8623"/>
    <cellStyle name="_Power Cost Value Copy 11.30.05 gas 1.09.06 AURORA at 1.10.06_16.37E Wild Horse Expansion DeferralRevwrkingfile SF_DEM-WP(C) ENERG10C--ctn Mid-C_042010 2010GRC 2" xfId="8624"/>
    <cellStyle name="_Power Cost Value Copy 11.30.05 gas 1.09.06 AURORA at 1.10.06_2009 Compliance Filing PCA Exhibits for GRC" xfId="8625"/>
    <cellStyle name="_Power Cost Value Copy 11.30.05 gas 1.09.06 AURORA at 1.10.06_2009 Compliance Filing PCA Exhibits for GRC 2" xfId="8626"/>
    <cellStyle name="_Power Cost Value Copy 11.30.05 gas 1.09.06 AURORA at 1.10.06_2009 Compliance Filing PCA Exhibits for GRC 2 2" xfId="8627"/>
    <cellStyle name="_Power Cost Value Copy 11.30.05 gas 1.09.06 AURORA at 1.10.06_2009 Compliance Filing PCA Exhibits for GRC 3" xfId="8628"/>
    <cellStyle name="_Power Cost Value Copy 11.30.05 gas 1.09.06 AURORA at 1.10.06_2009 GRC Compl Filing - Exhibit D" xfId="8629"/>
    <cellStyle name="_Power Cost Value Copy 11.30.05 gas 1.09.06 AURORA at 1.10.06_2009 GRC Compl Filing - Exhibit D 2" xfId="8630"/>
    <cellStyle name="_Power Cost Value Copy 11.30.05 gas 1.09.06 AURORA at 1.10.06_2009 GRC Compl Filing - Exhibit D 2 2" xfId="8631"/>
    <cellStyle name="_Power Cost Value Copy 11.30.05 gas 1.09.06 AURORA at 1.10.06_2009 GRC Compl Filing - Exhibit D 3" xfId="8632"/>
    <cellStyle name="_Power Cost Value Copy 11.30.05 gas 1.09.06 AURORA at 1.10.06_2009 GRC Compl Filing - Exhibit D 3 2" xfId="8633"/>
    <cellStyle name="_Power Cost Value Copy 11.30.05 gas 1.09.06 AURORA at 1.10.06_2009 GRC Compl Filing - Exhibit D 4" xfId="8634"/>
    <cellStyle name="_Power Cost Value Copy 11.30.05 gas 1.09.06 AURORA at 1.10.06_2009 GRC Compl Filing - Exhibit D_DEM-WP(C) ENERG10C--ctn Mid-C_042010 2010GRC" xfId="8635"/>
    <cellStyle name="_Power Cost Value Copy 11.30.05 gas 1.09.06 AURORA at 1.10.06_2009 GRC Compl Filing - Exhibit D_DEM-WP(C) ENERG10C--ctn Mid-C_042010 2010GRC 2" xfId="8636"/>
    <cellStyle name="_Power Cost Value Copy 11.30.05 gas 1.09.06 AURORA at 1.10.06_3.01 Income Statement" xfId="8637"/>
    <cellStyle name="_Power Cost Value Copy 11.30.05 gas 1.09.06 AURORA at 1.10.06_4 31 Regulatory Assets and Liabilities  7 06- Exhibit D" xfId="8638"/>
    <cellStyle name="_Power Cost Value Copy 11.30.05 gas 1.09.06 AURORA at 1.10.06_4 31 Regulatory Assets and Liabilities  7 06- Exhibit D 2" xfId="8639"/>
    <cellStyle name="_Power Cost Value Copy 11.30.05 gas 1.09.06 AURORA at 1.10.06_4 31 Regulatory Assets and Liabilities  7 06- Exhibit D 2 2" xfId="8640"/>
    <cellStyle name="_Power Cost Value Copy 11.30.05 gas 1.09.06 AURORA at 1.10.06_4 31 Regulatory Assets and Liabilities  7 06- Exhibit D 3" xfId="8641"/>
    <cellStyle name="_Power Cost Value Copy 11.30.05 gas 1.09.06 AURORA at 1.10.06_4 31 Regulatory Assets and Liabilities  7 06- Exhibit D 3 2" xfId="8642"/>
    <cellStyle name="_Power Cost Value Copy 11.30.05 gas 1.09.06 AURORA at 1.10.06_4 31 Regulatory Assets and Liabilities  7 06- Exhibit D 4" xfId="8643"/>
    <cellStyle name="_Power Cost Value Copy 11.30.05 gas 1.09.06 AURORA at 1.10.06_4 31 Regulatory Assets and Liabilities  7 06- Exhibit D_DEM-WP(C) ENERG10C--ctn Mid-C_042010 2010GRC" xfId="8644"/>
    <cellStyle name="_Power Cost Value Copy 11.30.05 gas 1.09.06 AURORA at 1.10.06_4 31 Regulatory Assets and Liabilities  7 06- Exhibit D_DEM-WP(C) ENERG10C--ctn Mid-C_042010 2010GRC 2" xfId="8645"/>
    <cellStyle name="_Power Cost Value Copy 11.30.05 gas 1.09.06 AURORA at 1.10.06_4 31 Regulatory Assets and Liabilities  7 06- Exhibit D_NIM Summary" xfId="8646"/>
    <cellStyle name="_Power Cost Value Copy 11.30.05 gas 1.09.06 AURORA at 1.10.06_4 31 Regulatory Assets and Liabilities  7 06- Exhibit D_NIM Summary 2" xfId="8647"/>
    <cellStyle name="_Power Cost Value Copy 11.30.05 gas 1.09.06 AURORA at 1.10.06_4 31 Regulatory Assets and Liabilities  7 06- Exhibit D_NIM Summary 2 2" xfId="8648"/>
    <cellStyle name="_Power Cost Value Copy 11.30.05 gas 1.09.06 AURORA at 1.10.06_4 31 Regulatory Assets and Liabilities  7 06- Exhibit D_NIM Summary 3" xfId="8649"/>
    <cellStyle name="_Power Cost Value Copy 11.30.05 gas 1.09.06 AURORA at 1.10.06_4 31 Regulatory Assets and Liabilities  7 06- Exhibit D_NIM Summary 3 2" xfId="8650"/>
    <cellStyle name="_Power Cost Value Copy 11.30.05 gas 1.09.06 AURORA at 1.10.06_4 31 Regulatory Assets and Liabilities  7 06- Exhibit D_NIM Summary 4" xfId="8651"/>
    <cellStyle name="_Power Cost Value Copy 11.30.05 gas 1.09.06 AURORA at 1.10.06_4 31 Regulatory Assets and Liabilities  7 06- Exhibit D_NIM Summary_DEM-WP(C) ENERG10C--ctn Mid-C_042010 2010GRC" xfId="8652"/>
    <cellStyle name="_Power Cost Value Copy 11.30.05 gas 1.09.06 AURORA at 1.10.06_4 31 Regulatory Assets and Liabilities  7 06- Exhibit D_NIM Summary_DEM-WP(C) ENERG10C--ctn Mid-C_042010 2010GRC 2" xfId="8653"/>
    <cellStyle name="_Power Cost Value Copy 11.30.05 gas 1.09.06 AURORA at 1.10.06_4 31E Reg Asset  Liab and EXH D" xfId="8654"/>
    <cellStyle name="_Power Cost Value Copy 11.30.05 gas 1.09.06 AURORA at 1.10.06_4 31E Reg Asset  Liab and EXH D _ Aug 10 Filing (2)" xfId="8655"/>
    <cellStyle name="_Power Cost Value Copy 11.30.05 gas 1.09.06 AURORA at 1.10.06_4 31E Reg Asset  Liab and EXH D _ Aug 10 Filing (2) 2" xfId="8656"/>
    <cellStyle name="_Power Cost Value Copy 11.30.05 gas 1.09.06 AURORA at 1.10.06_4 31E Reg Asset  Liab and EXH D 2" xfId="8657"/>
    <cellStyle name="_Power Cost Value Copy 11.30.05 gas 1.09.06 AURORA at 1.10.06_4 31E Reg Asset  Liab and EXH D 3" xfId="8658"/>
    <cellStyle name="_Power Cost Value Copy 11.30.05 gas 1.09.06 AURORA at 1.10.06_4 32 Regulatory Assets and Liabilities  7 06- Exhibit D" xfId="8659"/>
    <cellStyle name="_Power Cost Value Copy 11.30.05 gas 1.09.06 AURORA at 1.10.06_4 32 Regulatory Assets and Liabilities  7 06- Exhibit D 2" xfId="8660"/>
    <cellStyle name="_Power Cost Value Copy 11.30.05 gas 1.09.06 AURORA at 1.10.06_4 32 Regulatory Assets and Liabilities  7 06- Exhibit D 2 2" xfId="8661"/>
    <cellStyle name="_Power Cost Value Copy 11.30.05 gas 1.09.06 AURORA at 1.10.06_4 32 Regulatory Assets and Liabilities  7 06- Exhibit D 3" xfId="8662"/>
    <cellStyle name="_Power Cost Value Copy 11.30.05 gas 1.09.06 AURORA at 1.10.06_4 32 Regulatory Assets and Liabilities  7 06- Exhibit D 3 2" xfId="8663"/>
    <cellStyle name="_Power Cost Value Copy 11.30.05 gas 1.09.06 AURORA at 1.10.06_4 32 Regulatory Assets and Liabilities  7 06- Exhibit D 4" xfId="8664"/>
    <cellStyle name="_Power Cost Value Copy 11.30.05 gas 1.09.06 AURORA at 1.10.06_4 32 Regulatory Assets and Liabilities  7 06- Exhibit D_DEM-WP(C) ENERG10C--ctn Mid-C_042010 2010GRC" xfId="8665"/>
    <cellStyle name="_Power Cost Value Copy 11.30.05 gas 1.09.06 AURORA at 1.10.06_4 32 Regulatory Assets and Liabilities  7 06- Exhibit D_DEM-WP(C) ENERG10C--ctn Mid-C_042010 2010GRC 2" xfId="8666"/>
    <cellStyle name="_Power Cost Value Copy 11.30.05 gas 1.09.06 AURORA at 1.10.06_4 32 Regulatory Assets and Liabilities  7 06- Exhibit D_NIM Summary" xfId="8667"/>
    <cellStyle name="_Power Cost Value Copy 11.30.05 gas 1.09.06 AURORA at 1.10.06_4 32 Regulatory Assets and Liabilities  7 06- Exhibit D_NIM Summary 2" xfId="8668"/>
    <cellStyle name="_Power Cost Value Copy 11.30.05 gas 1.09.06 AURORA at 1.10.06_4 32 Regulatory Assets and Liabilities  7 06- Exhibit D_NIM Summary 2 2" xfId="8669"/>
    <cellStyle name="_Power Cost Value Copy 11.30.05 gas 1.09.06 AURORA at 1.10.06_4 32 Regulatory Assets and Liabilities  7 06- Exhibit D_NIM Summary 3" xfId="8670"/>
    <cellStyle name="_Power Cost Value Copy 11.30.05 gas 1.09.06 AURORA at 1.10.06_4 32 Regulatory Assets and Liabilities  7 06- Exhibit D_NIM Summary 3 2" xfId="8671"/>
    <cellStyle name="_Power Cost Value Copy 11.30.05 gas 1.09.06 AURORA at 1.10.06_4 32 Regulatory Assets and Liabilities  7 06- Exhibit D_NIM Summary 4" xfId="8672"/>
    <cellStyle name="_Power Cost Value Copy 11.30.05 gas 1.09.06 AURORA at 1.10.06_4 32 Regulatory Assets and Liabilities  7 06- Exhibit D_NIM Summary_DEM-WP(C) ENERG10C--ctn Mid-C_042010 2010GRC" xfId="8673"/>
    <cellStyle name="_Power Cost Value Copy 11.30.05 gas 1.09.06 AURORA at 1.10.06_4 32 Regulatory Assets and Liabilities  7 06- Exhibit D_NIM Summary_DEM-WP(C) ENERG10C--ctn Mid-C_042010 2010GRC 2" xfId="8674"/>
    <cellStyle name="_Power Cost Value Copy 11.30.05 gas 1.09.06 AURORA at 1.10.06_AURORA Total New" xfId="8675"/>
    <cellStyle name="_Power Cost Value Copy 11.30.05 gas 1.09.06 AURORA at 1.10.06_AURORA Total New 2" xfId="8676"/>
    <cellStyle name="_Power Cost Value Copy 11.30.05 gas 1.09.06 AURORA at 1.10.06_AURORA Total New 2 2" xfId="8677"/>
    <cellStyle name="_Power Cost Value Copy 11.30.05 gas 1.09.06 AURORA at 1.10.06_AURORA Total New 3" xfId="8678"/>
    <cellStyle name="_Power Cost Value Copy 11.30.05 gas 1.09.06 AURORA at 1.10.06_Book2" xfId="8679"/>
    <cellStyle name="_Power Cost Value Copy 11.30.05 gas 1.09.06 AURORA at 1.10.06_Book2 2" xfId="8680"/>
    <cellStyle name="_Power Cost Value Copy 11.30.05 gas 1.09.06 AURORA at 1.10.06_Book2 2 2" xfId="8681"/>
    <cellStyle name="_Power Cost Value Copy 11.30.05 gas 1.09.06 AURORA at 1.10.06_Book2 3" xfId="8682"/>
    <cellStyle name="_Power Cost Value Copy 11.30.05 gas 1.09.06 AURORA at 1.10.06_Book2 3 2" xfId="8683"/>
    <cellStyle name="_Power Cost Value Copy 11.30.05 gas 1.09.06 AURORA at 1.10.06_Book2 4" xfId="8684"/>
    <cellStyle name="_Power Cost Value Copy 11.30.05 gas 1.09.06 AURORA at 1.10.06_Book2_Adj Bench DR 3 for Initial Briefs (Electric)" xfId="8685"/>
    <cellStyle name="_Power Cost Value Copy 11.30.05 gas 1.09.06 AURORA at 1.10.06_Book2_Adj Bench DR 3 for Initial Briefs (Electric) 2" xfId="8686"/>
    <cellStyle name="_Power Cost Value Copy 11.30.05 gas 1.09.06 AURORA at 1.10.06_Book2_Adj Bench DR 3 for Initial Briefs (Electric) 2 2" xfId="8687"/>
    <cellStyle name="_Power Cost Value Copy 11.30.05 gas 1.09.06 AURORA at 1.10.06_Book2_Adj Bench DR 3 for Initial Briefs (Electric) 3" xfId="8688"/>
    <cellStyle name="_Power Cost Value Copy 11.30.05 gas 1.09.06 AURORA at 1.10.06_Book2_Adj Bench DR 3 for Initial Briefs (Electric) 3 2" xfId="8689"/>
    <cellStyle name="_Power Cost Value Copy 11.30.05 gas 1.09.06 AURORA at 1.10.06_Book2_Adj Bench DR 3 for Initial Briefs (Electric) 4" xfId="8690"/>
    <cellStyle name="_Power Cost Value Copy 11.30.05 gas 1.09.06 AURORA at 1.10.06_Book2_Adj Bench DR 3 for Initial Briefs (Electric)_DEM-WP(C) ENERG10C--ctn Mid-C_042010 2010GRC" xfId="8691"/>
    <cellStyle name="_Power Cost Value Copy 11.30.05 gas 1.09.06 AURORA at 1.10.06_Book2_Adj Bench DR 3 for Initial Briefs (Electric)_DEM-WP(C) ENERG10C--ctn Mid-C_042010 2010GRC 2" xfId="8692"/>
    <cellStyle name="_Power Cost Value Copy 11.30.05 gas 1.09.06 AURORA at 1.10.06_Book2_DEM-WP(C) ENERG10C--ctn Mid-C_042010 2010GRC" xfId="8693"/>
    <cellStyle name="_Power Cost Value Copy 11.30.05 gas 1.09.06 AURORA at 1.10.06_Book2_DEM-WP(C) ENERG10C--ctn Mid-C_042010 2010GRC 2" xfId="8694"/>
    <cellStyle name="_Power Cost Value Copy 11.30.05 gas 1.09.06 AURORA at 1.10.06_Book2_Electric Rev Req Model (2009 GRC) Rebuttal" xfId="8695"/>
    <cellStyle name="_Power Cost Value Copy 11.30.05 gas 1.09.06 AURORA at 1.10.06_Book2_Electric Rev Req Model (2009 GRC) Rebuttal 2" xfId="8696"/>
    <cellStyle name="_Power Cost Value Copy 11.30.05 gas 1.09.06 AURORA at 1.10.06_Book2_Electric Rev Req Model (2009 GRC) Rebuttal 2 2" xfId="8697"/>
    <cellStyle name="_Power Cost Value Copy 11.30.05 gas 1.09.06 AURORA at 1.10.06_Book2_Electric Rev Req Model (2009 GRC) Rebuttal 3" xfId="8698"/>
    <cellStyle name="_Power Cost Value Copy 11.30.05 gas 1.09.06 AURORA at 1.10.06_Book2_Electric Rev Req Model (2009 GRC) Rebuttal REmoval of New  WH Solar AdjustMI" xfId="8699"/>
    <cellStyle name="_Power Cost Value Copy 11.30.05 gas 1.09.06 AURORA at 1.10.06_Book2_Electric Rev Req Model (2009 GRC) Rebuttal REmoval of New  WH Solar AdjustMI 2" xfId="8700"/>
    <cellStyle name="_Power Cost Value Copy 11.30.05 gas 1.09.06 AURORA at 1.10.06_Book2_Electric Rev Req Model (2009 GRC) Rebuttal REmoval of New  WH Solar AdjustMI 2 2" xfId="8701"/>
    <cellStyle name="_Power Cost Value Copy 11.30.05 gas 1.09.06 AURORA at 1.10.06_Book2_Electric Rev Req Model (2009 GRC) Rebuttal REmoval of New  WH Solar AdjustMI 3" xfId="8702"/>
    <cellStyle name="_Power Cost Value Copy 11.30.05 gas 1.09.06 AURORA at 1.10.06_Book2_Electric Rev Req Model (2009 GRC) Rebuttal REmoval of New  WH Solar AdjustMI 3 2" xfId="8703"/>
    <cellStyle name="_Power Cost Value Copy 11.30.05 gas 1.09.06 AURORA at 1.10.06_Book2_Electric Rev Req Model (2009 GRC) Rebuttal REmoval of New  WH Solar AdjustMI 4" xfId="8704"/>
    <cellStyle name="_Power Cost Value Copy 11.30.05 gas 1.09.06 AURORA at 1.10.06_Book2_Electric Rev Req Model (2009 GRC) Rebuttal REmoval of New  WH Solar AdjustMI_DEM-WP(C) ENERG10C--ctn Mid-C_042010 2010GRC" xfId="8705"/>
    <cellStyle name="_Power Cost Value Copy 11.30.05 gas 1.09.06 AURORA at 1.10.06_Book2_Electric Rev Req Model (2009 GRC) Rebuttal REmoval of New  WH Solar AdjustMI_DEM-WP(C) ENERG10C--ctn Mid-C_042010 2010GRC 2" xfId="8706"/>
    <cellStyle name="_Power Cost Value Copy 11.30.05 gas 1.09.06 AURORA at 1.10.06_Book2_Electric Rev Req Model (2009 GRC) Revised 01-18-2010" xfId="8707"/>
    <cellStyle name="_Power Cost Value Copy 11.30.05 gas 1.09.06 AURORA at 1.10.06_Book2_Electric Rev Req Model (2009 GRC) Revised 01-18-2010 2" xfId="8708"/>
    <cellStyle name="_Power Cost Value Copy 11.30.05 gas 1.09.06 AURORA at 1.10.06_Book2_Electric Rev Req Model (2009 GRC) Revised 01-18-2010 2 2" xfId="8709"/>
    <cellStyle name="_Power Cost Value Copy 11.30.05 gas 1.09.06 AURORA at 1.10.06_Book2_Electric Rev Req Model (2009 GRC) Revised 01-18-2010 3" xfId="8710"/>
    <cellStyle name="_Power Cost Value Copy 11.30.05 gas 1.09.06 AURORA at 1.10.06_Book2_Electric Rev Req Model (2009 GRC) Revised 01-18-2010 3 2" xfId="8711"/>
    <cellStyle name="_Power Cost Value Copy 11.30.05 gas 1.09.06 AURORA at 1.10.06_Book2_Electric Rev Req Model (2009 GRC) Revised 01-18-2010 4" xfId="8712"/>
    <cellStyle name="_Power Cost Value Copy 11.30.05 gas 1.09.06 AURORA at 1.10.06_Book2_Electric Rev Req Model (2009 GRC) Revised 01-18-2010_DEM-WP(C) ENERG10C--ctn Mid-C_042010 2010GRC" xfId="8713"/>
    <cellStyle name="_Power Cost Value Copy 11.30.05 gas 1.09.06 AURORA at 1.10.06_Book2_Electric Rev Req Model (2009 GRC) Revised 01-18-2010_DEM-WP(C) ENERG10C--ctn Mid-C_042010 2010GRC 2" xfId="8714"/>
    <cellStyle name="_Power Cost Value Copy 11.30.05 gas 1.09.06 AURORA at 1.10.06_Book2_Final Order Electric EXHIBIT A-1" xfId="8715"/>
    <cellStyle name="_Power Cost Value Copy 11.30.05 gas 1.09.06 AURORA at 1.10.06_Book2_Final Order Electric EXHIBIT A-1 2" xfId="8716"/>
    <cellStyle name="_Power Cost Value Copy 11.30.05 gas 1.09.06 AURORA at 1.10.06_Book2_Final Order Electric EXHIBIT A-1 2 2" xfId="8717"/>
    <cellStyle name="_Power Cost Value Copy 11.30.05 gas 1.09.06 AURORA at 1.10.06_Book2_Final Order Electric EXHIBIT A-1 3" xfId="8718"/>
    <cellStyle name="_Power Cost Value Copy 11.30.05 gas 1.09.06 AURORA at 1.10.06_Book4" xfId="8719"/>
    <cellStyle name="_Power Cost Value Copy 11.30.05 gas 1.09.06 AURORA at 1.10.06_Book4 2" xfId="8720"/>
    <cellStyle name="_Power Cost Value Copy 11.30.05 gas 1.09.06 AURORA at 1.10.06_Book4 2 2" xfId="8721"/>
    <cellStyle name="_Power Cost Value Copy 11.30.05 gas 1.09.06 AURORA at 1.10.06_Book4 3" xfId="8722"/>
    <cellStyle name="_Power Cost Value Copy 11.30.05 gas 1.09.06 AURORA at 1.10.06_Book4 3 2" xfId="8723"/>
    <cellStyle name="_Power Cost Value Copy 11.30.05 gas 1.09.06 AURORA at 1.10.06_Book4 4" xfId="8724"/>
    <cellStyle name="_Power Cost Value Copy 11.30.05 gas 1.09.06 AURORA at 1.10.06_Book4_DEM-WP(C) ENERG10C--ctn Mid-C_042010 2010GRC" xfId="8725"/>
    <cellStyle name="_Power Cost Value Copy 11.30.05 gas 1.09.06 AURORA at 1.10.06_Book4_DEM-WP(C) ENERG10C--ctn Mid-C_042010 2010GRC 2" xfId="8726"/>
    <cellStyle name="_Power Cost Value Copy 11.30.05 gas 1.09.06 AURORA at 1.10.06_Book9" xfId="8727"/>
    <cellStyle name="_Power Cost Value Copy 11.30.05 gas 1.09.06 AURORA at 1.10.06_Book9 2" xfId="8728"/>
    <cellStyle name="_Power Cost Value Copy 11.30.05 gas 1.09.06 AURORA at 1.10.06_Book9 2 2" xfId="8729"/>
    <cellStyle name="_Power Cost Value Copy 11.30.05 gas 1.09.06 AURORA at 1.10.06_Book9 3" xfId="8730"/>
    <cellStyle name="_Power Cost Value Copy 11.30.05 gas 1.09.06 AURORA at 1.10.06_Book9 3 2" xfId="8731"/>
    <cellStyle name="_Power Cost Value Copy 11.30.05 gas 1.09.06 AURORA at 1.10.06_Book9 4" xfId="8732"/>
    <cellStyle name="_Power Cost Value Copy 11.30.05 gas 1.09.06 AURORA at 1.10.06_Book9_DEM-WP(C) ENERG10C--ctn Mid-C_042010 2010GRC" xfId="8733"/>
    <cellStyle name="_Power Cost Value Copy 11.30.05 gas 1.09.06 AURORA at 1.10.06_Book9_DEM-WP(C) ENERG10C--ctn Mid-C_042010 2010GRC 2" xfId="8734"/>
    <cellStyle name="_Power Cost Value Copy 11.30.05 gas 1.09.06 AURORA at 1.10.06_Check the Interest Calculation" xfId="8735"/>
    <cellStyle name="_Power Cost Value Copy 11.30.05 gas 1.09.06 AURORA at 1.10.06_Check the Interest Calculation 2" xfId="8736"/>
    <cellStyle name="_Power Cost Value Copy 11.30.05 gas 1.09.06 AURORA at 1.10.06_Check the Interest Calculation_Scenario 1 REC vs PTC Offset" xfId="8737"/>
    <cellStyle name="_Power Cost Value Copy 11.30.05 gas 1.09.06 AURORA at 1.10.06_Check the Interest Calculation_Scenario 1 REC vs PTC Offset 2" xfId="8738"/>
    <cellStyle name="_Power Cost Value Copy 11.30.05 gas 1.09.06 AURORA at 1.10.06_Check the Interest Calculation_Scenario 3" xfId="8739"/>
    <cellStyle name="_Power Cost Value Copy 11.30.05 gas 1.09.06 AURORA at 1.10.06_Check the Interest Calculation_Scenario 3 2" xfId="8740"/>
    <cellStyle name="_Power Cost Value Copy 11.30.05 gas 1.09.06 AURORA at 1.10.06_Chelan PUD Power Costs (8-10)" xfId="8741"/>
    <cellStyle name="_Power Cost Value Copy 11.30.05 gas 1.09.06 AURORA at 1.10.06_Chelan PUD Power Costs (8-10) 2" xfId="8742"/>
    <cellStyle name="_Power Cost Value Copy 11.30.05 gas 1.09.06 AURORA at 1.10.06_DEM-WP(C) Chelan Power Costs" xfId="8743"/>
    <cellStyle name="_Power Cost Value Copy 11.30.05 gas 1.09.06 AURORA at 1.10.06_DEM-WP(C) Chelan Power Costs 2" xfId="8744"/>
    <cellStyle name="_Power Cost Value Copy 11.30.05 gas 1.09.06 AURORA at 1.10.06_DEM-WP(C) ENERG10C--ctn Mid-C_042010 2010GRC" xfId="8745"/>
    <cellStyle name="_Power Cost Value Copy 11.30.05 gas 1.09.06 AURORA at 1.10.06_DEM-WP(C) ENERG10C--ctn Mid-C_042010 2010GRC 2" xfId="8746"/>
    <cellStyle name="_Power Cost Value Copy 11.30.05 gas 1.09.06 AURORA at 1.10.06_DEM-WP(C) Gas Transport 2010GRC" xfId="8747"/>
    <cellStyle name="_Power Cost Value Copy 11.30.05 gas 1.09.06 AURORA at 1.10.06_DEM-WP(C) Gas Transport 2010GRC 2" xfId="8748"/>
    <cellStyle name="_Power Cost Value Copy 11.30.05 gas 1.09.06 AURORA at 1.10.06_Exh A-1 resulting from UE-112050 effective Jan 1 2012" xfId="8749"/>
    <cellStyle name="_Power Cost Value Copy 11.30.05 gas 1.09.06 AURORA at 1.10.06_Exh A-1 resulting from UE-112050 effective Jan 1 2012 2" xfId="8750"/>
    <cellStyle name="_Power Cost Value Copy 11.30.05 gas 1.09.06 AURORA at 1.10.06_Exh G - Klamath Peaker PPA fr C Locke 2-12" xfId="8751"/>
    <cellStyle name="_Power Cost Value Copy 11.30.05 gas 1.09.06 AURORA at 1.10.06_Exh G - Klamath Peaker PPA fr C Locke 2-12 2" xfId="8752"/>
    <cellStyle name="_Power Cost Value Copy 11.30.05 gas 1.09.06 AURORA at 1.10.06_Exhibit A-1 effective 4-1-11 fr S Free 12-11" xfId="8753"/>
    <cellStyle name="_Power Cost Value Copy 11.30.05 gas 1.09.06 AURORA at 1.10.06_Exhibit A-1 effective 4-1-11 fr S Free 12-11 2" xfId="8754"/>
    <cellStyle name="_Power Cost Value Copy 11.30.05 gas 1.09.06 AURORA at 1.10.06_Exhibit D fr R Gho 12-31-08" xfId="8755"/>
    <cellStyle name="_Power Cost Value Copy 11.30.05 gas 1.09.06 AURORA at 1.10.06_Exhibit D fr R Gho 12-31-08 2" xfId="8756"/>
    <cellStyle name="_Power Cost Value Copy 11.30.05 gas 1.09.06 AURORA at 1.10.06_Exhibit D fr R Gho 12-31-08 2 2" xfId="8757"/>
    <cellStyle name="_Power Cost Value Copy 11.30.05 gas 1.09.06 AURORA at 1.10.06_Exhibit D fr R Gho 12-31-08 3" xfId="8758"/>
    <cellStyle name="_Power Cost Value Copy 11.30.05 gas 1.09.06 AURORA at 1.10.06_Exhibit D fr R Gho 12-31-08 3 2" xfId="8759"/>
    <cellStyle name="_Power Cost Value Copy 11.30.05 gas 1.09.06 AURORA at 1.10.06_Exhibit D fr R Gho 12-31-08 4" xfId="8760"/>
    <cellStyle name="_Power Cost Value Copy 11.30.05 gas 1.09.06 AURORA at 1.10.06_Exhibit D fr R Gho 12-31-08 v2" xfId="8761"/>
    <cellStyle name="_Power Cost Value Copy 11.30.05 gas 1.09.06 AURORA at 1.10.06_Exhibit D fr R Gho 12-31-08 v2 2" xfId="8762"/>
    <cellStyle name="_Power Cost Value Copy 11.30.05 gas 1.09.06 AURORA at 1.10.06_Exhibit D fr R Gho 12-31-08 v2 2 2" xfId="8763"/>
    <cellStyle name="_Power Cost Value Copy 11.30.05 gas 1.09.06 AURORA at 1.10.06_Exhibit D fr R Gho 12-31-08 v2 3" xfId="8764"/>
    <cellStyle name="_Power Cost Value Copy 11.30.05 gas 1.09.06 AURORA at 1.10.06_Exhibit D fr R Gho 12-31-08 v2 3 2" xfId="8765"/>
    <cellStyle name="_Power Cost Value Copy 11.30.05 gas 1.09.06 AURORA at 1.10.06_Exhibit D fr R Gho 12-31-08 v2 4" xfId="8766"/>
    <cellStyle name="_Power Cost Value Copy 11.30.05 gas 1.09.06 AURORA at 1.10.06_Exhibit D fr R Gho 12-31-08 v2_DEM-WP(C) ENERG10C--ctn Mid-C_042010 2010GRC" xfId="8767"/>
    <cellStyle name="_Power Cost Value Copy 11.30.05 gas 1.09.06 AURORA at 1.10.06_Exhibit D fr R Gho 12-31-08 v2_DEM-WP(C) ENERG10C--ctn Mid-C_042010 2010GRC 2" xfId="8768"/>
    <cellStyle name="_Power Cost Value Copy 11.30.05 gas 1.09.06 AURORA at 1.10.06_Exhibit D fr R Gho 12-31-08 v2_NIM Summary" xfId="8769"/>
    <cellStyle name="_Power Cost Value Copy 11.30.05 gas 1.09.06 AURORA at 1.10.06_Exhibit D fr R Gho 12-31-08 v2_NIM Summary 2" xfId="8770"/>
    <cellStyle name="_Power Cost Value Copy 11.30.05 gas 1.09.06 AURORA at 1.10.06_Exhibit D fr R Gho 12-31-08 v2_NIM Summary 2 2" xfId="8771"/>
    <cellStyle name="_Power Cost Value Copy 11.30.05 gas 1.09.06 AURORA at 1.10.06_Exhibit D fr R Gho 12-31-08 v2_NIM Summary 3" xfId="8772"/>
    <cellStyle name="_Power Cost Value Copy 11.30.05 gas 1.09.06 AURORA at 1.10.06_Exhibit D fr R Gho 12-31-08 v2_NIM Summary 3 2" xfId="8773"/>
    <cellStyle name="_Power Cost Value Copy 11.30.05 gas 1.09.06 AURORA at 1.10.06_Exhibit D fr R Gho 12-31-08 v2_NIM Summary 4" xfId="8774"/>
    <cellStyle name="_Power Cost Value Copy 11.30.05 gas 1.09.06 AURORA at 1.10.06_Exhibit D fr R Gho 12-31-08 v2_NIM Summary_DEM-WP(C) ENERG10C--ctn Mid-C_042010 2010GRC" xfId="8775"/>
    <cellStyle name="_Power Cost Value Copy 11.30.05 gas 1.09.06 AURORA at 1.10.06_Exhibit D fr R Gho 12-31-08 v2_NIM Summary_DEM-WP(C) ENERG10C--ctn Mid-C_042010 2010GRC 2" xfId="8776"/>
    <cellStyle name="_Power Cost Value Copy 11.30.05 gas 1.09.06 AURORA at 1.10.06_Exhibit D fr R Gho 12-31-08_DEM-WP(C) ENERG10C--ctn Mid-C_042010 2010GRC" xfId="8777"/>
    <cellStyle name="_Power Cost Value Copy 11.30.05 gas 1.09.06 AURORA at 1.10.06_Exhibit D fr R Gho 12-31-08_DEM-WP(C) ENERG10C--ctn Mid-C_042010 2010GRC 2" xfId="8778"/>
    <cellStyle name="_Power Cost Value Copy 11.30.05 gas 1.09.06 AURORA at 1.10.06_Exhibit D fr R Gho 12-31-08_NIM Summary" xfId="8779"/>
    <cellStyle name="_Power Cost Value Copy 11.30.05 gas 1.09.06 AURORA at 1.10.06_Exhibit D fr R Gho 12-31-08_NIM Summary 2" xfId="8780"/>
    <cellStyle name="_Power Cost Value Copy 11.30.05 gas 1.09.06 AURORA at 1.10.06_Exhibit D fr R Gho 12-31-08_NIM Summary 2 2" xfId="8781"/>
    <cellStyle name="_Power Cost Value Copy 11.30.05 gas 1.09.06 AURORA at 1.10.06_Exhibit D fr R Gho 12-31-08_NIM Summary 3" xfId="8782"/>
    <cellStyle name="_Power Cost Value Copy 11.30.05 gas 1.09.06 AURORA at 1.10.06_Exhibit D fr R Gho 12-31-08_NIM Summary 3 2" xfId="8783"/>
    <cellStyle name="_Power Cost Value Copy 11.30.05 gas 1.09.06 AURORA at 1.10.06_Exhibit D fr R Gho 12-31-08_NIM Summary 4" xfId="8784"/>
    <cellStyle name="_Power Cost Value Copy 11.30.05 gas 1.09.06 AURORA at 1.10.06_Exhibit D fr R Gho 12-31-08_NIM Summary_DEM-WP(C) ENERG10C--ctn Mid-C_042010 2010GRC" xfId="8785"/>
    <cellStyle name="_Power Cost Value Copy 11.30.05 gas 1.09.06 AURORA at 1.10.06_Exhibit D fr R Gho 12-31-08_NIM Summary_DEM-WP(C) ENERG10C--ctn Mid-C_042010 2010GRC 2" xfId="8786"/>
    <cellStyle name="_Power Cost Value Copy 11.30.05 gas 1.09.06 AURORA at 1.10.06_Hopkins Ridge Prepaid Tran - Interest Earned RY 12ME Feb  '11" xfId="8787"/>
    <cellStyle name="_Power Cost Value Copy 11.30.05 gas 1.09.06 AURORA at 1.10.06_Hopkins Ridge Prepaid Tran - Interest Earned RY 12ME Feb  '11 2" xfId="8788"/>
    <cellStyle name="_Power Cost Value Copy 11.30.05 gas 1.09.06 AURORA at 1.10.06_Hopkins Ridge Prepaid Tran - Interest Earned RY 12ME Feb  '11 2 2" xfId="8789"/>
    <cellStyle name="_Power Cost Value Copy 11.30.05 gas 1.09.06 AURORA at 1.10.06_Hopkins Ridge Prepaid Tran - Interest Earned RY 12ME Feb  '11 3" xfId="8790"/>
    <cellStyle name="_Power Cost Value Copy 11.30.05 gas 1.09.06 AURORA at 1.10.06_Hopkins Ridge Prepaid Tran - Interest Earned RY 12ME Feb  '11 3 2" xfId="8791"/>
    <cellStyle name="_Power Cost Value Copy 11.30.05 gas 1.09.06 AURORA at 1.10.06_Hopkins Ridge Prepaid Tran - Interest Earned RY 12ME Feb  '11 4" xfId="8792"/>
    <cellStyle name="_Power Cost Value Copy 11.30.05 gas 1.09.06 AURORA at 1.10.06_Hopkins Ridge Prepaid Tran - Interest Earned RY 12ME Feb  '11_DEM-WP(C) ENERG10C--ctn Mid-C_042010 2010GRC" xfId="8793"/>
    <cellStyle name="_Power Cost Value Copy 11.30.05 gas 1.09.06 AURORA at 1.10.06_Hopkins Ridge Prepaid Tran - Interest Earned RY 12ME Feb  '11_DEM-WP(C) ENERG10C--ctn Mid-C_042010 2010GRC 2" xfId="8794"/>
    <cellStyle name="_Power Cost Value Copy 11.30.05 gas 1.09.06 AURORA at 1.10.06_Hopkins Ridge Prepaid Tran - Interest Earned RY 12ME Feb  '11_NIM Summary" xfId="8795"/>
    <cellStyle name="_Power Cost Value Copy 11.30.05 gas 1.09.06 AURORA at 1.10.06_Hopkins Ridge Prepaid Tran - Interest Earned RY 12ME Feb  '11_NIM Summary 2" xfId="8796"/>
    <cellStyle name="_Power Cost Value Copy 11.30.05 gas 1.09.06 AURORA at 1.10.06_Hopkins Ridge Prepaid Tran - Interest Earned RY 12ME Feb  '11_NIM Summary 2 2" xfId="8797"/>
    <cellStyle name="_Power Cost Value Copy 11.30.05 gas 1.09.06 AURORA at 1.10.06_Hopkins Ridge Prepaid Tran - Interest Earned RY 12ME Feb  '11_NIM Summary 3" xfId="8798"/>
    <cellStyle name="_Power Cost Value Copy 11.30.05 gas 1.09.06 AURORA at 1.10.06_Hopkins Ridge Prepaid Tran - Interest Earned RY 12ME Feb  '11_NIM Summary 3 2" xfId="8799"/>
    <cellStyle name="_Power Cost Value Copy 11.30.05 gas 1.09.06 AURORA at 1.10.06_Hopkins Ridge Prepaid Tran - Interest Earned RY 12ME Feb  '11_NIM Summary 4" xfId="8800"/>
    <cellStyle name="_Power Cost Value Copy 11.30.05 gas 1.09.06 AURORA at 1.10.06_Hopkins Ridge Prepaid Tran - Interest Earned RY 12ME Feb  '11_NIM Summary_DEM-WP(C) ENERG10C--ctn Mid-C_042010 2010GRC" xfId="8801"/>
    <cellStyle name="_Power Cost Value Copy 11.30.05 gas 1.09.06 AURORA at 1.10.06_Hopkins Ridge Prepaid Tran - Interest Earned RY 12ME Feb  '11_NIM Summary_DEM-WP(C) ENERG10C--ctn Mid-C_042010 2010GRC 2" xfId="8802"/>
    <cellStyle name="_Power Cost Value Copy 11.30.05 gas 1.09.06 AURORA at 1.10.06_Hopkins Ridge Prepaid Tran - Interest Earned RY 12ME Feb  '11_Transmission Workbook for May BOD" xfId="8803"/>
    <cellStyle name="_Power Cost Value Copy 11.30.05 gas 1.09.06 AURORA at 1.10.06_Hopkins Ridge Prepaid Tran - Interest Earned RY 12ME Feb  '11_Transmission Workbook for May BOD 2" xfId="8804"/>
    <cellStyle name="_Power Cost Value Copy 11.30.05 gas 1.09.06 AURORA at 1.10.06_Hopkins Ridge Prepaid Tran - Interest Earned RY 12ME Feb  '11_Transmission Workbook for May BOD 2 2" xfId="8805"/>
    <cellStyle name="_Power Cost Value Copy 11.30.05 gas 1.09.06 AURORA at 1.10.06_Hopkins Ridge Prepaid Tran - Interest Earned RY 12ME Feb  '11_Transmission Workbook for May BOD 3" xfId="8806"/>
    <cellStyle name="_Power Cost Value Copy 11.30.05 gas 1.09.06 AURORA at 1.10.06_Hopkins Ridge Prepaid Tran - Interest Earned RY 12ME Feb  '11_Transmission Workbook for May BOD 3 2" xfId="8807"/>
    <cellStyle name="_Power Cost Value Copy 11.30.05 gas 1.09.06 AURORA at 1.10.06_Hopkins Ridge Prepaid Tran - Interest Earned RY 12ME Feb  '11_Transmission Workbook for May BOD 4" xfId="8808"/>
    <cellStyle name="_Power Cost Value Copy 11.30.05 gas 1.09.06 AURORA at 1.10.06_Hopkins Ridge Prepaid Tran - Interest Earned RY 12ME Feb  '11_Transmission Workbook for May BOD_DEM-WP(C) ENERG10C--ctn Mid-C_042010 2010GRC" xfId="8809"/>
    <cellStyle name="_Power Cost Value Copy 11.30.05 gas 1.09.06 AURORA at 1.10.06_Hopkins Ridge Prepaid Tran - Interest Earned RY 12ME Feb  '11_Transmission Workbook for May BOD_DEM-WP(C) ENERG10C--ctn Mid-C_042010 2010GRC 2" xfId="8810"/>
    <cellStyle name="_Power Cost Value Copy 11.30.05 gas 1.09.06 AURORA at 1.10.06_Mint Farm Generation BPA" xfId="8811"/>
    <cellStyle name="_Power Cost Value Copy 11.30.05 gas 1.09.06 AURORA at 1.10.06_NIM Summary" xfId="8812"/>
    <cellStyle name="_Power Cost Value Copy 11.30.05 gas 1.09.06 AURORA at 1.10.06_NIM Summary 09GRC" xfId="8813"/>
    <cellStyle name="_Power Cost Value Copy 11.30.05 gas 1.09.06 AURORA at 1.10.06_NIM Summary 09GRC 2" xfId="8814"/>
    <cellStyle name="_Power Cost Value Copy 11.30.05 gas 1.09.06 AURORA at 1.10.06_NIM Summary 09GRC 2 2" xfId="8815"/>
    <cellStyle name="_Power Cost Value Copy 11.30.05 gas 1.09.06 AURORA at 1.10.06_NIM Summary 09GRC 3" xfId="8816"/>
    <cellStyle name="_Power Cost Value Copy 11.30.05 gas 1.09.06 AURORA at 1.10.06_NIM Summary 09GRC 3 2" xfId="8817"/>
    <cellStyle name="_Power Cost Value Copy 11.30.05 gas 1.09.06 AURORA at 1.10.06_NIM Summary 09GRC 4" xfId="8818"/>
    <cellStyle name="_Power Cost Value Copy 11.30.05 gas 1.09.06 AURORA at 1.10.06_NIM Summary 09GRC_DEM-WP(C) ENERG10C--ctn Mid-C_042010 2010GRC" xfId="8819"/>
    <cellStyle name="_Power Cost Value Copy 11.30.05 gas 1.09.06 AURORA at 1.10.06_NIM Summary 09GRC_DEM-WP(C) ENERG10C--ctn Mid-C_042010 2010GRC 2" xfId="8820"/>
    <cellStyle name="_Power Cost Value Copy 11.30.05 gas 1.09.06 AURORA at 1.10.06_NIM Summary 10" xfId="8821"/>
    <cellStyle name="_Power Cost Value Copy 11.30.05 gas 1.09.06 AURORA at 1.10.06_NIM Summary 10 2" xfId="8822"/>
    <cellStyle name="_Power Cost Value Copy 11.30.05 gas 1.09.06 AURORA at 1.10.06_NIM Summary 11" xfId="8823"/>
    <cellStyle name="_Power Cost Value Copy 11.30.05 gas 1.09.06 AURORA at 1.10.06_NIM Summary 11 2" xfId="8824"/>
    <cellStyle name="_Power Cost Value Copy 11.30.05 gas 1.09.06 AURORA at 1.10.06_NIM Summary 12" xfId="8825"/>
    <cellStyle name="_Power Cost Value Copy 11.30.05 gas 1.09.06 AURORA at 1.10.06_NIM Summary 12 2" xfId="8826"/>
    <cellStyle name="_Power Cost Value Copy 11.30.05 gas 1.09.06 AURORA at 1.10.06_NIM Summary 13" xfId="8827"/>
    <cellStyle name="_Power Cost Value Copy 11.30.05 gas 1.09.06 AURORA at 1.10.06_NIM Summary 13 2" xfId="8828"/>
    <cellStyle name="_Power Cost Value Copy 11.30.05 gas 1.09.06 AURORA at 1.10.06_NIM Summary 14" xfId="8829"/>
    <cellStyle name="_Power Cost Value Copy 11.30.05 gas 1.09.06 AURORA at 1.10.06_NIM Summary 14 2" xfId="8830"/>
    <cellStyle name="_Power Cost Value Copy 11.30.05 gas 1.09.06 AURORA at 1.10.06_NIM Summary 15" xfId="8831"/>
    <cellStyle name="_Power Cost Value Copy 11.30.05 gas 1.09.06 AURORA at 1.10.06_NIM Summary 15 2" xfId="8832"/>
    <cellStyle name="_Power Cost Value Copy 11.30.05 gas 1.09.06 AURORA at 1.10.06_NIM Summary 16" xfId="8833"/>
    <cellStyle name="_Power Cost Value Copy 11.30.05 gas 1.09.06 AURORA at 1.10.06_NIM Summary 16 2" xfId="8834"/>
    <cellStyle name="_Power Cost Value Copy 11.30.05 gas 1.09.06 AURORA at 1.10.06_NIM Summary 17" xfId="8835"/>
    <cellStyle name="_Power Cost Value Copy 11.30.05 gas 1.09.06 AURORA at 1.10.06_NIM Summary 17 2" xfId="8836"/>
    <cellStyle name="_Power Cost Value Copy 11.30.05 gas 1.09.06 AURORA at 1.10.06_NIM Summary 18" xfId="8837"/>
    <cellStyle name="_Power Cost Value Copy 11.30.05 gas 1.09.06 AURORA at 1.10.06_NIM Summary 18 2" xfId="8838"/>
    <cellStyle name="_Power Cost Value Copy 11.30.05 gas 1.09.06 AURORA at 1.10.06_NIM Summary 19" xfId="8839"/>
    <cellStyle name="_Power Cost Value Copy 11.30.05 gas 1.09.06 AURORA at 1.10.06_NIM Summary 19 2" xfId="8840"/>
    <cellStyle name="_Power Cost Value Copy 11.30.05 gas 1.09.06 AURORA at 1.10.06_NIM Summary 2" xfId="8841"/>
    <cellStyle name="_Power Cost Value Copy 11.30.05 gas 1.09.06 AURORA at 1.10.06_NIM Summary 2 2" xfId="8842"/>
    <cellStyle name="_Power Cost Value Copy 11.30.05 gas 1.09.06 AURORA at 1.10.06_NIM Summary 20" xfId="8843"/>
    <cellStyle name="_Power Cost Value Copy 11.30.05 gas 1.09.06 AURORA at 1.10.06_NIM Summary 20 2" xfId="8844"/>
    <cellStyle name="_Power Cost Value Copy 11.30.05 gas 1.09.06 AURORA at 1.10.06_NIM Summary 21" xfId="8845"/>
    <cellStyle name="_Power Cost Value Copy 11.30.05 gas 1.09.06 AURORA at 1.10.06_NIM Summary 21 2" xfId="8846"/>
    <cellStyle name="_Power Cost Value Copy 11.30.05 gas 1.09.06 AURORA at 1.10.06_NIM Summary 22" xfId="8847"/>
    <cellStyle name="_Power Cost Value Copy 11.30.05 gas 1.09.06 AURORA at 1.10.06_NIM Summary 22 2" xfId="8848"/>
    <cellStyle name="_Power Cost Value Copy 11.30.05 gas 1.09.06 AURORA at 1.10.06_NIM Summary 23" xfId="8849"/>
    <cellStyle name="_Power Cost Value Copy 11.30.05 gas 1.09.06 AURORA at 1.10.06_NIM Summary 23 2" xfId="8850"/>
    <cellStyle name="_Power Cost Value Copy 11.30.05 gas 1.09.06 AURORA at 1.10.06_NIM Summary 24" xfId="8851"/>
    <cellStyle name="_Power Cost Value Copy 11.30.05 gas 1.09.06 AURORA at 1.10.06_NIM Summary 24 2" xfId="8852"/>
    <cellStyle name="_Power Cost Value Copy 11.30.05 gas 1.09.06 AURORA at 1.10.06_NIM Summary 25" xfId="8853"/>
    <cellStyle name="_Power Cost Value Copy 11.30.05 gas 1.09.06 AURORA at 1.10.06_NIM Summary 25 2" xfId="8854"/>
    <cellStyle name="_Power Cost Value Copy 11.30.05 gas 1.09.06 AURORA at 1.10.06_NIM Summary 26" xfId="8855"/>
    <cellStyle name="_Power Cost Value Copy 11.30.05 gas 1.09.06 AURORA at 1.10.06_NIM Summary 26 2" xfId="8856"/>
    <cellStyle name="_Power Cost Value Copy 11.30.05 gas 1.09.06 AURORA at 1.10.06_NIM Summary 27" xfId="8857"/>
    <cellStyle name="_Power Cost Value Copy 11.30.05 gas 1.09.06 AURORA at 1.10.06_NIM Summary 27 2" xfId="8858"/>
    <cellStyle name="_Power Cost Value Copy 11.30.05 gas 1.09.06 AURORA at 1.10.06_NIM Summary 28" xfId="8859"/>
    <cellStyle name="_Power Cost Value Copy 11.30.05 gas 1.09.06 AURORA at 1.10.06_NIM Summary 28 2" xfId="8860"/>
    <cellStyle name="_Power Cost Value Copy 11.30.05 gas 1.09.06 AURORA at 1.10.06_NIM Summary 29" xfId="8861"/>
    <cellStyle name="_Power Cost Value Copy 11.30.05 gas 1.09.06 AURORA at 1.10.06_NIM Summary 29 2" xfId="8862"/>
    <cellStyle name="_Power Cost Value Copy 11.30.05 gas 1.09.06 AURORA at 1.10.06_NIM Summary 3" xfId="8863"/>
    <cellStyle name="_Power Cost Value Copy 11.30.05 gas 1.09.06 AURORA at 1.10.06_NIM Summary 3 2" xfId="8864"/>
    <cellStyle name="_Power Cost Value Copy 11.30.05 gas 1.09.06 AURORA at 1.10.06_NIM Summary 30" xfId="8865"/>
    <cellStyle name="_Power Cost Value Copy 11.30.05 gas 1.09.06 AURORA at 1.10.06_NIM Summary 30 2" xfId="8866"/>
    <cellStyle name="_Power Cost Value Copy 11.30.05 gas 1.09.06 AURORA at 1.10.06_NIM Summary 31" xfId="8867"/>
    <cellStyle name="_Power Cost Value Copy 11.30.05 gas 1.09.06 AURORA at 1.10.06_NIM Summary 31 2" xfId="8868"/>
    <cellStyle name="_Power Cost Value Copy 11.30.05 gas 1.09.06 AURORA at 1.10.06_NIM Summary 32" xfId="8869"/>
    <cellStyle name="_Power Cost Value Copy 11.30.05 gas 1.09.06 AURORA at 1.10.06_NIM Summary 32 2" xfId="8870"/>
    <cellStyle name="_Power Cost Value Copy 11.30.05 gas 1.09.06 AURORA at 1.10.06_NIM Summary 33" xfId="8871"/>
    <cellStyle name="_Power Cost Value Copy 11.30.05 gas 1.09.06 AURORA at 1.10.06_NIM Summary 33 2" xfId="8872"/>
    <cellStyle name="_Power Cost Value Copy 11.30.05 gas 1.09.06 AURORA at 1.10.06_NIM Summary 34" xfId="8873"/>
    <cellStyle name="_Power Cost Value Copy 11.30.05 gas 1.09.06 AURORA at 1.10.06_NIM Summary 34 2" xfId="8874"/>
    <cellStyle name="_Power Cost Value Copy 11.30.05 gas 1.09.06 AURORA at 1.10.06_NIM Summary 35" xfId="8875"/>
    <cellStyle name="_Power Cost Value Copy 11.30.05 gas 1.09.06 AURORA at 1.10.06_NIM Summary 35 2" xfId="8876"/>
    <cellStyle name="_Power Cost Value Copy 11.30.05 gas 1.09.06 AURORA at 1.10.06_NIM Summary 36" xfId="8877"/>
    <cellStyle name="_Power Cost Value Copy 11.30.05 gas 1.09.06 AURORA at 1.10.06_NIM Summary 36 2" xfId="8878"/>
    <cellStyle name="_Power Cost Value Copy 11.30.05 gas 1.09.06 AURORA at 1.10.06_NIM Summary 37" xfId="8879"/>
    <cellStyle name="_Power Cost Value Copy 11.30.05 gas 1.09.06 AURORA at 1.10.06_NIM Summary 37 2" xfId="8880"/>
    <cellStyle name="_Power Cost Value Copy 11.30.05 gas 1.09.06 AURORA at 1.10.06_NIM Summary 38" xfId="8881"/>
    <cellStyle name="_Power Cost Value Copy 11.30.05 gas 1.09.06 AURORA at 1.10.06_NIM Summary 38 2" xfId="8882"/>
    <cellStyle name="_Power Cost Value Copy 11.30.05 gas 1.09.06 AURORA at 1.10.06_NIM Summary 39" xfId="8883"/>
    <cellStyle name="_Power Cost Value Copy 11.30.05 gas 1.09.06 AURORA at 1.10.06_NIM Summary 39 2" xfId="8884"/>
    <cellStyle name="_Power Cost Value Copy 11.30.05 gas 1.09.06 AURORA at 1.10.06_NIM Summary 4" xfId="8885"/>
    <cellStyle name="_Power Cost Value Copy 11.30.05 gas 1.09.06 AURORA at 1.10.06_NIM Summary 4 2" xfId="8886"/>
    <cellStyle name="_Power Cost Value Copy 11.30.05 gas 1.09.06 AURORA at 1.10.06_NIM Summary 40" xfId="8887"/>
    <cellStyle name="_Power Cost Value Copy 11.30.05 gas 1.09.06 AURORA at 1.10.06_NIM Summary 40 2" xfId="8888"/>
    <cellStyle name="_Power Cost Value Copy 11.30.05 gas 1.09.06 AURORA at 1.10.06_NIM Summary 41" xfId="8889"/>
    <cellStyle name="_Power Cost Value Copy 11.30.05 gas 1.09.06 AURORA at 1.10.06_NIM Summary 41 2" xfId="8890"/>
    <cellStyle name="_Power Cost Value Copy 11.30.05 gas 1.09.06 AURORA at 1.10.06_NIM Summary 42" xfId="8891"/>
    <cellStyle name="_Power Cost Value Copy 11.30.05 gas 1.09.06 AURORA at 1.10.06_NIM Summary 42 2" xfId="8892"/>
    <cellStyle name="_Power Cost Value Copy 11.30.05 gas 1.09.06 AURORA at 1.10.06_NIM Summary 43" xfId="8893"/>
    <cellStyle name="_Power Cost Value Copy 11.30.05 gas 1.09.06 AURORA at 1.10.06_NIM Summary 43 2" xfId="8894"/>
    <cellStyle name="_Power Cost Value Copy 11.30.05 gas 1.09.06 AURORA at 1.10.06_NIM Summary 44" xfId="8895"/>
    <cellStyle name="_Power Cost Value Copy 11.30.05 gas 1.09.06 AURORA at 1.10.06_NIM Summary 44 2" xfId="8896"/>
    <cellStyle name="_Power Cost Value Copy 11.30.05 gas 1.09.06 AURORA at 1.10.06_NIM Summary 45" xfId="8897"/>
    <cellStyle name="_Power Cost Value Copy 11.30.05 gas 1.09.06 AURORA at 1.10.06_NIM Summary 45 2" xfId="8898"/>
    <cellStyle name="_Power Cost Value Copy 11.30.05 gas 1.09.06 AURORA at 1.10.06_NIM Summary 46" xfId="8899"/>
    <cellStyle name="_Power Cost Value Copy 11.30.05 gas 1.09.06 AURORA at 1.10.06_NIM Summary 46 2" xfId="8900"/>
    <cellStyle name="_Power Cost Value Copy 11.30.05 gas 1.09.06 AURORA at 1.10.06_NIM Summary 47" xfId="8901"/>
    <cellStyle name="_Power Cost Value Copy 11.30.05 gas 1.09.06 AURORA at 1.10.06_NIM Summary 47 2" xfId="8902"/>
    <cellStyle name="_Power Cost Value Copy 11.30.05 gas 1.09.06 AURORA at 1.10.06_NIM Summary 48" xfId="8903"/>
    <cellStyle name="_Power Cost Value Copy 11.30.05 gas 1.09.06 AURORA at 1.10.06_NIM Summary 49" xfId="8904"/>
    <cellStyle name="_Power Cost Value Copy 11.30.05 gas 1.09.06 AURORA at 1.10.06_NIM Summary 5" xfId="8905"/>
    <cellStyle name="_Power Cost Value Copy 11.30.05 gas 1.09.06 AURORA at 1.10.06_NIM Summary 5 2" xfId="8906"/>
    <cellStyle name="_Power Cost Value Copy 11.30.05 gas 1.09.06 AURORA at 1.10.06_NIM Summary 50" xfId="8907"/>
    <cellStyle name="_Power Cost Value Copy 11.30.05 gas 1.09.06 AURORA at 1.10.06_NIM Summary 51" xfId="8908"/>
    <cellStyle name="_Power Cost Value Copy 11.30.05 gas 1.09.06 AURORA at 1.10.06_NIM Summary 52" xfId="8909"/>
    <cellStyle name="_Power Cost Value Copy 11.30.05 gas 1.09.06 AURORA at 1.10.06_NIM Summary 6" xfId="8910"/>
    <cellStyle name="_Power Cost Value Copy 11.30.05 gas 1.09.06 AURORA at 1.10.06_NIM Summary 6 2" xfId="8911"/>
    <cellStyle name="_Power Cost Value Copy 11.30.05 gas 1.09.06 AURORA at 1.10.06_NIM Summary 7" xfId="8912"/>
    <cellStyle name="_Power Cost Value Copy 11.30.05 gas 1.09.06 AURORA at 1.10.06_NIM Summary 7 2" xfId="8913"/>
    <cellStyle name="_Power Cost Value Copy 11.30.05 gas 1.09.06 AURORA at 1.10.06_NIM Summary 8" xfId="8914"/>
    <cellStyle name="_Power Cost Value Copy 11.30.05 gas 1.09.06 AURORA at 1.10.06_NIM Summary 8 2" xfId="8915"/>
    <cellStyle name="_Power Cost Value Copy 11.30.05 gas 1.09.06 AURORA at 1.10.06_NIM Summary 9" xfId="8916"/>
    <cellStyle name="_Power Cost Value Copy 11.30.05 gas 1.09.06 AURORA at 1.10.06_NIM Summary 9 2" xfId="8917"/>
    <cellStyle name="_Power Cost Value Copy 11.30.05 gas 1.09.06 AURORA at 1.10.06_NIM Summary_DEM-WP(C) ENERG10C--ctn Mid-C_042010 2010GRC" xfId="8918"/>
    <cellStyle name="_Power Cost Value Copy 11.30.05 gas 1.09.06 AURORA at 1.10.06_NIM Summary_DEM-WP(C) ENERG10C--ctn Mid-C_042010 2010GRC 2" xfId="8919"/>
    <cellStyle name="_Power Cost Value Copy 11.30.05 gas 1.09.06 AURORA at 1.10.06_PCA 10 -  Exhibit D Dec 2011" xfId="8920"/>
    <cellStyle name="_Power Cost Value Copy 11.30.05 gas 1.09.06 AURORA at 1.10.06_PCA 10 -  Exhibit D Dec 2011 2" xfId="8921"/>
    <cellStyle name="_Power Cost Value Copy 11.30.05 gas 1.09.06 AURORA at 1.10.06_PCA 10 -  Exhibit D from A Kellogg Jan 2011" xfId="8922"/>
    <cellStyle name="_Power Cost Value Copy 11.30.05 gas 1.09.06 AURORA at 1.10.06_PCA 10 -  Exhibit D from A Kellogg Jan 2011 2" xfId="8923"/>
    <cellStyle name="_Power Cost Value Copy 11.30.05 gas 1.09.06 AURORA at 1.10.06_PCA 10 -  Exhibit D from A Kellogg July 2011" xfId="8924"/>
    <cellStyle name="_Power Cost Value Copy 11.30.05 gas 1.09.06 AURORA at 1.10.06_PCA 10 -  Exhibit D from A Kellogg July 2011 2" xfId="8925"/>
    <cellStyle name="_Power Cost Value Copy 11.30.05 gas 1.09.06 AURORA at 1.10.06_PCA 10 -  Exhibit D from S Free Rcv'd 12-11" xfId="8926"/>
    <cellStyle name="_Power Cost Value Copy 11.30.05 gas 1.09.06 AURORA at 1.10.06_PCA 10 -  Exhibit D from S Free Rcv'd 12-11 2" xfId="8927"/>
    <cellStyle name="_Power Cost Value Copy 11.30.05 gas 1.09.06 AURORA at 1.10.06_PCA 11 -  Exhibit D Jan 2012 fr A Kellogg" xfId="8928"/>
    <cellStyle name="_Power Cost Value Copy 11.30.05 gas 1.09.06 AURORA at 1.10.06_PCA 11 -  Exhibit D Jan 2012 fr A Kellogg 2" xfId="8929"/>
    <cellStyle name="_Power Cost Value Copy 11.30.05 gas 1.09.06 AURORA at 1.10.06_PCA 11 -  Exhibit D Jan 2012 WF" xfId="8930"/>
    <cellStyle name="_Power Cost Value Copy 11.30.05 gas 1.09.06 AURORA at 1.10.06_PCA 11 -  Exhibit D Jan 2012 WF 2" xfId="8931"/>
    <cellStyle name="_Power Cost Value Copy 11.30.05 gas 1.09.06 AURORA at 1.10.06_PCA 7 - Exhibit D update 11_30_08 (2)" xfId="8932"/>
    <cellStyle name="_Power Cost Value Copy 11.30.05 gas 1.09.06 AURORA at 1.10.06_PCA 7 - Exhibit D update 11_30_08 (2) 2" xfId="8933"/>
    <cellStyle name="_Power Cost Value Copy 11.30.05 gas 1.09.06 AURORA at 1.10.06_PCA 7 - Exhibit D update 11_30_08 (2) 2 2" xfId="8934"/>
    <cellStyle name="_Power Cost Value Copy 11.30.05 gas 1.09.06 AURORA at 1.10.06_PCA 7 - Exhibit D update 11_30_08 (2) 2 2 2" xfId="8935"/>
    <cellStyle name="_Power Cost Value Copy 11.30.05 gas 1.09.06 AURORA at 1.10.06_PCA 7 - Exhibit D update 11_30_08 (2) 2 3" xfId="8936"/>
    <cellStyle name="_Power Cost Value Copy 11.30.05 gas 1.09.06 AURORA at 1.10.06_PCA 7 - Exhibit D update 11_30_08 (2) 3" xfId="8937"/>
    <cellStyle name="_Power Cost Value Copy 11.30.05 gas 1.09.06 AURORA at 1.10.06_PCA 7 - Exhibit D update 11_30_08 (2) 3 2" xfId="8938"/>
    <cellStyle name="_Power Cost Value Copy 11.30.05 gas 1.09.06 AURORA at 1.10.06_PCA 7 - Exhibit D update 11_30_08 (2) 4" xfId="8939"/>
    <cellStyle name="_Power Cost Value Copy 11.30.05 gas 1.09.06 AURORA at 1.10.06_PCA 7 - Exhibit D update 11_30_08 (2) 4 2" xfId="8940"/>
    <cellStyle name="_Power Cost Value Copy 11.30.05 gas 1.09.06 AURORA at 1.10.06_PCA 7 - Exhibit D update 11_30_08 (2) 5" xfId="8941"/>
    <cellStyle name="_Power Cost Value Copy 11.30.05 gas 1.09.06 AURORA at 1.10.06_PCA 7 - Exhibit D update 11_30_08 (2)_DEM-WP(C) ENERG10C--ctn Mid-C_042010 2010GRC" xfId="8942"/>
    <cellStyle name="_Power Cost Value Copy 11.30.05 gas 1.09.06 AURORA at 1.10.06_PCA 7 - Exhibit D update 11_30_08 (2)_DEM-WP(C) ENERG10C--ctn Mid-C_042010 2010GRC 2" xfId="8943"/>
    <cellStyle name="_Power Cost Value Copy 11.30.05 gas 1.09.06 AURORA at 1.10.06_PCA 7 - Exhibit D update 11_30_08 (2)_NIM Summary" xfId="8944"/>
    <cellStyle name="_Power Cost Value Copy 11.30.05 gas 1.09.06 AURORA at 1.10.06_PCA 7 - Exhibit D update 11_30_08 (2)_NIM Summary 2" xfId="8945"/>
    <cellStyle name="_Power Cost Value Copy 11.30.05 gas 1.09.06 AURORA at 1.10.06_PCA 7 - Exhibit D update 11_30_08 (2)_NIM Summary 2 2" xfId="8946"/>
    <cellStyle name="_Power Cost Value Copy 11.30.05 gas 1.09.06 AURORA at 1.10.06_PCA 7 - Exhibit D update 11_30_08 (2)_NIM Summary 3" xfId="8947"/>
    <cellStyle name="_Power Cost Value Copy 11.30.05 gas 1.09.06 AURORA at 1.10.06_PCA 7 - Exhibit D update 11_30_08 (2)_NIM Summary 3 2" xfId="8948"/>
    <cellStyle name="_Power Cost Value Copy 11.30.05 gas 1.09.06 AURORA at 1.10.06_PCA 7 - Exhibit D update 11_30_08 (2)_NIM Summary 4" xfId="8949"/>
    <cellStyle name="_Power Cost Value Copy 11.30.05 gas 1.09.06 AURORA at 1.10.06_PCA 7 - Exhibit D update 11_30_08 (2)_NIM Summary_DEM-WP(C) ENERG10C--ctn Mid-C_042010 2010GRC" xfId="8950"/>
    <cellStyle name="_Power Cost Value Copy 11.30.05 gas 1.09.06 AURORA at 1.10.06_PCA 7 - Exhibit D update 11_30_08 (2)_NIM Summary_DEM-WP(C) ENERG10C--ctn Mid-C_042010 2010GRC 2" xfId="8951"/>
    <cellStyle name="_Power Cost Value Copy 11.30.05 gas 1.09.06 AURORA at 1.10.06_PCA 8 - Exhibit D update 12_31_09" xfId="8952"/>
    <cellStyle name="_Power Cost Value Copy 11.30.05 gas 1.09.06 AURORA at 1.10.06_PCA 8 - Exhibit D update 12_31_09 2" xfId="8953"/>
    <cellStyle name="_Power Cost Value Copy 11.30.05 gas 1.09.06 AURORA at 1.10.06_PCA 8 - Exhibit D update 12_31_09 2 2" xfId="8954"/>
    <cellStyle name="_Power Cost Value Copy 11.30.05 gas 1.09.06 AURORA at 1.10.06_PCA 8 - Exhibit D update 12_31_09 3" xfId="8955"/>
    <cellStyle name="_Power Cost Value Copy 11.30.05 gas 1.09.06 AURORA at 1.10.06_PCA 9 -  Exhibit D April 2010" xfId="8956"/>
    <cellStyle name="_Power Cost Value Copy 11.30.05 gas 1.09.06 AURORA at 1.10.06_PCA 9 -  Exhibit D April 2010 (3)" xfId="8957"/>
    <cellStyle name="_Power Cost Value Copy 11.30.05 gas 1.09.06 AURORA at 1.10.06_PCA 9 -  Exhibit D April 2010 (3) 2" xfId="8958"/>
    <cellStyle name="_Power Cost Value Copy 11.30.05 gas 1.09.06 AURORA at 1.10.06_PCA 9 -  Exhibit D April 2010 (3) 2 2" xfId="8959"/>
    <cellStyle name="_Power Cost Value Copy 11.30.05 gas 1.09.06 AURORA at 1.10.06_PCA 9 -  Exhibit D April 2010 (3) 3" xfId="8960"/>
    <cellStyle name="_Power Cost Value Copy 11.30.05 gas 1.09.06 AURORA at 1.10.06_PCA 9 -  Exhibit D April 2010 (3) 3 2" xfId="8961"/>
    <cellStyle name="_Power Cost Value Copy 11.30.05 gas 1.09.06 AURORA at 1.10.06_PCA 9 -  Exhibit D April 2010 (3) 4" xfId="8962"/>
    <cellStyle name="_Power Cost Value Copy 11.30.05 gas 1.09.06 AURORA at 1.10.06_PCA 9 -  Exhibit D April 2010 (3)_DEM-WP(C) ENERG10C--ctn Mid-C_042010 2010GRC" xfId="8963"/>
    <cellStyle name="_Power Cost Value Copy 11.30.05 gas 1.09.06 AURORA at 1.10.06_PCA 9 -  Exhibit D April 2010 (3)_DEM-WP(C) ENERG10C--ctn Mid-C_042010 2010GRC 2" xfId="8964"/>
    <cellStyle name="_Power Cost Value Copy 11.30.05 gas 1.09.06 AURORA at 1.10.06_PCA 9 -  Exhibit D April 2010 2" xfId="8965"/>
    <cellStyle name="_Power Cost Value Copy 11.30.05 gas 1.09.06 AURORA at 1.10.06_PCA 9 -  Exhibit D April 2010 2 2" xfId="8966"/>
    <cellStyle name="_Power Cost Value Copy 11.30.05 gas 1.09.06 AURORA at 1.10.06_PCA 9 -  Exhibit D April 2010 3" xfId="8967"/>
    <cellStyle name="_Power Cost Value Copy 11.30.05 gas 1.09.06 AURORA at 1.10.06_PCA 9 -  Exhibit D April 2010 3 2" xfId="8968"/>
    <cellStyle name="_Power Cost Value Copy 11.30.05 gas 1.09.06 AURORA at 1.10.06_PCA 9 -  Exhibit D April 2010 4" xfId="8969"/>
    <cellStyle name="_Power Cost Value Copy 11.30.05 gas 1.09.06 AURORA at 1.10.06_PCA 9 -  Exhibit D April 2010 4 2" xfId="8970"/>
    <cellStyle name="_Power Cost Value Copy 11.30.05 gas 1.09.06 AURORA at 1.10.06_PCA 9 -  Exhibit D April 2010 5" xfId="8971"/>
    <cellStyle name="_Power Cost Value Copy 11.30.05 gas 1.09.06 AURORA at 1.10.06_PCA 9 -  Exhibit D April 2010 5 2" xfId="8972"/>
    <cellStyle name="_Power Cost Value Copy 11.30.05 gas 1.09.06 AURORA at 1.10.06_PCA 9 -  Exhibit D April 2010 6" xfId="8973"/>
    <cellStyle name="_Power Cost Value Copy 11.30.05 gas 1.09.06 AURORA at 1.10.06_PCA 9 -  Exhibit D April 2010 6 2" xfId="8974"/>
    <cellStyle name="_Power Cost Value Copy 11.30.05 gas 1.09.06 AURORA at 1.10.06_PCA 9 -  Exhibit D April 2010 7" xfId="8975"/>
    <cellStyle name="_Power Cost Value Copy 11.30.05 gas 1.09.06 AURORA at 1.10.06_PCA 9 -  Exhibit D Feb 2010" xfId="8976"/>
    <cellStyle name="_Power Cost Value Copy 11.30.05 gas 1.09.06 AURORA at 1.10.06_PCA 9 -  Exhibit D Feb 2010 2" xfId="8977"/>
    <cellStyle name="_Power Cost Value Copy 11.30.05 gas 1.09.06 AURORA at 1.10.06_PCA 9 -  Exhibit D Feb 2010 2 2" xfId="8978"/>
    <cellStyle name="_Power Cost Value Copy 11.30.05 gas 1.09.06 AURORA at 1.10.06_PCA 9 -  Exhibit D Feb 2010 3" xfId="8979"/>
    <cellStyle name="_Power Cost Value Copy 11.30.05 gas 1.09.06 AURORA at 1.10.06_PCA 9 -  Exhibit D Feb 2010 v2" xfId="8980"/>
    <cellStyle name="_Power Cost Value Copy 11.30.05 gas 1.09.06 AURORA at 1.10.06_PCA 9 -  Exhibit D Feb 2010 v2 2" xfId="8981"/>
    <cellStyle name="_Power Cost Value Copy 11.30.05 gas 1.09.06 AURORA at 1.10.06_PCA 9 -  Exhibit D Feb 2010 v2 2 2" xfId="8982"/>
    <cellStyle name="_Power Cost Value Copy 11.30.05 gas 1.09.06 AURORA at 1.10.06_PCA 9 -  Exhibit D Feb 2010 v2 3" xfId="8983"/>
    <cellStyle name="_Power Cost Value Copy 11.30.05 gas 1.09.06 AURORA at 1.10.06_PCA 9 -  Exhibit D Feb 2010 WF" xfId="8984"/>
    <cellStyle name="_Power Cost Value Copy 11.30.05 gas 1.09.06 AURORA at 1.10.06_PCA 9 -  Exhibit D Feb 2010 WF 2" xfId="8985"/>
    <cellStyle name="_Power Cost Value Copy 11.30.05 gas 1.09.06 AURORA at 1.10.06_PCA 9 -  Exhibit D Feb 2010 WF 2 2" xfId="8986"/>
    <cellStyle name="_Power Cost Value Copy 11.30.05 gas 1.09.06 AURORA at 1.10.06_PCA 9 -  Exhibit D Feb 2010 WF 3" xfId="8987"/>
    <cellStyle name="_Power Cost Value Copy 11.30.05 gas 1.09.06 AURORA at 1.10.06_PCA 9 -  Exhibit D Jan 2010" xfId="8988"/>
    <cellStyle name="_Power Cost Value Copy 11.30.05 gas 1.09.06 AURORA at 1.10.06_PCA 9 -  Exhibit D Jan 2010 2" xfId="8989"/>
    <cellStyle name="_Power Cost Value Copy 11.30.05 gas 1.09.06 AURORA at 1.10.06_PCA 9 -  Exhibit D Jan 2010 2 2" xfId="8990"/>
    <cellStyle name="_Power Cost Value Copy 11.30.05 gas 1.09.06 AURORA at 1.10.06_PCA 9 -  Exhibit D Jan 2010 3" xfId="8991"/>
    <cellStyle name="_Power Cost Value Copy 11.30.05 gas 1.09.06 AURORA at 1.10.06_PCA 9 -  Exhibit D March 2010 (2)" xfId="8992"/>
    <cellStyle name="_Power Cost Value Copy 11.30.05 gas 1.09.06 AURORA at 1.10.06_PCA 9 -  Exhibit D March 2010 (2) 2" xfId="8993"/>
    <cellStyle name="_Power Cost Value Copy 11.30.05 gas 1.09.06 AURORA at 1.10.06_PCA 9 -  Exhibit D March 2010 (2) 2 2" xfId="8994"/>
    <cellStyle name="_Power Cost Value Copy 11.30.05 gas 1.09.06 AURORA at 1.10.06_PCA 9 -  Exhibit D March 2010 (2) 3" xfId="8995"/>
    <cellStyle name="_Power Cost Value Copy 11.30.05 gas 1.09.06 AURORA at 1.10.06_PCA 9 -  Exhibit D Nov 2010" xfId="8996"/>
    <cellStyle name="_Power Cost Value Copy 11.30.05 gas 1.09.06 AURORA at 1.10.06_PCA 9 -  Exhibit D Nov 2010 2" xfId="8997"/>
    <cellStyle name="_Power Cost Value Copy 11.30.05 gas 1.09.06 AURORA at 1.10.06_PCA 9 -  Exhibit D Nov 2010 2 2" xfId="8998"/>
    <cellStyle name="_Power Cost Value Copy 11.30.05 gas 1.09.06 AURORA at 1.10.06_PCA 9 -  Exhibit D Nov 2010 3" xfId="8999"/>
    <cellStyle name="_Power Cost Value Copy 11.30.05 gas 1.09.06 AURORA at 1.10.06_PCA 9 - Exhibit D at August 2010" xfId="9000"/>
    <cellStyle name="_Power Cost Value Copy 11.30.05 gas 1.09.06 AURORA at 1.10.06_PCA 9 - Exhibit D at August 2010 2" xfId="9001"/>
    <cellStyle name="_Power Cost Value Copy 11.30.05 gas 1.09.06 AURORA at 1.10.06_PCA 9 - Exhibit D at August 2010 2 2" xfId="9002"/>
    <cellStyle name="_Power Cost Value Copy 11.30.05 gas 1.09.06 AURORA at 1.10.06_PCA 9 - Exhibit D at August 2010 3" xfId="9003"/>
    <cellStyle name="_Power Cost Value Copy 11.30.05 gas 1.09.06 AURORA at 1.10.06_PCA 9 - Exhibit D June 2010 GRC" xfId="9004"/>
    <cellStyle name="_Power Cost Value Copy 11.30.05 gas 1.09.06 AURORA at 1.10.06_PCA 9 - Exhibit D June 2010 GRC 2" xfId="9005"/>
    <cellStyle name="_Power Cost Value Copy 11.30.05 gas 1.09.06 AURORA at 1.10.06_PCA 9 - Exhibit D June 2010 GRC 2 2" xfId="9006"/>
    <cellStyle name="_Power Cost Value Copy 11.30.05 gas 1.09.06 AURORA at 1.10.06_PCA 9 - Exhibit D June 2010 GRC 3" xfId="9007"/>
    <cellStyle name="_Power Cost Value Copy 11.30.05 gas 1.09.06 AURORA at 1.10.06_Power Costs - Comparison bx Rbtl-Staff-Jt-PC" xfId="9008"/>
    <cellStyle name="_Power Cost Value Copy 11.30.05 gas 1.09.06 AURORA at 1.10.06_Power Costs - Comparison bx Rbtl-Staff-Jt-PC 2" xfId="9009"/>
    <cellStyle name="_Power Cost Value Copy 11.30.05 gas 1.09.06 AURORA at 1.10.06_Power Costs - Comparison bx Rbtl-Staff-Jt-PC 2 2" xfId="9010"/>
    <cellStyle name="_Power Cost Value Copy 11.30.05 gas 1.09.06 AURORA at 1.10.06_Power Costs - Comparison bx Rbtl-Staff-Jt-PC 3" xfId="9011"/>
    <cellStyle name="_Power Cost Value Copy 11.30.05 gas 1.09.06 AURORA at 1.10.06_Power Costs - Comparison bx Rbtl-Staff-Jt-PC 3 2" xfId="9012"/>
    <cellStyle name="_Power Cost Value Copy 11.30.05 gas 1.09.06 AURORA at 1.10.06_Power Costs - Comparison bx Rbtl-Staff-Jt-PC 4" xfId="9013"/>
    <cellStyle name="_Power Cost Value Copy 11.30.05 gas 1.09.06 AURORA at 1.10.06_Power Costs - Comparison bx Rbtl-Staff-Jt-PC_Adj Bench DR 3 for Initial Briefs (Electric)" xfId="9014"/>
    <cellStyle name="_Power Cost Value Copy 11.30.05 gas 1.09.06 AURORA at 1.10.06_Power Costs - Comparison bx Rbtl-Staff-Jt-PC_Adj Bench DR 3 for Initial Briefs (Electric) 2" xfId="9015"/>
    <cellStyle name="_Power Cost Value Copy 11.30.05 gas 1.09.06 AURORA at 1.10.06_Power Costs - Comparison bx Rbtl-Staff-Jt-PC_Adj Bench DR 3 for Initial Briefs (Electric) 2 2" xfId="9016"/>
    <cellStyle name="_Power Cost Value Copy 11.30.05 gas 1.09.06 AURORA at 1.10.06_Power Costs - Comparison bx Rbtl-Staff-Jt-PC_Adj Bench DR 3 for Initial Briefs (Electric) 3" xfId="9017"/>
    <cellStyle name="_Power Cost Value Copy 11.30.05 gas 1.09.06 AURORA at 1.10.06_Power Costs - Comparison bx Rbtl-Staff-Jt-PC_Adj Bench DR 3 for Initial Briefs (Electric) 3 2" xfId="9018"/>
    <cellStyle name="_Power Cost Value Copy 11.30.05 gas 1.09.06 AURORA at 1.10.06_Power Costs - Comparison bx Rbtl-Staff-Jt-PC_Adj Bench DR 3 for Initial Briefs (Electric) 4" xfId="9019"/>
    <cellStyle name="_Power Cost Value Copy 11.30.05 gas 1.09.06 AURORA at 1.10.06_Power Costs - Comparison bx Rbtl-Staff-Jt-PC_Adj Bench DR 3 for Initial Briefs (Electric)_DEM-WP(C) ENERG10C--ctn Mid-C_042010 2010GRC" xfId="9020"/>
    <cellStyle name="_Power Cost Value Copy 11.30.05 gas 1.09.06 AURORA at 1.10.06_Power Costs - Comparison bx Rbtl-Staff-Jt-PC_Adj Bench DR 3 for Initial Briefs (Electric)_DEM-WP(C) ENERG10C--ctn Mid-C_042010 2010GRC 2" xfId="9021"/>
    <cellStyle name="_Power Cost Value Copy 11.30.05 gas 1.09.06 AURORA at 1.10.06_Power Costs - Comparison bx Rbtl-Staff-Jt-PC_DEM-WP(C) ENERG10C--ctn Mid-C_042010 2010GRC" xfId="9022"/>
    <cellStyle name="_Power Cost Value Copy 11.30.05 gas 1.09.06 AURORA at 1.10.06_Power Costs - Comparison bx Rbtl-Staff-Jt-PC_DEM-WP(C) ENERG10C--ctn Mid-C_042010 2010GRC 2" xfId="9023"/>
    <cellStyle name="_Power Cost Value Copy 11.30.05 gas 1.09.06 AURORA at 1.10.06_Power Costs - Comparison bx Rbtl-Staff-Jt-PC_Electric Rev Req Model (2009 GRC) Rebuttal" xfId="9024"/>
    <cellStyle name="_Power Cost Value Copy 11.30.05 gas 1.09.06 AURORA at 1.10.06_Power Costs - Comparison bx Rbtl-Staff-Jt-PC_Electric Rev Req Model (2009 GRC) Rebuttal 2" xfId="9025"/>
    <cellStyle name="_Power Cost Value Copy 11.30.05 gas 1.09.06 AURORA at 1.10.06_Power Costs - Comparison bx Rbtl-Staff-Jt-PC_Electric Rev Req Model (2009 GRC) Rebuttal 2 2" xfId="9026"/>
    <cellStyle name="_Power Cost Value Copy 11.30.05 gas 1.09.06 AURORA at 1.10.06_Power Costs - Comparison bx Rbtl-Staff-Jt-PC_Electric Rev Req Model (2009 GRC) Rebuttal 3" xfId="9027"/>
    <cellStyle name="_Power Cost Value Copy 11.30.05 gas 1.09.06 AURORA at 1.10.06_Power Costs - Comparison bx Rbtl-Staff-Jt-PC_Electric Rev Req Model (2009 GRC) Rebuttal REmoval of New  WH Solar AdjustMI" xfId="9028"/>
    <cellStyle name="_Power Cost Value Copy 11.30.05 gas 1.09.06 AURORA at 1.10.06_Power Costs - Comparison bx Rbtl-Staff-Jt-PC_Electric Rev Req Model (2009 GRC) Rebuttal REmoval of New  WH Solar AdjustMI 2" xfId="9029"/>
    <cellStyle name="_Power Cost Value Copy 11.30.05 gas 1.09.06 AURORA at 1.10.06_Power Costs - Comparison bx Rbtl-Staff-Jt-PC_Electric Rev Req Model (2009 GRC) Rebuttal REmoval of New  WH Solar AdjustMI 2 2" xfId="9030"/>
    <cellStyle name="_Power Cost Value Copy 11.30.05 gas 1.09.06 AURORA at 1.10.06_Power Costs - Comparison bx Rbtl-Staff-Jt-PC_Electric Rev Req Model (2009 GRC) Rebuttal REmoval of New  WH Solar AdjustMI 3" xfId="9031"/>
    <cellStyle name="_Power Cost Value Copy 11.30.05 gas 1.09.06 AURORA at 1.10.06_Power Costs - Comparison bx Rbtl-Staff-Jt-PC_Electric Rev Req Model (2009 GRC) Rebuttal REmoval of New  WH Solar AdjustMI 3 2" xfId="9032"/>
    <cellStyle name="_Power Cost Value Copy 11.30.05 gas 1.09.06 AURORA at 1.10.06_Power Costs - Comparison bx Rbtl-Staff-Jt-PC_Electric Rev Req Model (2009 GRC) Rebuttal REmoval of New  WH Solar AdjustMI 4" xfId="9033"/>
    <cellStyle name="_Power Cost Value Copy 11.30.05 gas 1.09.06 AURORA at 1.10.06_Power Costs - Comparison bx Rbtl-Staff-Jt-PC_Electric Rev Req Model (2009 GRC) Rebuttal REmoval of New  WH Solar AdjustMI_DEM-WP(C) ENERG10C--ctn Mid-C_042010 2010GRC" xfId="9034"/>
    <cellStyle name="_Power Cost Value Copy 11.30.05 gas 1.09.06 AURORA at 1.10.06_Power Costs - Comparison bx Rbtl-Staff-Jt-PC_Electric Rev Req Model (2009 GRC) Rebuttal REmoval of New  WH Solar AdjustMI_DEM-WP(C) ENERG10C--ctn Mid-C_042010 2010GRC 2" xfId="9035"/>
    <cellStyle name="_Power Cost Value Copy 11.30.05 gas 1.09.06 AURORA at 1.10.06_Power Costs - Comparison bx Rbtl-Staff-Jt-PC_Electric Rev Req Model (2009 GRC) Revised 01-18-2010" xfId="9036"/>
    <cellStyle name="_Power Cost Value Copy 11.30.05 gas 1.09.06 AURORA at 1.10.06_Power Costs - Comparison bx Rbtl-Staff-Jt-PC_Electric Rev Req Model (2009 GRC) Revised 01-18-2010 2" xfId="9037"/>
    <cellStyle name="_Power Cost Value Copy 11.30.05 gas 1.09.06 AURORA at 1.10.06_Power Costs - Comparison bx Rbtl-Staff-Jt-PC_Electric Rev Req Model (2009 GRC) Revised 01-18-2010 2 2" xfId="9038"/>
    <cellStyle name="_Power Cost Value Copy 11.30.05 gas 1.09.06 AURORA at 1.10.06_Power Costs - Comparison bx Rbtl-Staff-Jt-PC_Electric Rev Req Model (2009 GRC) Revised 01-18-2010 3" xfId="9039"/>
    <cellStyle name="_Power Cost Value Copy 11.30.05 gas 1.09.06 AURORA at 1.10.06_Power Costs - Comparison bx Rbtl-Staff-Jt-PC_Electric Rev Req Model (2009 GRC) Revised 01-18-2010 3 2" xfId="9040"/>
    <cellStyle name="_Power Cost Value Copy 11.30.05 gas 1.09.06 AURORA at 1.10.06_Power Costs - Comparison bx Rbtl-Staff-Jt-PC_Electric Rev Req Model (2009 GRC) Revised 01-18-2010 4" xfId="9041"/>
    <cellStyle name="_Power Cost Value Copy 11.30.05 gas 1.09.06 AURORA at 1.10.06_Power Costs - Comparison bx Rbtl-Staff-Jt-PC_Electric Rev Req Model (2009 GRC) Revised 01-18-2010_DEM-WP(C) ENERG10C--ctn Mid-C_042010 2010GRC" xfId="9042"/>
    <cellStyle name="_Power Cost Value Copy 11.30.05 gas 1.09.06 AURORA at 1.10.06_Power Costs - Comparison bx Rbtl-Staff-Jt-PC_Electric Rev Req Model (2009 GRC) Revised 01-18-2010_DEM-WP(C) ENERG10C--ctn Mid-C_042010 2010GRC 2" xfId="9043"/>
    <cellStyle name="_Power Cost Value Copy 11.30.05 gas 1.09.06 AURORA at 1.10.06_Power Costs - Comparison bx Rbtl-Staff-Jt-PC_Final Order Electric EXHIBIT A-1" xfId="9044"/>
    <cellStyle name="_Power Cost Value Copy 11.30.05 gas 1.09.06 AURORA at 1.10.06_Power Costs - Comparison bx Rbtl-Staff-Jt-PC_Final Order Electric EXHIBIT A-1 2" xfId="9045"/>
    <cellStyle name="_Power Cost Value Copy 11.30.05 gas 1.09.06 AURORA at 1.10.06_Power Costs - Comparison bx Rbtl-Staff-Jt-PC_Final Order Electric EXHIBIT A-1 2 2" xfId="9046"/>
    <cellStyle name="_Power Cost Value Copy 11.30.05 gas 1.09.06 AURORA at 1.10.06_Power Costs - Comparison bx Rbtl-Staff-Jt-PC_Final Order Electric EXHIBIT A-1 3" xfId="9047"/>
    <cellStyle name="_Power Cost Value Copy 11.30.05 gas 1.09.06 AURORA at 1.10.06_Production Adj 4.37" xfId="21271"/>
    <cellStyle name="_Power Cost Value Copy 11.30.05 gas 1.09.06 AURORA at 1.10.06_Purchased Power Adj 4.03" xfId="21272"/>
    <cellStyle name="_Power Cost Value Copy 11.30.05 gas 1.09.06 AURORA at 1.10.06_Rebuttal Power Costs" xfId="9048"/>
    <cellStyle name="_Power Cost Value Copy 11.30.05 gas 1.09.06 AURORA at 1.10.06_Rebuttal Power Costs 2" xfId="9049"/>
    <cellStyle name="_Power Cost Value Copy 11.30.05 gas 1.09.06 AURORA at 1.10.06_Rebuttal Power Costs 2 2" xfId="9050"/>
    <cellStyle name="_Power Cost Value Copy 11.30.05 gas 1.09.06 AURORA at 1.10.06_Rebuttal Power Costs 3" xfId="9051"/>
    <cellStyle name="_Power Cost Value Copy 11.30.05 gas 1.09.06 AURORA at 1.10.06_Rebuttal Power Costs 3 2" xfId="9052"/>
    <cellStyle name="_Power Cost Value Copy 11.30.05 gas 1.09.06 AURORA at 1.10.06_Rebuttal Power Costs 4" xfId="9053"/>
    <cellStyle name="_Power Cost Value Copy 11.30.05 gas 1.09.06 AURORA at 1.10.06_Rebuttal Power Costs_Adj Bench DR 3 for Initial Briefs (Electric)" xfId="9054"/>
    <cellStyle name="_Power Cost Value Copy 11.30.05 gas 1.09.06 AURORA at 1.10.06_Rebuttal Power Costs_Adj Bench DR 3 for Initial Briefs (Electric) 2" xfId="9055"/>
    <cellStyle name="_Power Cost Value Copy 11.30.05 gas 1.09.06 AURORA at 1.10.06_Rebuttal Power Costs_Adj Bench DR 3 for Initial Briefs (Electric) 2 2" xfId="9056"/>
    <cellStyle name="_Power Cost Value Copy 11.30.05 gas 1.09.06 AURORA at 1.10.06_Rebuttal Power Costs_Adj Bench DR 3 for Initial Briefs (Electric) 3" xfId="9057"/>
    <cellStyle name="_Power Cost Value Copy 11.30.05 gas 1.09.06 AURORA at 1.10.06_Rebuttal Power Costs_Adj Bench DR 3 for Initial Briefs (Electric) 3 2" xfId="9058"/>
    <cellStyle name="_Power Cost Value Copy 11.30.05 gas 1.09.06 AURORA at 1.10.06_Rebuttal Power Costs_Adj Bench DR 3 for Initial Briefs (Electric) 4" xfId="9059"/>
    <cellStyle name="_Power Cost Value Copy 11.30.05 gas 1.09.06 AURORA at 1.10.06_Rebuttal Power Costs_Adj Bench DR 3 for Initial Briefs (Electric)_DEM-WP(C) ENERG10C--ctn Mid-C_042010 2010GRC" xfId="9060"/>
    <cellStyle name="_Power Cost Value Copy 11.30.05 gas 1.09.06 AURORA at 1.10.06_Rebuttal Power Costs_Adj Bench DR 3 for Initial Briefs (Electric)_DEM-WP(C) ENERG10C--ctn Mid-C_042010 2010GRC 2" xfId="9061"/>
    <cellStyle name="_Power Cost Value Copy 11.30.05 gas 1.09.06 AURORA at 1.10.06_Rebuttal Power Costs_DEM-WP(C) ENERG10C--ctn Mid-C_042010 2010GRC" xfId="9062"/>
    <cellStyle name="_Power Cost Value Copy 11.30.05 gas 1.09.06 AURORA at 1.10.06_Rebuttal Power Costs_DEM-WP(C) ENERG10C--ctn Mid-C_042010 2010GRC 2" xfId="9063"/>
    <cellStyle name="_Power Cost Value Copy 11.30.05 gas 1.09.06 AURORA at 1.10.06_Rebuttal Power Costs_Electric Rev Req Model (2009 GRC) Rebuttal" xfId="9064"/>
    <cellStyle name="_Power Cost Value Copy 11.30.05 gas 1.09.06 AURORA at 1.10.06_Rebuttal Power Costs_Electric Rev Req Model (2009 GRC) Rebuttal 2" xfId="9065"/>
    <cellStyle name="_Power Cost Value Copy 11.30.05 gas 1.09.06 AURORA at 1.10.06_Rebuttal Power Costs_Electric Rev Req Model (2009 GRC) Rebuttal 2 2" xfId="9066"/>
    <cellStyle name="_Power Cost Value Copy 11.30.05 gas 1.09.06 AURORA at 1.10.06_Rebuttal Power Costs_Electric Rev Req Model (2009 GRC) Rebuttal 3" xfId="9067"/>
    <cellStyle name="_Power Cost Value Copy 11.30.05 gas 1.09.06 AURORA at 1.10.06_Rebuttal Power Costs_Electric Rev Req Model (2009 GRC) Rebuttal REmoval of New  WH Solar AdjustMI" xfId="9068"/>
    <cellStyle name="_Power Cost Value Copy 11.30.05 gas 1.09.06 AURORA at 1.10.06_Rebuttal Power Costs_Electric Rev Req Model (2009 GRC) Rebuttal REmoval of New  WH Solar AdjustMI 2" xfId="9069"/>
    <cellStyle name="_Power Cost Value Copy 11.30.05 gas 1.09.06 AURORA at 1.10.06_Rebuttal Power Costs_Electric Rev Req Model (2009 GRC) Rebuttal REmoval of New  WH Solar AdjustMI 2 2" xfId="9070"/>
    <cellStyle name="_Power Cost Value Copy 11.30.05 gas 1.09.06 AURORA at 1.10.06_Rebuttal Power Costs_Electric Rev Req Model (2009 GRC) Rebuttal REmoval of New  WH Solar AdjustMI 3" xfId="9071"/>
    <cellStyle name="_Power Cost Value Copy 11.30.05 gas 1.09.06 AURORA at 1.10.06_Rebuttal Power Costs_Electric Rev Req Model (2009 GRC) Rebuttal REmoval of New  WH Solar AdjustMI 3 2" xfId="9072"/>
    <cellStyle name="_Power Cost Value Copy 11.30.05 gas 1.09.06 AURORA at 1.10.06_Rebuttal Power Costs_Electric Rev Req Model (2009 GRC) Rebuttal REmoval of New  WH Solar AdjustMI 4" xfId="9073"/>
    <cellStyle name="_Power Cost Value Copy 11.30.05 gas 1.09.06 AURORA at 1.10.06_Rebuttal Power Costs_Electric Rev Req Model (2009 GRC) Rebuttal REmoval of New  WH Solar AdjustMI_DEM-WP(C) ENERG10C--ctn Mid-C_042010 2010GRC" xfId="9074"/>
    <cellStyle name="_Power Cost Value Copy 11.30.05 gas 1.09.06 AURORA at 1.10.06_Rebuttal Power Costs_Electric Rev Req Model (2009 GRC) Rebuttal REmoval of New  WH Solar AdjustMI_DEM-WP(C) ENERG10C--ctn Mid-C_042010 2010GRC 2" xfId="9075"/>
    <cellStyle name="_Power Cost Value Copy 11.30.05 gas 1.09.06 AURORA at 1.10.06_Rebuttal Power Costs_Electric Rev Req Model (2009 GRC) Revised 01-18-2010" xfId="9076"/>
    <cellStyle name="_Power Cost Value Copy 11.30.05 gas 1.09.06 AURORA at 1.10.06_Rebuttal Power Costs_Electric Rev Req Model (2009 GRC) Revised 01-18-2010 2" xfId="9077"/>
    <cellStyle name="_Power Cost Value Copy 11.30.05 gas 1.09.06 AURORA at 1.10.06_Rebuttal Power Costs_Electric Rev Req Model (2009 GRC) Revised 01-18-2010 2 2" xfId="9078"/>
    <cellStyle name="_Power Cost Value Copy 11.30.05 gas 1.09.06 AURORA at 1.10.06_Rebuttal Power Costs_Electric Rev Req Model (2009 GRC) Revised 01-18-2010 3" xfId="9079"/>
    <cellStyle name="_Power Cost Value Copy 11.30.05 gas 1.09.06 AURORA at 1.10.06_Rebuttal Power Costs_Electric Rev Req Model (2009 GRC) Revised 01-18-2010 3 2" xfId="9080"/>
    <cellStyle name="_Power Cost Value Copy 11.30.05 gas 1.09.06 AURORA at 1.10.06_Rebuttal Power Costs_Electric Rev Req Model (2009 GRC) Revised 01-18-2010 4" xfId="9081"/>
    <cellStyle name="_Power Cost Value Copy 11.30.05 gas 1.09.06 AURORA at 1.10.06_Rebuttal Power Costs_Electric Rev Req Model (2009 GRC) Revised 01-18-2010_DEM-WP(C) ENERG10C--ctn Mid-C_042010 2010GRC" xfId="9082"/>
    <cellStyle name="_Power Cost Value Copy 11.30.05 gas 1.09.06 AURORA at 1.10.06_Rebuttal Power Costs_Electric Rev Req Model (2009 GRC) Revised 01-18-2010_DEM-WP(C) ENERG10C--ctn Mid-C_042010 2010GRC 2" xfId="9083"/>
    <cellStyle name="_Power Cost Value Copy 11.30.05 gas 1.09.06 AURORA at 1.10.06_Rebuttal Power Costs_Final Order Electric EXHIBIT A-1" xfId="9084"/>
    <cellStyle name="_Power Cost Value Copy 11.30.05 gas 1.09.06 AURORA at 1.10.06_Rebuttal Power Costs_Final Order Electric EXHIBIT A-1 2" xfId="9085"/>
    <cellStyle name="_Power Cost Value Copy 11.30.05 gas 1.09.06 AURORA at 1.10.06_Rebuttal Power Costs_Final Order Electric EXHIBIT A-1 2 2" xfId="9086"/>
    <cellStyle name="_Power Cost Value Copy 11.30.05 gas 1.09.06 AURORA at 1.10.06_Rebuttal Power Costs_Final Order Electric EXHIBIT A-1 3" xfId="9087"/>
    <cellStyle name="_Power Cost Value Copy 11.30.05 gas 1.09.06 AURORA at 1.10.06_ROR 5.02" xfId="21273"/>
    <cellStyle name="_Power Cost Value Copy 11.30.05 gas 1.09.06 AURORA at 1.10.06_Sch 40 Interim Energy Rates " xfId="18249"/>
    <cellStyle name="_Power Cost Value Copy 11.30.05 gas 1.09.06 AURORA at 1.10.06_Transmission Workbook for May BOD" xfId="9088"/>
    <cellStyle name="_Power Cost Value Copy 11.30.05 gas 1.09.06 AURORA at 1.10.06_Transmission Workbook for May BOD 2" xfId="9089"/>
    <cellStyle name="_Power Cost Value Copy 11.30.05 gas 1.09.06 AURORA at 1.10.06_Transmission Workbook for May BOD 2 2" xfId="9090"/>
    <cellStyle name="_Power Cost Value Copy 11.30.05 gas 1.09.06 AURORA at 1.10.06_Transmission Workbook for May BOD 3" xfId="9091"/>
    <cellStyle name="_Power Cost Value Copy 11.30.05 gas 1.09.06 AURORA at 1.10.06_Transmission Workbook for May BOD 3 2" xfId="9092"/>
    <cellStyle name="_Power Cost Value Copy 11.30.05 gas 1.09.06 AURORA at 1.10.06_Transmission Workbook for May BOD 4" xfId="9093"/>
    <cellStyle name="_Power Cost Value Copy 11.30.05 gas 1.09.06 AURORA at 1.10.06_Transmission Workbook for May BOD_DEM-WP(C) ENERG10C--ctn Mid-C_042010 2010GRC" xfId="9094"/>
    <cellStyle name="_Power Cost Value Copy 11.30.05 gas 1.09.06 AURORA at 1.10.06_Transmission Workbook for May BOD_DEM-WP(C) ENERG10C--ctn Mid-C_042010 2010GRC 2" xfId="9095"/>
    <cellStyle name="_Power Cost Value Copy 11.30.05 gas 1.09.06 AURORA at 1.10.06_Wind Integration 10GRC" xfId="9096"/>
    <cellStyle name="_Power Cost Value Copy 11.30.05 gas 1.09.06 AURORA at 1.10.06_Wind Integration 10GRC 2" xfId="9097"/>
    <cellStyle name="_Power Cost Value Copy 11.30.05 gas 1.09.06 AURORA at 1.10.06_Wind Integration 10GRC 2 2" xfId="9098"/>
    <cellStyle name="_Power Cost Value Copy 11.30.05 gas 1.09.06 AURORA at 1.10.06_Wind Integration 10GRC 3" xfId="9099"/>
    <cellStyle name="_Power Cost Value Copy 11.30.05 gas 1.09.06 AURORA at 1.10.06_Wind Integration 10GRC 3 2" xfId="9100"/>
    <cellStyle name="_Power Cost Value Copy 11.30.05 gas 1.09.06 AURORA at 1.10.06_Wind Integration 10GRC 4" xfId="9101"/>
    <cellStyle name="_Power Cost Value Copy 11.30.05 gas 1.09.06 AURORA at 1.10.06_Wind Integration 10GRC_DEM-WP(C) ENERG10C--ctn Mid-C_042010 2010GRC" xfId="9102"/>
    <cellStyle name="_Power Cost Value Copy 11.30.05 gas 1.09.06 AURORA at 1.10.06_Wind Integration 10GRC_DEM-WP(C) ENERG10C--ctn Mid-C_042010 2010GRC 2" xfId="9103"/>
    <cellStyle name="_Power Costs Rate Year 11-13-07" xfId="9104"/>
    <cellStyle name="_Power Costs Rate Year 11-13-07 2" xfId="9105"/>
    <cellStyle name="_Price Output" xfId="9106"/>
    <cellStyle name="_Price Output 2" xfId="9107"/>
    <cellStyle name="_Price Output 2 2" xfId="9108"/>
    <cellStyle name="_Price Output 2 3" xfId="9109"/>
    <cellStyle name="_Price Output 3" xfId="9110"/>
    <cellStyle name="_Price Output 3 2" xfId="9111"/>
    <cellStyle name="_Price Output 3 2 2" xfId="9112"/>
    <cellStyle name="_Price Output 3 3" xfId="9113"/>
    <cellStyle name="_Price Output 4" xfId="9114"/>
    <cellStyle name="_Price Output 4 2" xfId="9115"/>
    <cellStyle name="_Price Output 5" xfId="9116"/>
    <cellStyle name="_Price Output 5 2" xfId="9117"/>
    <cellStyle name="_Price Output 6" xfId="9118"/>
    <cellStyle name="_Price Output 6 2" xfId="9119"/>
    <cellStyle name="_Price Output_DEM-WP(C) Chelan Power Costs" xfId="9120"/>
    <cellStyle name="_Price Output_DEM-WP(C) Chelan Power Costs 2" xfId="9121"/>
    <cellStyle name="_Price Output_DEM-WP(C) ENERG10C--ctn Mid-C_042010 2010GRC" xfId="9122"/>
    <cellStyle name="_Price Output_DEM-WP(C) ENERG10C--ctn Mid-C_042010 2010GRC 2" xfId="9123"/>
    <cellStyle name="_Price Output_DEM-WP(C) Gas Transport 2010GRC" xfId="9124"/>
    <cellStyle name="_Price Output_DEM-WP(C) Gas Transport 2010GRC 2" xfId="9125"/>
    <cellStyle name="_Price Output_NIM Summary" xfId="9126"/>
    <cellStyle name="_Price Output_NIM Summary 2" xfId="9127"/>
    <cellStyle name="_Price Output_NIM Summary 2 2" xfId="9128"/>
    <cellStyle name="_Price Output_NIM Summary 3" xfId="9129"/>
    <cellStyle name="_Price Output_NIM Summary 3 2" xfId="9130"/>
    <cellStyle name="_Price Output_NIM Summary 4" xfId="9131"/>
    <cellStyle name="_Price Output_NIM Summary_DEM-WP(C) ENERG10C--ctn Mid-C_042010 2010GRC" xfId="9132"/>
    <cellStyle name="_Price Output_NIM Summary_DEM-WP(C) ENERG10C--ctn Mid-C_042010 2010GRC 2" xfId="9133"/>
    <cellStyle name="_Price Output_Wind Integration 10GRC" xfId="9134"/>
    <cellStyle name="_Price Output_Wind Integration 10GRC 2" xfId="9135"/>
    <cellStyle name="_Price Output_Wind Integration 10GRC 2 2" xfId="9136"/>
    <cellStyle name="_Price Output_Wind Integration 10GRC 3" xfId="9137"/>
    <cellStyle name="_Price Output_Wind Integration 10GRC 3 2" xfId="9138"/>
    <cellStyle name="_Price Output_Wind Integration 10GRC 4" xfId="9139"/>
    <cellStyle name="_Price Output_Wind Integration 10GRC_DEM-WP(C) ENERG10C--ctn Mid-C_042010 2010GRC" xfId="9140"/>
    <cellStyle name="_Price Output_Wind Integration 10GRC_DEM-WP(C) ENERG10C--ctn Mid-C_042010 2010GRC 2" xfId="9141"/>
    <cellStyle name="_Prices" xfId="9142"/>
    <cellStyle name="_Prices 2" xfId="9143"/>
    <cellStyle name="_Prices 2 2" xfId="9144"/>
    <cellStyle name="_Prices 2 3" xfId="9145"/>
    <cellStyle name="_Prices 3" xfId="9146"/>
    <cellStyle name="_Prices 3 2" xfId="9147"/>
    <cellStyle name="_Prices 3 2 2" xfId="9148"/>
    <cellStyle name="_Prices 3 3" xfId="9149"/>
    <cellStyle name="_Prices 4" xfId="9150"/>
    <cellStyle name="_Prices 4 2" xfId="9151"/>
    <cellStyle name="_Prices 5" xfId="9152"/>
    <cellStyle name="_Prices 5 2" xfId="9153"/>
    <cellStyle name="_Prices 6" xfId="9154"/>
    <cellStyle name="_Prices 6 2" xfId="9155"/>
    <cellStyle name="_Prices_DEM-WP(C) Chelan Power Costs" xfId="9156"/>
    <cellStyle name="_Prices_DEM-WP(C) Chelan Power Costs 2" xfId="9157"/>
    <cellStyle name="_Prices_DEM-WP(C) ENERG10C--ctn Mid-C_042010 2010GRC" xfId="9158"/>
    <cellStyle name="_Prices_DEM-WP(C) ENERG10C--ctn Mid-C_042010 2010GRC 2" xfId="9159"/>
    <cellStyle name="_Prices_DEM-WP(C) Gas Transport 2010GRC" xfId="9160"/>
    <cellStyle name="_Prices_DEM-WP(C) Gas Transport 2010GRC 2" xfId="9161"/>
    <cellStyle name="_Prices_NIM Summary" xfId="9162"/>
    <cellStyle name="_Prices_NIM Summary 2" xfId="9163"/>
    <cellStyle name="_Prices_NIM Summary 2 2" xfId="9164"/>
    <cellStyle name="_Prices_NIM Summary 3" xfId="9165"/>
    <cellStyle name="_Prices_NIM Summary 3 2" xfId="9166"/>
    <cellStyle name="_Prices_NIM Summary 4" xfId="9167"/>
    <cellStyle name="_Prices_NIM Summary_DEM-WP(C) ENERG10C--ctn Mid-C_042010 2010GRC" xfId="9168"/>
    <cellStyle name="_Prices_NIM Summary_DEM-WP(C) ENERG10C--ctn Mid-C_042010 2010GRC 2" xfId="9169"/>
    <cellStyle name="_Prices_Wind Integration 10GRC" xfId="9170"/>
    <cellStyle name="_Prices_Wind Integration 10GRC 2" xfId="9171"/>
    <cellStyle name="_Prices_Wind Integration 10GRC 2 2" xfId="9172"/>
    <cellStyle name="_Prices_Wind Integration 10GRC 3" xfId="9173"/>
    <cellStyle name="_Prices_Wind Integration 10GRC 3 2" xfId="9174"/>
    <cellStyle name="_Prices_Wind Integration 10GRC 4" xfId="9175"/>
    <cellStyle name="_Prices_Wind Integration 10GRC_DEM-WP(C) ENERG10C--ctn Mid-C_042010 2010GRC" xfId="9176"/>
    <cellStyle name="_Prices_Wind Integration 10GRC_DEM-WP(C) ENERG10C--ctn Mid-C_042010 2010GRC 2" xfId="9177"/>
    <cellStyle name="_Pro Forma Rev 07 GRC" xfId="18196"/>
    <cellStyle name="_x0013__Rebuttal Power Costs" xfId="9178"/>
    <cellStyle name="_x0013__Rebuttal Power Costs 2" xfId="9179"/>
    <cellStyle name="_x0013__Rebuttal Power Costs 2 2" xfId="9180"/>
    <cellStyle name="_x0013__Rebuttal Power Costs 3" xfId="9181"/>
    <cellStyle name="_x0013__Rebuttal Power Costs 3 2" xfId="9182"/>
    <cellStyle name="_x0013__Rebuttal Power Costs 4" xfId="9183"/>
    <cellStyle name="_x0013__Rebuttal Power Costs_Adj Bench DR 3 for Initial Briefs (Electric)" xfId="9184"/>
    <cellStyle name="_x0013__Rebuttal Power Costs_Adj Bench DR 3 for Initial Briefs (Electric) 2" xfId="9185"/>
    <cellStyle name="_x0013__Rebuttal Power Costs_Adj Bench DR 3 for Initial Briefs (Electric) 2 2" xfId="9186"/>
    <cellStyle name="_x0013__Rebuttal Power Costs_Adj Bench DR 3 for Initial Briefs (Electric) 3" xfId="9187"/>
    <cellStyle name="_x0013__Rebuttal Power Costs_Adj Bench DR 3 for Initial Briefs (Electric) 3 2" xfId="9188"/>
    <cellStyle name="_x0013__Rebuttal Power Costs_Adj Bench DR 3 for Initial Briefs (Electric) 4" xfId="9189"/>
    <cellStyle name="_x0013__Rebuttal Power Costs_Adj Bench DR 3 for Initial Briefs (Electric)_DEM-WP(C) ENERG10C--ctn Mid-C_042010 2010GRC" xfId="9190"/>
    <cellStyle name="_x0013__Rebuttal Power Costs_Adj Bench DR 3 for Initial Briefs (Electric)_DEM-WP(C) ENERG10C--ctn Mid-C_042010 2010GRC 2" xfId="9191"/>
    <cellStyle name="_x0013__Rebuttal Power Costs_DEM-WP(C) ENERG10C--ctn Mid-C_042010 2010GRC" xfId="9192"/>
    <cellStyle name="_x0013__Rebuttal Power Costs_DEM-WP(C) ENERG10C--ctn Mid-C_042010 2010GRC 2" xfId="9193"/>
    <cellStyle name="_x0013__Rebuttal Power Costs_Electric Rev Req Model (2009 GRC) Rebuttal" xfId="9194"/>
    <cellStyle name="_x0013__Rebuttal Power Costs_Electric Rev Req Model (2009 GRC) Rebuttal 2" xfId="9195"/>
    <cellStyle name="_x0013__Rebuttal Power Costs_Electric Rev Req Model (2009 GRC) Rebuttal 2 2" xfId="9196"/>
    <cellStyle name="_x0013__Rebuttal Power Costs_Electric Rev Req Model (2009 GRC) Rebuttal 3" xfId="9197"/>
    <cellStyle name="_x0013__Rebuttal Power Costs_Electric Rev Req Model (2009 GRC) Rebuttal REmoval of New  WH Solar AdjustMI" xfId="9198"/>
    <cellStyle name="_x0013__Rebuttal Power Costs_Electric Rev Req Model (2009 GRC) Rebuttal REmoval of New  WH Solar AdjustMI 2" xfId="9199"/>
    <cellStyle name="_x0013__Rebuttal Power Costs_Electric Rev Req Model (2009 GRC) Rebuttal REmoval of New  WH Solar AdjustMI 2 2" xfId="9200"/>
    <cellStyle name="_x0013__Rebuttal Power Costs_Electric Rev Req Model (2009 GRC) Rebuttal REmoval of New  WH Solar AdjustMI 3" xfId="9201"/>
    <cellStyle name="_x0013__Rebuttal Power Costs_Electric Rev Req Model (2009 GRC) Rebuttal REmoval of New  WH Solar AdjustMI 3 2" xfId="9202"/>
    <cellStyle name="_x0013__Rebuttal Power Costs_Electric Rev Req Model (2009 GRC) Rebuttal REmoval of New  WH Solar AdjustMI 4" xfId="9203"/>
    <cellStyle name="_x0013__Rebuttal Power Costs_Electric Rev Req Model (2009 GRC) Rebuttal REmoval of New  WH Solar AdjustMI_DEM-WP(C) ENERG10C--ctn Mid-C_042010 2010GRC" xfId="9204"/>
    <cellStyle name="_x0013__Rebuttal Power Costs_Electric Rev Req Model (2009 GRC) Rebuttal REmoval of New  WH Solar AdjustMI_DEM-WP(C) ENERG10C--ctn Mid-C_042010 2010GRC 2" xfId="9205"/>
    <cellStyle name="_x0013__Rebuttal Power Costs_Electric Rev Req Model (2009 GRC) Revised 01-18-2010" xfId="9206"/>
    <cellStyle name="_x0013__Rebuttal Power Costs_Electric Rev Req Model (2009 GRC) Revised 01-18-2010 2" xfId="9207"/>
    <cellStyle name="_x0013__Rebuttal Power Costs_Electric Rev Req Model (2009 GRC) Revised 01-18-2010 2 2" xfId="9208"/>
    <cellStyle name="_x0013__Rebuttal Power Costs_Electric Rev Req Model (2009 GRC) Revised 01-18-2010 3" xfId="9209"/>
    <cellStyle name="_x0013__Rebuttal Power Costs_Electric Rev Req Model (2009 GRC) Revised 01-18-2010 3 2" xfId="9210"/>
    <cellStyle name="_x0013__Rebuttal Power Costs_Electric Rev Req Model (2009 GRC) Revised 01-18-2010 4" xfId="9211"/>
    <cellStyle name="_x0013__Rebuttal Power Costs_Electric Rev Req Model (2009 GRC) Revised 01-18-2010_DEM-WP(C) ENERG10C--ctn Mid-C_042010 2010GRC" xfId="9212"/>
    <cellStyle name="_x0013__Rebuttal Power Costs_Electric Rev Req Model (2009 GRC) Revised 01-18-2010_DEM-WP(C) ENERG10C--ctn Mid-C_042010 2010GRC 2" xfId="9213"/>
    <cellStyle name="_x0013__Rebuttal Power Costs_Final Order Electric EXHIBIT A-1" xfId="9214"/>
    <cellStyle name="_x0013__Rebuttal Power Costs_Final Order Electric EXHIBIT A-1 2" xfId="9215"/>
    <cellStyle name="_x0013__Rebuttal Power Costs_Final Order Electric EXHIBIT A-1 2 2" xfId="9216"/>
    <cellStyle name="_x0013__Rebuttal Power Costs_Final Order Electric EXHIBIT A-1 3" xfId="9217"/>
    <cellStyle name="_recommendation" xfId="9218"/>
    <cellStyle name="_recommendation 2" xfId="9219"/>
    <cellStyle name="_recommendation 2 2" xfId="9220"/>
    <cellStyle name="_recommendation 2 3" xfId="9221"/>
    <cellStyle name="_recommendation 3" xfId="9222"/>
    <cellStyle name="_recommendation 3 2" xfId="9223"/>
    <cellStyle name="_recommendation 3 2 2" xfId="9224"/>
    <cellStyle name="_recommendation 3 3" xfId="9225"/>
    <cellStyle name="_recommendation 4" xfId="9226"/>
    <cellStyle name="_recommendation 4 2" xfId="9227"/>
    <cellStyle name="_recommendation 5" xfId="9228"/>
    <cellStyle name="_recommendation 5 2" xfId="9229"/>
    <cellStyle name="_recommendation 6" xfId="9230"/>
    <cellStyle name="_recommendation 6 2" xfId="9231"/>
    <cellStyle name="_recommendation_DEM-WP(C) Chelan Power Costs" xfId="9232"/>
    <cellStyle name="_recommendation_DEM-WP(C) Chelan Power Costs 2" xfId="9233"/>
    <cellStyle name="_recommendation_DEM-WP(C) ENERG10C--ctn Mid-C_042010 2010GRC" xfId="9234"/>
    <cellStyle name="_recommendation_DEM-WP(C) ENERG10C--ctn Mid-C_042010 2010GRC 2" xfId="9235"/>
    <cellStyle name="_recommendation_DEM-WP(C) Gas Transport 2010GRC" xfId="9236"/>
    <cellStyle name="_recommendation_DEM-WP(C) Gas Transport 2010GRC 2" xfId="9237"/>
    <cellStyle name="_recommendation_DEM-WP(C) Wind Integration Summary 2010GRC" xfId="9238"/>
    <cellStyle name="_recommendation_DEM-WP(C) Wind Integration Summary 2010GRC 2" xfId="9239"/>
    <cellStyle name="_recommendation_DEM-WP(C) Wind Integration Summary 2010GRC 2 2" xfId="9240"/>
    <cellStyle name="_recommendation_DEM-WP(C) Wind Integration Summary 2010GRC 3" xfId="9241"/>
    <cellStyle name="_recommendation_DEM-WP(C) Wind Integration Summary 2010GRC 3 2" xfId="9242"/>
    <cellStyle name="_recommendation_DEM-WP(C) Wind Integration Summary 2010GRC 4" xfId="9243"/>
    <cellStyle name="_recommendation_DEM-WP(C) Wind Integration Summary 2010GRC_DEM-WP(C) ENERG10C--ctn Mid-C_042010 2010GRC" xfId="9244"/>
    <cellStyle name="_recommendation_DEM-WP(C) Wind Integration Summary 2010GRC_DEM-WP(C) ENERG10C--ctn Mid-C_042010 2010GRC 2" xfId="9245"/>
    <cellStyle name="_recommendation_NIM Summary" xfId="9246"/>
    <cellStyle name="_recommendation_NIM Summary 2" xfId="9247"/>
    <cellStyle name="_recommendation_NIM Summary 2 2" xfId="9248"/>
    <cellStyle name="_recommendation_NIM Summary 3" xfId="9249"/>
    <cellStyle name="_recommendation_NIM Summary 3 2" xfId="9250"/>
    <cellStyle name="_recommendation_NIM Summary 4" xfId="9251"/>
    <cellStyle name="_recommendation_NIM Summary_DEM-WP(C) ENERG10C--ctn Mid-C_042010 2010GRC" xfId="9252"/>
    <cellStyle name="_recommendation_NIM Summary_DEM-WP(C) ENERG10C--ctn Mid-C_042010 2010GRC 2" xfId="9253"/>
    <cellStyle name="_Recon to Darrin's 5.11.05 proforma" xfId="9254"/>
    <cellStyle name="_Recon to Darrin's 5.11.05 proforma 2" xfId="9255"/>
    <cellStyle name="_Recon to Darrin's 5.11.05 proforma 2 2" xfId="9256"/>
    <cellStyle name="_Recon to Darrin's 5.11.05 proforma 2 2 2" xfId="9257"/>
    <cellStyle name="_Recon to Darrin's 5.11.05 proforma 2 3" xfId="9258"/>
    <cellStyle name="_Recon to Darrin's 5.11.05 proforma 2 3 2" xfId="9259"/>
    <cellStyle name="_Recon to Darrin's 5.11.05 proforma 2 4" xfId="9260"/>
    <cellStyle name="_Recon to Darrin's 5.11.05 proforma 3" xfId="9261"/>
    <cellStyle name="_Recon to Darrin's 5.11.05 proforma 3 2" xfId="9262"/>
    <cellStyle name="_Recon to Darrin's 5.11.05 proforma 4" xfId="9263"/>
    <cellStyle name="_Recon to Darrin's 5.11.05 proforma 4 2" xfId="9264"/>
    <cellStyle name="_Recon to Darrin's 5.11.05 proforma 4 2 2" xfId="9265"/>
    <cellStyle name="_Recon to Darrin's 5.11.05 proforma 4 3" xfId="9266"/>
    <cellStyle name="_Recon to Darrin's 5.11.05 proforma 5" xfId="9267"/>
    <cellStyle name="_Recon to Darrin's 5.11.05 proforma 5 2" xfId="9268"/>
    <cellStyle name="_Recon to Darrin's 5.11.05 proforma 5 2 2" xfId="9269"/>
    <cellStyle name="_Recon to Darrin's 5.11.05 proforma 5 3" xfId="9270"/>
    <cellStyle name="_Recon to Darrin's 5.11.05 proforma 5 3 2" xfId="9271"/>
    <cellStyle name="_Recon to Darrin's 5.11.05 proforma 5 4" xfId="9272"/>
    <cellStyle name="_Recon to Darrin's 5.11.05 proforma 6" xfId="9273"/>
    <cellStyle name="_Recon to Darrin's 5.11.05 proforma 6 2" xfId="9274"/>
    <cellStyle name="_Recon to Darrin's 5.11.05 proforma 7" xfId="9275"/>
    <cellStyle name="_Recon to Darrin's 5.11.05 proforma 7 2" xfId="9276"/>
    <cellStyle name="_Recon to Darrin's 5.11.05 proforma 7 2 2" xfId="9277"/>
    <cellStyle name="_Recon to Darrin's 5.11.05 proforma 7 3" xfId="9278"/>
    <cellStyle name="_Recon to Darrin's 5.11.05 proforma 8" xfId="9279"/>
    <cellStyle name="_Recon to Darrin's 5.11.05 proforma 8 2" xfId="9280"/>
    <cellStyle name="_Recon to Darrin's 5.11.05 proforma 8 2 2" xfId="9281"/>
    <cellStyle name="_Recon to Darrin's 5.11.05 proforma 8 3" xfId="9282"/>
    <cellStyle name="_Recon to Darrin's 5.11.05 proforma 9" xfId="9283"/>
    <cellStyle name="_Recon to Darrin's 5.11.05 proforma_(C) WHE Proforma with ITC cash grant 10 Yr Amort_for deferral_102809" xfId="9284"/>
    <cellStyle name="_Recon to Darrin's 5.11.05 proforma_(C) WHE Proforma with ITC cash grant 10 Yr Amort_for deferral_102809 2" xfId="9285"/>
    <cellStyle name="_Recon to Darrin's 5.11.05 proforma_(C) WHE Proforma with ITC cash grant 10 Yr Amort_for deferral_102809 2 2" xfId="9286"/>
    <cellStyle name="_Recon to Darrin's 5.11.05 proforma_(C) WHE Proforma with ITC cash grant 10 Yr Amort_for deferral_102809 3" xfId="9287"/>
    <cellStyle name="_Recon to Darrin's 5.11.05 proforma_(C) WHE Proforma with ITC cash grant 10 Yr Amort_for deferral_102809 3 2" xfId="9288"/>
    <cellStyle name="_Recon to Darrin's 5.11.05 proforma_(C) WHE Proforma with ITC cash grant 10 Yr Amort_for deferral_102809 4" xfId="9289"/>
    <cellStyle name="_Recon to Darrin's 5.11.05 proforma_(C) WHE Proforma with ITC cash grant 10 Yr Amort_for deferral_102809_16.07E Wild Horse Wind Expansionwrkingfile" xfId="9290"/>
    <cellStyle name="_Recon to Darrin's 5.11.05 proforma_(C) WHE Proforma with ITC cash grant 10 Yr Amort_for deferral_102809_16.07E Wild Horse Wind Expansionwrkingfile 2" xfId="9291"/>
    <cellStyle name="_Recon to Darrin's 5.11.05 proforma_(C) WHE Proforma with ITC cash grant 10 Yr Amort_for deferral_102809_16.07E Wild Horse Wind Expansionwrkingfile 2 2" xfId="9292"/>
    <cellStyle name="_Recon to Darrin's 5.11.05 proforma_(C) WHE Proforma with ITC cash grant 10 Yr Amort_for deferral_102809_16.07E Wild Horse Wind Expansionwrkingfile 3" xfId="9293"/>
    <cellStyle name="_Recon to Darrin's 5.11.05 proforma_(C) WHE Proforma with ITC cash grant 10 Yr Amort_for deferral_102809_16.07E Wild Horse Wind Expansionwrkingfile 3 2" xfId="9294"/>
    <cellStyle name="_Recon to Darrin's 5.11.05 proforma_(C) WHE Proforma with ITC cash grant 10 Yr Amort_for deferral_102809_16.07E Wild Horse Wind Expansionwrkingfile 4" xfId="9295"/>
    <cellStyle name="_Recon to Darrin's 5.11.05 proforma_(C) WHE Proforma with ITC cash grant 10 Yr Amort_for deferral_102809_16.07E Wild Horse Wind Expansionwrkingfile SF" xfId="9296"/>
    <cellStyle name="_Recon to Darrin's 5.11.05 proforma_(C) WHE Proforma with ITC cash grant 10 Yr Amort_for deferral_102809_16.07E Wild Horse Wind Expansionwrkingfile SF 2" xfId="9297"/>
    <cellStyle name="_Recon to Darrin's 5.11.05 proforma_(C) WHE Proforma with ITC cash grant 10 Yr Amort_for deferral_102809_16.07E Wild Horse Wind Expansionwrkingfile SF 2 2" xfId="9298"/>
    <cellStyle name="_Recon to Darrin's 5.11.05 proforma_(C) WHE Proforma with ITC cash grant 10 Yr Amort_for deferral_102809_16.07E Wild Horse Wind Expansionwrkingfile SF 3" xfId="9299"/>
    <cellStyle name="_Recon to Darrin's 5.11.05 proforma_(C) WHE Proforma with ITC cash grant 10 Yr Amort_for deferral_102809_16.07E Wild Horse Wind Expansionwrkingfile SF 3 2" xfId="9300"/>
    <cellStyle name="_Recon to Darrin's 5.11.05 proforma_(C) WHE Proforma with ITC cash grant 10 Yr Amort_for deferral_102809_16.07E Wild Horse Wind Expansionwrkingfile SF 4" xfId="9301"/>
    <cellStyle name="_Recon to Darrin's 5.11.05 proforma_(C) WHE Proforma with ITC cash grant 10 Yr Amort_for deferral_102809_16.07E Wild Horse Wind Expansionwrkingfile SF_DEM-WP(C) ENERG10C--ctn Mid-C_042010 2010GRC" xfId="9302"/>
    <cellStyle name="_Recon to Darrin's 5.11.05 proforma_(C) WHE Proforma with ITC cash grant 10 Yr Amort_for deferral_102809_16.07E Wild Horse Wind Expansionwrkingfile SF_DEM-WP(C) ENERG10C--ctn Mid-C_042010 2010GRC 2" xfId="9303"/>
    <cellStyle name="_Recon to Darrin's 5.11.05 proforma_(C) WHE Proforma with ITC cash grant 10 Yr Amort_for deferral_102809_16.07E Wild Horse Wind Expansionwrkingfile_DEM-WP(C) ENERG10C--ctn Mid-C_042010 2010GRC" xfId="9304"/>
    <cellStyle name="_Recon to Darrin's 5.11.05 proforma_(C) WHE Proforma with ITC cash grant 10 Yr Amort_for deferral_102809_16.07E Wild Horse Wind Expansionwrkingfile_DEM-WP(C) ENERG10C--ctn Mid-C_042010 2010GRC 2" xfId="9305"/>
    <cellStyle name="_Recon to Darrin's 5.11.05 proforma_(C) WHE Proforma with ITC cash grant 10 Yr Amort_for deferral_102809_16.37E Wild Horse Expansion DeferralRevwrkingfile SF" xfId="9306"/>
    <cellStyle name="_Recon to Darrin's 5.11.05 proforma_(C) WHE Proforma with ITC cash grant 10 Yr Amort_for deferral_102809_16.37E Wild Horse Expansion DeferralRevwrkingfile SF 2" xfId="9307"/>
    <cellStyle name="_Recon to Darrin's 5.11.05 proforma_(C) WHE Proforma with ITC cash grant 10 Yr Amort_for deferral_102809_16.37E Wild Horse Expansion DeferralRevwrkingfile SF 2 2" xfId="9308"/>
    <cellStyle name="_Recon to Darrin's 5.11.05 proforma_(C) WHE Proforma with ITC cash grant 10 Yr Amort_for deferral_102809_16.37E Wild Horse Expansion DeferralRevwrkingfile SF 3" xfId="9309"/>
    <cellStyle name="_Recon to Darrin's 5.11.05 proforma_(C) WHE Proforma with ITC cash grant 10 Yr Amort_for deferral_102809_16.37E Wild Horse Expansion DeferralRevwrkingfile SF 3 2" xfId="9310"/>
    <cellStyle name="_Recon to Darrin's 5.11.05 proforma_(C) WHE Proforma with ITC cash grant 10 Yr Amort_for deferral_102809_16.37E Wild Horse Expansion DeferralRevwrkingfile SF 4" xfId="9311"/>
    <cellStyle name="_Recon to Darrin's 5.11.05 proforma_(C) WHE Proforma with ITC cash grant 10 Yr Amort_for deferral_102809_16.37E Wild Horse Expansion DeferralRevwrkingfile SF_DEM-WP(C) ENERG10C--ctn Mid-C_042010 2010GRC" xfId="9312"/>
    <cellStyle name="_Recon to Darrin's 5.11.05 proforma_(C) WHE Proforma with ITC cash grant 10 Yr Amort_for deferral_102809_16.37E Wild Horse Expansion DeferralRevwrkingfile SF_DEM-WP(C) ENERG10C--ctn Mid-C_042010 2010GRC 2" xfId="9313"/>
    <cellStyle name="_Recon to Darrin's 5.11.05 proforma_(C) WHE Proforma with ITC cash grant 10 Yr Amort_for deferral_102809_DEM-WP(C) ENERG10C--ctn Mid-C_042010 2010GRC" xfId="9314"/>
    <cellStyle name="_Recon to Darrin's 5.11.05 proforma_(C) WHE Proforma with ITC cash grant 10 Yr Amort_for deferral_102809_DEM-WP(C) ENERG10C--ctn Mid-C_042010 2010GRC 2" xfId="9315"/>
    <cellStyle name="_Recon to Darrin's 5.11.05 proforma_(C) WHE Proforma with ITC cash grant 10 Yr Amort_for rebuttal_120709" xfId="9316"/>
    <cellStyle name="_Recon to Darrin's 5.11.05 proforma_(C) WHE Proforma with ITC cash grant 10 Yr Amort_for rebuttal_120709 2" xfId="9317"/>
    <cellStyle name="_Recon to Darrin's 5.11.05 proforma_(C) WHE Proforma with ITC cash grant 10 Yr Amort_for rebuttal_120709 2 2" xfId="9318"/>
    <cellStyle name="_Recon to Darrin's 5.11.05 proforma_(C) WHE Proforma with ITC cash grant 10 Yr Amort_for rebuttal_120709 3" xfId="9319"/>
    <cellStyle name="_Recon to Darrin's 5.11.05 proforma_(C) WHE Proforma with ITC cash grant 10 Yr Amort_for rebuttal_120709 3 2" xfId="9320"/>
    <cellStyle name="_Recon to Darrin's 5.11.05 proforma_(C) WHE Proforma with ITC cash grant 10 Yr Amort_for rebuttal_120709 4" xfId="9321"/>
    <cellStyle name="_Recon to Darrin's 5.11.05 proforma_(C) WHE Proforma with ITC cash grant 10 Yr Amort_for rebuttal_120709_DEM-WP(C) ENERG10C--ctn Mid-C_042010 2010GRC" xfId="9322"/>
    <cellStyle name="_Recon to Darrin's 5.11.05 proforma_(C) WHE Proforma with ITC cash grant 10 Yr Amort_for rebuttal_120709_DEM-WP(C) ENERG10C--ctn Mid-C_042010 2010GRC 2" xfId="9323"/>
    <cellStyle name="_Recon to Darrin's 5.11.05 proforma_04.07E Wild Horse Wind Expansion" xfId="9324"/>
    <cellStyle name="_Recon to Darrin's 5.11.05 proforma_04.07E Wild Horse Wind Expansion 2" xfId="9325"/>
    <cellStyle name="_Recon to Darrin's 5.11.05 proforma_04.07E Wild Horse Wind Expansion 2 2" xfId="9326"/>
    <cellStyle name="_Recon to Darrin's 5.11.05 proforma_04.07E Wild Horse Wind Expansion 3" xfId="9327"/>
    <cellStyle name="_Recon to Darrin's 5.11.05 proforma_04.07E Wild Horse Wind Expansion 3 2" xfId="9328"/>
    <cellStyle name="_Recon to Darrin's 5.11.05 proforma_04.07E Wild Horse Wind Expansion 4" xfId="9329"/>
    <cellStyle name="_Recon to Darrin's 5.11.05 proforma_04.07E Wild Horse Wind Expansion_16.07E Wild Horse Wind Expansionwrkingfile" xfId="9330"/>
    <cellStyle name="_Recon to Darrin's 5.11.05 proforma_04.07E Wild Horse Wind Expansion_16.07E Wild Horse Wind Expansionwrkingfile 2" xfId="9331"/>
    <cellStyle name="_Recon to Darrin's 5.11.05 proforma_04.07E Wild Horse Wind Expansion_16.07E Wild Horse Wind Expansionwrkingfile 2 2" xfId="9332"/>
    <cellStyle name="_Recon to Darrin's 5.11.05 proforma_04.07E Wild Horse Wind Expansion_16.07E Wild Horse Wind Expansionwrkingfile 3" xfId="9333"/>
    <cellStyle name="_Recon to Darrin's 5.11.05 proforma_04.07E Wild Horse Wind Expansion_16.07E Wild Horse Wind Expansionwrkingfile 3 2" xfId="9334"/>
    <cellStyle name="_Recon to Darrin's 5.11.05 proforma_04.07E Wild Horse Wind Expansion_16.07E Wild Horse Wind Expansionwrkingfile 4" xfId="9335"/>
    <cellStyle name="_Recon to Darrin's 5.11.05 proforma_04.07E Wild Horse Wind Expansion_16.07E Wild Horse Wind Expansionwrkingfile SF" xfId="9336"/>
    <cellStyle name="_Recon to Darrin's 5.11.05 proforma_04.07E Wild Horse Wind Expansion_16.07E Wild Horse Wind Expansionwrkingfile SF 2" xfId="9337"/>
    <cellStyle name="_Recon to Darrin's 5.11.05 proforma_04.07E Wild Horse Wind Expansion_16.07E Wild Horse Wind Expansionwrkingfile SF 2 2" xfId="9338"/>
    <cellStyle name="_Recon to Darrin's 5.11.05 proforma_04.07E Wild Horse Wind Expansion_16.07E Wild Horse Wind Expansionwrkingfile SF 3" xfId="9339"/>
    <cellStyle name="_Recon to Darrin's 5.11.05 proforma_04.07E Wild Horse Wind Expansion_16.07E Wild Horse Wind Expansionwrkingfile SF 3 2" xfId="9340"/>
    <cellStyle name="_Recon to Darrin's 5.11.05 proforma_04.07E Wild Horse Wind Expansion_16.07E Wild Horse Wind Expansionwrkingfile SF 4" xfId="9341"/>
    <cellStyle name="_Recon to Darrin's 5.11.05 proforma_04.07E Wild Horse Wind Expansion_16.07E Wild Horse Wind Expansionwrkingfile SF_DEM-WP(C) ENERG10C--ctn Mid-C_042010 2010GRC" xfId="9342"/>
    <cellStyle name="_Recon to Darrin's 5.11.05 proforma_04.07E Wild Horse Wind Expansion_16.07E Wild Horse Wind Expansionwrkingfile SF_DEM-WP(C) ENERG10C--ctn Mid-C_042010 2010GRC 2" xfId="9343"/>
    <cellStyle name="_Recon to Darrin's 5.11.05 proforma_04.07E Wild Horse Wind Expansion_16.07E Wild Horse Wind Expansionwrkingfile_DEM-WP(C) ENERG10C--ctn Mid-C_042010 2010GRC" xfId="9344"/>
    <cellStyle name="_Recon to Darrin's 5.11.05 proforma_04.07E Wild Horse Wind Expansion_16.07E Wild Horse Wind Expansionwrkingfile_DEM-WP(C) ENERG10C--ctn Mid-C_042010 2010GRC 2" xfId="9345"/>
    <cellStyle name="_Recon to Darrin's 5.11.05 proforma_04.07E Wild Horse Wind Expansion_16.37E Wild Horse Expansion DeferralRevwrkingfile SF" xfId="9346"/>
    <cellStyle name="_Recon to Darrin's 5.11.05 proforma_04.07E Wild Horse Wind Expansion_16.37E Wild Horse Expansion DeferralRevwrkingfile SF 2" xfId="9347"/>
    <cellStyle name="_Recon to Darrin's 5.11.05 proforma_04.07E Wild Horse Wind Expansion_16.37E Wild Horse Expansion DeferralRevwrkingfile SF 2 2" xfId="9348"/>
    <cellStyle name="_Recon to Darrin's 5.11.05 proforma_04.07E Wild Horse Wind Expansion_16.37E Wild Horse Expansion DeferralRevwrkingfile SF 3" xfId="9349"/>
    <cellStyle name="_Recon to Darrin's 5.11.05 proforma_04.07E Wild Horse Wind Expansion_16.37E Wild Horse Expansion DeferralRevwrkingfile SF 3 2" xfId="9350"/>
    <cellStyle name="_Recon to Darrin's 5.11.05 proforma_04.07E Wild Horse Wind Expansion_16.37E Wild Horse Expansion DeferralRevwrkingfile SF 4" xfId="9351"/>
    <cellStyle name="_Recon to Darrin's 5.11.05 proforma_04.07E Wild Horse Wind Expansion_16.37E Wild Horse Expansion DeferralRevwrkingfile SF_DEM-WP(C) ENERG10C--ctn Mid-C_042010 2010GRC" xfId="9352"/>
    <cellStyle name="_Recon to Darrin's 5.11.05 proforma_04.07E Wild Horse Wind Expansion_16.37E Wild Horse Expansion DeferralRevwrkingfile SF_DEM-WP(C) ENERG10C--ctn Mid-C_042010 2010GRC 2" xfId="9353"/>
    <cellStyle name="_Recon to Darrin's 5.11.05 proforma_04.07E Wild Horse Wind Expansion_DEM-WP(C) ENERG10C--ctn Mid-C_042010 2010GRC" xfId="9354"/>
    <cellStyle name="_Recon to Darrin's 5.11.05 proforma_04.07E Wild Horse Wind Expansion_DEM-WP(C) ENERG10C--ctn Mid-C_042010 2010GRC 2" xfId="9355"/>
    <cellStyle name="_Recon to Darrin's 5.11.05 proforma_16.07E Wild Horse Wind Expansionwrkingfile" xfId="9356"/>
    <cellStyle name="_Recon to Darrin's 5.11.05 proforma_16.07E Wild Horse Wind Expansionwrkingfile 2" xfId="9357"/>
    <cellStyle name="_Recon to Darrin's 5.11.05 proforma_16.07E Wild Horse Wind Expansionwrkingfile 2 2" xfId="9358"/>
    <cellStyle name="_Recon to Darrin's 5.11.05 proforma_16.07E Wild Horse Wind Expansionwrkingfile 3" xfId="9359"/>
    <cellStyle name="_Recon to Darrin's 5.11.05 proforma_16.07E Wild Horse Wind Expansionwrkingfile 3 2" xfId="9360"/>
    <cellStyle name="_Recon to Darrin's 5.11.05 proforma_16.07E Wild Horse Wind Expansionwrkingfile 4" xfId="9361"/>
    <cellStyle name="_Recon to Darrin's 5.11.05 proforma_16.07E Wild Horse Wind Expansionwrkingfile SF" xfId="9362"/>
    <cellStyle name="_Recon to Darrin's 5.11.05 proforma_16.07E Wild Horse Wind Expansionwrkingfile SF 2" xfId="9363"/>
    <cellStyle name="_Recon to Darrin's 5.11.05 proforma_16.07E Wild Horse Wind Expansionwrkingfile SF 2 2" xfId="9364"/>
    <cellStyle name="_Recon to Darrin's 5.11.05 proforma_16.07E Wild Horse Wind Expansionwrkingfile SF 3" xfId="9365"/>
    <cellStyle name="_Recon to Darrin's 5.11.05 proforma_16.07E Wild Horse Wind Expansionwrkingfile SF 3 2" xfId="9366"/>
    <cellStyle name="_Recon to Darrin's 5.11.05 proforma_16.07E Wild Horse Wind Expansionwrkingfile SF 4" xfId="9367"/>
    <cellStyle name="_Recon to Darrin's 5.11.05 proforma_16.07E Wild Horse Wind Expansionwrkingfile SF_DEM-WP(C) ENERG10C--ctn Mid-C_042010 2010GRC" xfId="9368"/>
    <cellStyle name="_Recon to Darrin's 5.11.05 proforma_16.07E Wild Horse Wind Expansionwrkingfile SF_DEM-WP(C) ENERG10C--ctn Mid-C_042010 2010GRC 2" xfId="9369"/>
    <cellStyle name="_Recon to Darrin's 5.11.05 proforma_16.07E Wild Horse Wind Expansionwrkingfile_DEM-WP(C) ENERG10C--ctn Mid-C_042010 2010GRC" xfId="9370"/>
    <cellStyle name="_Recon to Darrin's 5.11.05 proforma_16.07E Wild Horse Wind Expansionwrkingfile_DEM-WP(C) ENERG10C--ctn Mid-C_042010 2010GRC 2" xfId="9371"/>
    <cellStyle name="_Recon to Darrin's 5.11.05 proforma_16.37E Wild Horse Expansion DeferralRevwrkingfile SF" xfId="9372"/>
    <cellStyle name="_Recon to Darrin's 5.11.05 proforma_16.37E Wild Horse Expansion DeferralRevwrkingfile SF 2" xfId="9373"/>
    <cellStyle name="_Recon to Darrin's 5.11.05 proforma_16.37E Wild Horse Expansion DeferralRevwrkingfile SF 2 2" xfId="9374"/>
    <cellStyle name="_Recon to Darrin's 5.11.05 proforma_16.37E Wild Horse Expansion DeferralRevwrkingfile SF 3" xfId="9375"/>
    <cellStyle name="_Recon to Darrin's 5.11.05 proforma_16.37E Wild Horse Expansion DeferralRevwrkingfile SF 3 2" xfId="9376"/>
    <cellStyle name="_Recon to Darrin's 5.11.05 proforma_16.37E Wild Horse Expansion DeferralRevwrkingfile SF 4" xfId="9377"/>
    <cellStyle name="_Recon to Darrin's 5.11.05 proforma_16.37E Wild Horse Expansion DeferralRevwrkingfile SF_DEM-WP(C) ENERG10C--ctn Mid-C_042010 2010GRC" xfId="9378"/>
    <cellStyle name="_Recon to Darrin's 5.11.05 proforma_16.37E Wild Horse Expansion DeferralRevwrkingfile SF_DEM-WP(C) ENERG10C--ctn Mid-C_042010 2010GRC 2" xfId="9379"/>
    <cellStyle name="_Recon to Darrin's 5.11.05 proforma_2009 Compliance Filing PCA Exhibits for GRC" xfId="9380"/>
    <cellStyle name="_Recon to Darrin's 5.11.05 proforma_2009 Compliance Filing PCA Exhibits for GRC 2" xfId="9381"/>
    <cellStyle name="_Recon to Darrin's 5.11.05 proforma_2009 Compliance Filing PCA Exhibits for GRC 2 2" xfId="9382"/>
    <cellStyle name="_Recon to Darrin's 5.11.05 proforma_2009 Compliance Filing PCA Exhibits for GRC 3" xfId="9383"/>
    <cellStyle name="_Recon to Darrin's 5.11.05 proforma_2009 GRC Compl Filing - Exhibit D" xfId="9384"/>
    <cellStyle name="_Recon to Darrin's 5.11.05 proforma_2009 GRC Compl Filing - Exhibit D 2" xfId="9385"/>
    <cellStyle name="_Recon to Darrin's 5.11.05 proforma_2009 GRC Compl Filing - Exhibit D 2 2" xfId="9386"/>
    <cellStyle name="_Recon to Darrin's 5.11.05 proforma_2009 GRC Compl Filing - Exhibit D 3" xfId="9387"/>
    <cellStyle name="_Recon to Darrin's 5.11.05 proforma_2009 GRC Compl Filing - Exhibit D 3 2" xfId="9388"/>
    <cellStyle name="_Recon to Darrin's 5.11.05 proforma_2009 GRC Compl Filing - Exhibit D 4" xfId="9389"/>
    <cellStyle name="_Recon to Darrin's 5.11.05 proforma_2009 GRC Compl Filing - Exhibit D_DEM-WP(C) ENERG10C--ctn Mid-C_042010 2010GRC" xfId="9390"/>
    <cellStyle name="_Recon to Darrin's 5.11.05 proforma_2009 GRC Compl Filing - Exhibit D_DEM-WP(C) ENERG10C--ctn Mid-C_042010 2010GRC 2" xfId="9391"/>
    <cellStyle name="_Recon to Darrin's 5.11.05 proforma_3.01 Income Statement" xfId="9392"/>
    <cellStyle name="_Recon to Darrin's 5.11.05 proforma_4 31 Regulatory Assets and Liabilities  7 06- Exhibit D" xfId="9393"/>
    <cellStyle name="_Recon to Darrin's 5.11.05 proforma_4 31 Regulatory Assets and Liabilities  7 06- Exhibit D 2" xfId="9394"/>
    <cellStyle name="_Recon to Darrin's 5.11.05 proforma_4 31 Regulatory Assets and Liabilities  7 06- Exhibit D 2 2" xfId="9395"/>
    <cellStyle name="_Recon to Darrin's 5.11.05 proforma_4 31 Regulatory Assets and Liabilities  7 06- Exhibit D 2 2 2" xfId="9396"/>
    <cellStyle name="_Recon to Darrin's 5.11.05 proforma_4 31 Regulatory Assets and Liabilities  7 06- Exhibit D 2 3" xfId="9397"/>
    <cellStyle name="_Recon to Darrin's 5.11.05 proforma_4 31 Regulatory Assets and Liabilities  7 06- Exhibit D 3" xfId="9398"/>
    <cellStyle name="_Recon to Darrin's 5.11.05 proforma_4 31 Regulatory Assets and Liabilities  7 06- Exhibit D 3 2" xfId="9399"/>
    <cellStyle name="_Recon to Darrin's 5.11.05 proforma_4 31 Regulatory Assets and Liabilities  7 06- Exhibit D 4" xfId="9400"/>
    <cellStyle name="_Recon to Darrin's 5.11.05 proforma_4 31 Regulatory Assets and Liabilities  7 06- Exhibit D_DEM-WP(C) ENERG10C--ctn Mid-C_042010 2010GRC" xfId="9401"/>
    <cellStyle name="_Recon to Darrin's 5.11.05 proforma_4 31 Regulatory Assets and Liabilities  7 06- Exhibit D_DEM-WP(C) ENERG10C--ctn Mid-C_042010 2010GRC 2" xfId="9402"/>
    <cellStyle name="_Recon to Darrin's 5.11.05 proforma_4 31 Regulatory Assets and Liabilities  7 06- Exhibit D_NIM Summary" xfId="9403"/>
    <cellStyle name="_Recon to Darrin's 5.11.05 proforma_4 31 Regulatory Assets and Liabilities  7 06- Exhibit D_NIM Summary 2" xfId="9404"/>
    <cellStyle name="_Recon to Darrin's 5.11.05 proforma_4 31 Regulatory Assets and Liabilities  7 06- Exhibit D_NIM Summary 2 2" xfId="9405"/>
    <cellStyle name="_Recon to Darrin's 5.11.05 proforma_4 31 Regulatory Assets and Liabilities  7 06- Exhibit D_NIM Summary 3" xfId="9406"/>
    <cellStyle name="_Recon to Darrin's 5.11.05 proforma_4 31 Regulatory Assets and Liabilities  7 06- Exhibit D_NIM Summary 3 2" xfId="9407"/>
    <cellStyle name="_Recon to Darrin's 5.11.05 proforma_4 31 Regulatory Assets and Liabilities  7 06- Exhibit D_NIM Summary 4" xfId="9408"/>
    <cellStyle name="_Recon to Darrin's 5.11.05 proforma_4 31 Regulatory Assets and Liabilities  7 06- Exhibit D_NIM Summary_DEM-WP(C) ENERG10C--ctn Mid-C_042010 2010GRC" xfId="9409"/>
    <cellStyle name="_Recon to Darrin's 5.11.05 proforma_4 31 Regulatory Assets and Liabilities  7 06- Exhibit D_NIM Summary_DEM-WP(C) ENERG10C--ctn Mid-C_042010 2010GRC 2" xfId="9410"/>
    <cellStyle name="_Recon to Darrin's 5.11.05 proforma_4 31 Regulatory Assets and Liabilities  7 06- Exhibit D_NIM+O&amp;M" xfId="9411"/>
    <cellStyle name="_Recon to Darrin's 5.11.05 proforma_4 31 Regulatory Assets and Liabilities  7 06- Exhibit D_NIM+O&amp;M 2" xfId="9412"/>
    <cellStyle name="_Recon to Darrin's 5.11.05 proforma_4 31 Regulatory Assets and Liabilities  7 06- Exhibit D_NIM+O&amp;M Monthly" xfId="9413"/>
    <cellStyle name="_Recon to Darrin's 5.11.05 proforma_4 31 Regulatory Assets and Liabilities  7 06- Exhibit D_NIM+O&amp;M Monthly 2" xfId="9414"/>
    <cellStyle name="_Recon to Darrin's 5.11.05 proforma_4 31E Reg Asset  Liab and EXH D" xfId="9415"/>
    <cellStyle name="_Recon to Darrin's 5.11.05 proforma_4 31E Reg Asset  Liab and EXH D _ Aug 10 Filing (2)" xfId="9416"/>
    <cellStyle name="_Recon to Darrin's 5.11.05 proforma_4 31E Reg Asset  Liab and EXH D _ Aug 10 Filing (2) 2" xfId="9417"/>
    <cellStyle name="_Recon to Darrin's 5.11.05 proforma_4 31E Reg Asset  Liab and EXH D 2" xfId="9418"/>
    <cellStyle name="_Recon to Darrin's 5.11.05 proforma_4 31E Reg Asset  Liab and EXH D 3" xfId="9419"/>
    <cellStyle name="_Recon to Darrin's 5.11.05 proforma_4 32 Regulatory Assets and Liabilities  7 06- Exhibit D" xfId="9420"/>
    <cellStyle name="_Recon to Darrin's 5.11.05 proforma_4 32 Regulatory Assets and Liabilities  7 06- Exhibit D 2" xfId="9421"/>
    <cellStyle name="_Recon to Darrin's 5.11.05 proforma_4 32 Regulatory Assets and Liabilities  7 06- Exhibit D 2 2" xfId="9422"/>
    <cellStyle name="_Recon to Darrin's 5.11.05 proforma_4 32 Regulatory Assets and Liabilities  7 06- Exhibit D 2 2 2" xfId="9423"/>
    <cellStyle name="_Recon to Darrin's 5.11.05 proforma_4 32 Regulatory Assets and Liabilities  7 06- Exhibit D 2 3" xfId="9424"/>
    <cellStyle name="_Recon to Darrin's 5.11.05 proforma_4 32 Regulatory Assets and Liabilities  7 06- Exhibit D 3" xfId="9425"/>
    <cellStyle name="_Recon to Darrin's 5.11.05 proforma_4 32 Regulatory Assets and Liabilities  7 06- Exhibit D 3 2" xfId="9426"/>
    <cellStyle name="_Recon to Darrin's 5.11.05 proforma_4 32 Regulatory Assets and Liabilities  7 06- Exhibit D 4" xfId="9427"/>
    <cellStyle name="_Recon to Darrin's 5.11.05 proforma_4 32 Regulatory Assets and Liabilities  7 06- Exhibit D_DEM-WP(C) ENERG10C--ctn Mid-C_042010 2010GRC" xfId="9428"/>
    <cellStyle name="_Recon to Darrin's 5.11.05 proforma_4 32 Regulatory Assets and Liabilities  7 06- Exhibit D_DEM-WP(C) ENERG10C--ctn Mid-C_042010 2010GRC 2" xfId="9429"/>
    <cellStyle name="_Recon to Darrin's 5.11.05 proforma_4 32 Regulatory Assets and Liabilities  7 06- Exhibit D_NIM Summary" xfId="9430"/>
    <cellStyle name="_Recon to Darrin's 5.11.05 proforma_4 32 Regulatory Assets and Liabilities  7 06- Exhibit D_NIM Summary 2" xfId="9431"/>
    <cellStyle name="_Recon to Darrin's 5.11.05 proforma_4 32 Regulatory Assets and Liabilities  7 06- Exhibit D_NIM Summary 2 2" xfId="9432"/>
    <cellStyle name="_Recon to Darrin's 5.11.05 proforma_4 32 Regulatory Assets and Liabilities  7 06- Exhibit D_NIM Summary 3" xfId="9433"/>
    <cellStyle name="_Recon to Darrin's 5.11.05 proforma_4 32 Regulatory Assets and Liabilities  7 06- Exhibit D_NIM Summary 3 2" xfId="9434"/>
    <cellStyle name="_Recon to Darrin's 5.11.05 proforma_4 32 Regulatory Assets and Liabilities  7 06- Exhibit D_NIM Summary 4" xfId="9435"/>
    <cellStyle name="_Recon to Darrin's 5.11.05 proforma_4 32 Regulatory Assets and Liabilities  7 06- Exhibit D_NIM Summary_DEM-WP(C) ENERG10C--ctn Mid-C_042010 2010GRC" xfId="9436"/>
    <cellStyle name="_Recon to Darrin's 5.11.05 proforma_4 32 Regulatory Assets and Liabilities  7 06- Exhibit D_NIM Summary_DEM-WP(C) ENERG10C--ctn Mid-C_042010 2010GRC 2" xfId="9437"/>
    <cellStyle name="_Recon to Darrin's 5.11.05 proforma_4 32 Regulatory Assets and Liabilities  7 06- Exhibit D_NIM+O&amp;M" xfId="9438"/>
    <cellStyle name="_Recon to Darrin's 5.11.05 proforma_4 32 Regulatory Assets and Liabilities  7 06- Exhibit D_NIM+O&amp;M 2" xfId="9439"/>
    <cellStyle name="_Recon to Darrin's 5.11.05 proforma_4 32 Regulatory Assets and Liabilities  7 06- Exhibit D_NIM+O&amp;M Monthly" xfId="9440"/>
    <cellStyle name="_Recon to Darrin's 5.11.05 proforma_4 32 Regulatory Assets and Liabilities  7 06- Exhibit D_NIM+O&amp;M Monthly 2" xfId="9441"/>
    <cellStyle name="_Recon to Darrin's 5.11.05 proforma_AURORA Total New" xfId="9442"/>
    <cellStyle name="_Recon to Darrin's 5.11.05 proforma_AURORA Total New 2" xfId="9443"/>
    <cellStyle name="_Recon to Darrin's 5.11.05 proforma_AURORA Total New 2 2" xfId="9444"/>
    <cellStyle name="_Recon to Darrin's 5.11.05 proforma_AURORA Total New 3" xfId="9445"/>
    <cellStyle name="_Recon to Darrin's 5.11.05 proforma_Book2" xfId="9446"/>
    <cellStyle name="_Recon to Darrin's 5.11.05 proforma_Book2 2" xfId="9447"/>
    <cellStyle name="_Recon to Darrin's 5.11.05 proforma_Book2 2 2" xfId="9448"/>
    <cellStyle name="_Recon to Darrin's 5.11.05 proforma_Book2 3" xfId="9449"/>
    <cellStyle name="_Recon to Darrin's 5.11.05 proforma_Book2 3 2" xfId="9450"/>
    <cellStyle name="_Recon to Darrin's 5.11.05 proforma_Book2 4" xfId="9451"/>
    <cellStyle name="_Recon to Darrin's 5.11.05 proforma_Book2_Adj Bench DR 3 for Initial Briefs (Electric)" xfId="9452"/>
    <cellStyle name="_Recon to Darrin's 5.11.05 proforma_Book2_Adj Bench DR 3 for Initial Briefs (Electric) 2" xfId="9453"/>
    <cellStyle name="_Recon to Darrin's 5.11.05 proforma_Book2_Adj Bench DR 3 for Initial Briefs (Electric) 2 2" xfId="9454"/>
    <cellStyle name="_Recon to Darrin's 5.11.05 proforma_Book2_Adj Bench DR 3 for Initial Briefs (Electric) 3" xfId="9455"/>
    <cellStyle name="_Recon to Darrin's 5.11.05 proforma_Book2_Adj Bench DR 3 for Initial Briefs (Electric) 3 2" xfId="9456"/>
    <cellStyle name="_Recon to Darrin's 5.11.05 proforma_Book2_Adj Bench DR 3 for Initial Briefs (Electric) 4" xfId="9457"/>
    <cellStyle name="_Recon to Darrin's 5.11.05 proforma_Book2_Adj Bench DR 3 for Initial Briefs (Electric)_DEM-WP(C) ENERG10C--ctn Mid-C_042010 2010GRC" xfId="9458"/>
    <cellStyle name="_Recon to Darrin's 5.11.05 proforma_Book2_Adj Bench DR 3 for Initial Briefs (Electric)_DEM-WP(C) ENERG10C--ctn Mid-C_042010 2010GRC 2" xfId="9459"/>
    <cellStyle name="_Recon to Darrin's 5.11.05 proforma_Book2_DEM-WP(C) ENERG10C--ctn Mid-C_042010 2010GRC" xfId="9460"/>
    <cellStyle name="_Recon to Darrin's 5.11.05 proforma_Book2_DEM-WP(C) ENERG10C--ctn Mid-C_042010 2010GRC 2" xfId="9461"/>
    <cellStyle name="_Recon to Darrin's 5.11.05 proforma_Book2_Electric Rev Req Model (2009 GRC) Rebuttal" xfId="9462"/>
    <cellStyle name="_Recon to Darrin's 5.11.05 proforma_Book2_Electric Rev Req Model (2009 GRC) Rebuttal 2" xfId="9463"/>
    <cellStyle name="_Recon to Darrin's 5.11.05 proforma_Book2_Electric Rev Req Model (2009 GRC) Rebuttal 2 2" xfId="9464"/>
    <cellStyle name="_Recon to Darrin's 5.11.05 proforma_Book2_Electric Rev Req Model (2009 GRC) Rebuttal 3" xfId="9465"/>
    <cellStyle name="_Recon to Darrin's 5.11.05 proforma_Book2_Electric Rev Req Model (2009 GRC) Rebuttal REmoval of New  WH Solar AdjustMI" xfId="9466"/>
    <cellStyle name="_Recon to Darrin's 5.11.05 proforma_Book2_Electric Rev Req Model (2009 GRC) Rebuttal REmoval of New  WH Solar AdjustMI 2" xfId="9467"/>
    <cellStyle name="_Recon to Darrin's 5.11.05 proforma_Book2_Electric Rev Req Model (2009 GRC) Rebuttal REmoval of New  WH Solar AdjustMI 2 2" xfId="9468"/>
    <cellStyle name="_Recon to Darrin's 5.11.05 proforma_Book2_Electric Rev Req Model (2009 GRC) Rebuttal REmoval of New  WH Solar AdjustMI 3" xfId="9469"/>
    <cellStyle name="_Recon to Darrin's 5.11.05 proforma_Book2_Electric Rev Req Model (2009 GRC) Rebuttal REmoval of New  WH Solar AdjustMI 3 2" xfId="9470"/>
    <cellStyle name="_Recon to Darrin's 5.11.05 proforma_Book2_Electric Rev Req Model (2009 GRC) Rebuttal REmoval of New  WH Solar AdjustMI 4" xfId="9471"/>
    <cellStyle name="_Recon to Darrin's 5.11.05 proforma_Book2_Electric Rev Req Model (2009 GRC) Rebuttal REmoval of New  WH Solar AdjustMI_DEM-WP(C) ENERG10C--ctn Mid-C_042010 2010GRC" xfId="9472"/>
    <cellStyle name="_Recon to Darrin's 5.11.05 proforma_Book2_Electric Rev Req Model (2009 GRC) Rebuttal REmoval of New  WH Solar AdjustMI_DEM-WP(C) ENERG10C--ctn Mid-C_042010 2010GRC 2" xfId="9473"/>
    <cellStyle name="_Recon to Darrin's 5.11.05 proforma_Book2_Electric Rev Req Model (2009 GRC) Revised 01-18-2010" xfId="9474"/>
    <cellStyle name="_Recon to Darrin's 5.11.05 proforma_Book2_Electric Rev Req Model (2009 GRC) Revised 01-18-2010 2" xfId="9475"/>
    <cellStyle name="_Recon to Darrin's 5.11.05 proforma_Book2_Electric Rev Req Model (2009 GRC) Revised 01-18-2010 2 2" xfId="9476"/>
    <cellStyle name="_Recon to Darrin's 5.11.05 proforma_Book2_Electric Rev Req Model (2009 GRC) Revised 01-18-2010 3" xfId="9477"/>
    <cellStyle name="_Recon to Darrin's 5.11.05 proforma_Book2_Electric Rev Req Model (2009 GRC) Revised 01-18-2010 3 2" xfId="9478"/>
    <cellStyle name="_Recon to Darrin's 5.11.05 proforma_Book2_Electric Rev Req Model (2009 GRC) Revised 01-18-2010 4" xfId="9479"/>
    <cellStyle name="_Recon to Darrin's 5.11.05 proforma_Book2_Electric Rev Req Model (2009 GRC) Revised 01-18-2010_DEM-WP(C) ENERG10C--ctn Mid-C_042010 2010GRC" xfId="9480"/>
    <cellStyle name="_Recon to Darrin's 5.11.05 proforma_Book2_Electric Rev Req Model (2009 GRC) Revised 01-18-2010_DEM-WP(C) ENERG10C--ctn Mid-C_042010 2010GRC 2" xfId="9481"/>
    <cellStyle name="_Recon to Darrin's 5.11.05 proforma_Book2_Final Order Electric EXHIBIT A-1" xfId="9482"/>
    <cellStyle name="_Recon to Darrin's 5.11.05 proforma_Book2_Final Order Electric EXHIBIT A-1 2" xfId="9483"/>
    <cellStyle name="_Recon to Darrin's 5.11.05 proforma_Book2_Final Order Electric EXHIBIT A-1 2 2" xfId="9484"/>
    <cellStyle name="_Recon to Darrin's 5.11.05 proforma_Book2_Final Order Electric EXHIBIT A-1 3" xfId="9485"/>
    <cellStyle name="_Recon to Darrin's 5.11.05 proforma_Book4" xfId="9486"/>
    <cellStyle name="_Recon to Darrin's 5.11.05 proforma_Book4 2" xfId="9487"/>
    <cellStyle name="_Recon to Darrin's 5.11.05 proforma_Book4 2 2" xfId="9488"/>
    <cellStyle name="_Recon to Darrin's 5.11.05 proforma_Book4 3" xfId="9489"/>
    <cellStyle name="_Recon to Darrin's 5.11.05 proforma_Book4 3 2" xfId="9490"/>
    <cellStyle name="_Recon to Darrin's 5.11.05 proforma_Book4 4" xfId="9491"/>
    <cellStyle name="_Recon to Darrin's 5.11.05 proforma_Book4_DEM-WP(C) ENERG10C--ctn Mid-C_042010 2010GRC" xfId="9492"/>
    <cellStyle name="_Recon to Darrin's 5.11.05 proforma_Book4_DEM-WP(C) ENERG10C--ctn Mid-C_042010 2010GRC 2" xfId="9493"/>
    <cellStyle name="_Recon to Darrin's 5.11.05 proforma_Book9" xfId="9494"/>
    <cellStyle name="_Recon to Darrin's 5.11.05 proforma_Book9 2" xfId="9495"/>
    <cellStyle name="_Recon to Darrin's 5.11.05 proforma_Book9 2 2" xfId="9496"/>
    <cellStyle name="_Recon to Darrin's 5.11.05 proforma_Book9 3" xfId="9497"/>
    <cellStyle name="_Recon to Darrin's 5.11.05 proforma_Book9 3 2" xfId="9498"/>
    <cellStyle name="_Recon to Darrin's 5.11.05 proforma_Book9 4" xfId="9499"/>
    <cellStyle name="_Recon to Darrin's 5.11.05 proforma_Book9_DEM-WP(C) ENERG10C--ctn Mid-C_042010 2010GRC" xfId="9500"/>
    <cellStyle name="_Recon to Darrin's 5.11.05 proforma_Book9_DEM-WP(C) ENERG10C--ctn Mid-C_042010 2010GRC 2" xfId="9501"/>
    <cellStyle name="_Recon to Darrin's 5.11.05 proforma_Check the Interest Calculation" xfId="9502"/>
    <cellStyle name="_Recon to Darrin's 5.11.05 proforma_Check the Interest Calculation 2" xfId="9503"/>
    <cellStyle name="_Recon to Darrin's 5.11.05 proforma_Check the Interest Calculation_Scenario 1 REC vs PTC Offset" xfId="9504"/>
    <cellStyle name="_Recon to Darrin's 5.11.05 proforma_Check the Interest Calculation_Scenario 1 REC vs PTC Offset 2" xfId="9505"/>
    <cellStyle name="_Recon to Darrin's 5.11.05 proforma_Check the Interest Calculation_Scenario 3" xfId="9506"/>
    <cellStyle name="_Recon to Darrin's 5.11.05 proforma_Check the Interest Calculation_Scenario 3 2" xfId="9507"/>
    <cellStyle name="_Recon to Darrin's 5.11.05 proforma_Chelan PUD Power Costs (8-10)" xfId="9508"/>
    <cellStyle name="_Recon to Darrin's 5.11.05 proforma_Chelan PUD Power Costs (8-10) 2" xfId="9509"/>
    <cellStyle name="_Recon to Darrin's 5.11.05 proforma_DEM-WP(C) Chelan Power Costs" xfId="9510"/>
    <cellStyle name="_Recon to Darrin's 5.11.05 proforma_DEM-WP(C) Chelan Power Costs 2" xfId="9511"/>
    <cellStyle name="_Recon to Darrin's 5.11.05 proforma_DEM-WP(C) ENERG10C--ctn Mid-C_042010 2010GRC" xfId="9512"/>
    <cellStyle name="_Recon to Darrin's 5.11.05 proforma_DEM-WP(C) ENERG10C--ctn Mid-C_042010 2010GRC 2" xfId="9513"/>
    <cellStyle name="_Recon to Darrin's 5.11.05 proforma_DEM-WP(C) Gas Transport 2010GRC" xfId="9514"/>
    <cellStyle name="_Recon to Darrin's 5.11.05 proforma_DEM-WP(C) Gas Transport 2010GRC 2" xfId="9515"/>
    <cellStyle name="_Recon to Darrin's 5.11.05 proforma_Exh A-1 resulting from UE-112050 effective Jan 1 2012" xfId="9516"/>
    <cellStyle name="_Recon to Darrin's 5.11.05 proforma_Exh A-1 resulting from UE-112050 effective Jan 1 2012 2" xfId="9517"/>
    <cellStyle name="_Recon to Darrin's 5.11.05 proforma_Exhibit A-1 effective 4-1-11 fr S Free 12-11" xfId="9518"/>
    <cellStyle name="_Recon to Darrin's 5.11.05 proforma_Exhibit A-1 effective 4-1-11 fr S Free 12-11 2" xfId="9519"/>
    <cellStyle name="_Recon to Darrin's 5.11.05 proforma_Exhibit D fr R Gho 12-31-08" xfId="9520"/>
    <cellStyle name="_Recon to Darrin's 5.11.05 proforma_Exhibit D fr R Gho 12-31-08 2" xfId="9521"/>
    <cellStyle name="_Recon to Darrin's 5.11.05 proforma_Exhibit D fr R Gho 12-31-08 2 2" xfId="9522"/>
    <cellStyle name="_Recon to Darrin's 5.11.05 proforma_Exhibit D fr R Gho 12-31-08 3" xfId="9523"/>
    <cellStyle name="_Recon to Darrin's 5.11.05 proforma_Exhibit D fr R Gho 12-31-08 3 2" xfId="9524"/>
    <cellStyle name="_Recon to Darrin's 5.11.05 proforma_Exhibit D fr R Gho 12-31-08 4" xfId="9525"/>
    <cellStyle name="_Recon to Darrin's 5.11.05 proforma_Exhibit D fr R Gho 12-31-08 v2" xfId="9526"/>
    <cellStyle name="_Recon to Darrin's 5.11.05 proforma_Exhibit D fr R Gho 12-31-08 v2 2" xfId="9527"/>
    <cellStyle name="_Recon to Darrin's 5.11.05 proforma_Exhibit D fr R Gho 12-31-08 v2 2 2" xfId="9528"/>
    <cellStyle name="_Recon to Darrin's 5.11.05 proforma_Exhibit D fr R Gho 12-31-08 v2 3" xfId="9529"/>
    <cellStyle name="_Recon to Darrin's 5.11.05 proforma_Exhibit D fr R Gho 12-31-08 v2 3 2" xfId="9530"/>
    <cellStyle name="_Recon to Darrin's 5.11.05 proforma_Exhibit D fr R Gho 12-31-08 v2 4" xfId="9531"/>
    <cellStyle name="_Recon to Darrin's 5.11.05 proforma_Exhibit D fr R Gho 12-31-08 v2_DEM-WP(C) ENERG10C--ctn Mid-C_042010 2010GRC" xfId="9532"/>
    <cellStyle name="_Recon to Darrin's 5.11.05 proforma_Exhibit D fr R Gho 12-31-08 v2_DEM-WP(C) ENERG10C--ctn Mid-C_042010 2010GRC 2" xfId="9533"/>
    <cellStyle name="_Recon to Darrin's 5.11.05 proforma_Exhibit D fr R Gho 12-31-08 v2_NIM Summary" xfId="9534"/>
    <cellStyle name="_Recon to Darrin's 5.11.05 proforma_Exhibit D fr R Gho 12-31-08 v2_NIM Summary 2" xfId="9535"/>
    <cellStyle name="_Recon to Darrin's 5.11.05 proforma_Exhibit D fr R Gho 12-31-08 v2_NIM Summary 2 2" xfId="9536"/>
    <cellStyle name="_Recon to Darrin's 5.11.05 proforma_Exhibit D fr R Gho 12-31-08 v2_NIM Summary 3" xfId="9537"/>
    <cellStyle name="_Recon to Darrin's 5.11.05 proforma_Exhibit D fr R Gho 12-31-08 v2_NIM Summary 3 2" xfId="9538"/>
    <cellStyle name="_Recon to Darrin's 5.11.05 proforma_Exhibit D fr R Gho 12-31-08 v2_NIM Summary 4" xfId="9539"/>
    <cellStyle name="_Recon to Darrin's 5.11.05 proforma_Exhibit D fr R Gho 12-31-08 v2_NIM Summary_DEM-WP(C) ENERG10C--ctn Mid-C_042010 2010GRC" xfId="9540"/>
    <cellStyle name="_Recon to Darrin's 5.11.05 proforma_Exhibit D fr R Gho 12-31-08 v2_NIM Summary_DEM-WP(C) ENERG10C--ctn Mid-C_042010 2010GRC 2" xfId="9541"/>
    <cellStyle name="_Recon to Darrin's 5.11.05 proforma_Exhibit D fr R Gho 12-31-08_DEM-WP(C) ENERG10C--ctn Mid-C_042010 2010GRC" xfId="9542"/>
    <cellStyle name="_Recon to Darrin's 5.11.05 proforma_Exhibit D fr R Gho 12-31-08_DEM-WP(C) ENERG10C--ctn Mid-C_042010 2010GRC 2" xfId="9543"/>
    <cellStyle name="_Recon to Darrin's 5.11.05 proforma_Exhibit D fr R Gho 12-31-08_NIM Summary" xfId="9544"/>
    <cellStyle name="_Recon to Darrin's 5.11.05 proforma_Exhibit D fr R Gho 12-31-08_NIM Summary 2" xfId="9545"/>
    <cellStyle name="_Recon to Darrin's 5.11.05 proforma_Exhibit D fr R Gho 12-31-08_NIM Summary 2 2" xfId="9546"/>
    <cellStyle name="_Recon to Darrin's 5.11.05 proforma_Exhibit D fr R Gho 12-31-08_NIM Summary 3" xfId="9547"/>
    <cellStyle name="_Recon to Darrin's 5.11.05 proforma_Exhibit D fr R Gho 12-31-08_NIM Summary 3 2" xfId="9548"/>
    <cellStyle name="_Recon to Darrin's 5.11.05 proforma_Exhibit D fr R Gho 12-31-08_NIM Summary 4" xfId="9549"/>
    <cellStyle name="_Recon to Darrin's 5.11.05 proforma_Exhibit D fr R Gho 12-31-08_NIM Summary_DEM-WP(C) ENERG10C--ctn Mid-C_042010 2010GRC" xfId="9550"/>
    <cellStyle name="_Recon to Darrin's 5.11.05 proforma_Exhibit D fr R Gho 12-31-08_NIM Summary_DEM-WP(C) ENERG10C--ctn Mid-C_042010 2010GRC 2" xfId="9551"/>
    <cellStyle name="_Recon to Darrin's 5.11.05 proforma_Hopkins Ridge Prepaid Tran - Interest Earned RY 12ME Feb  '11" xfId="9552"/>
    <cellStyle name="_Recon to Darrin's 5.11.05 proforma_Hopkins Ridge Prepaid Tran - Interest Earned RY 12ME Feb  '11 2" xfId="9553"/>
    <cellStyle name="_Recon to Darrin's 5.11.05 proforma_Hopkins Ridge Prepaid Tran - Interest Earned RY 12ME Feb  '11 2 2" xfId="9554"/>
    <cellStyle name="_Recon to Darrin's 5.11.05 proforma_Hopkins Ridge Prepaid Tran - Interest Earned RY 12ME Feb  '11 3" xfId="9555"/>
    <cellStyle name="_Recon to Darrin's 5.11.05 proforma_Hopkins Ridge Prepaid Tran - Interest Earned RY 12ME Feb  '11 3 2" xfId="9556"/>
    <cellStyle name="_Recon to Darrin's 5.11.05 proforma_Hopkins Ridge Prepaid Tran - Interest Earned RY 12ME Feb  '11 4" xfId="9557"/>
    <cellStyle name="_Recon to Darrin's 5.11.05 proforma_Hopkins Ridge Prepaid Tran - Interest Earned RY 12ME Feb  '11_DEM-WP(C) ENERG10C--ctn Mid-C_042010 2010GRC" xfId="9558"/>
    <cellStyle name="_Recon to Darrin's 5.11.05 proforma_Hopkins Ridge Prepaid Tran - Interest Earned RY 12ME Feb  '11_DEM-WP(C) ENERG10C--ctn Mid-C_042010 2010GRC 2" xfId="9559"/>
    <cellStyle name="_Recon to Darrin's 5.11.05 proforma_Hopkins Ridge Prepaid Tran - Interest Earned RY 12ME Feb  '11_NIM Summary" xfId="9560"/>
    <cellStyle name="_Recon to Darrin's 5.11.05 proforma_Hopkins Ridge Prepaid Tran - Interest Earned RY 12ME Feb  '11_NIM Summary 2" xfId="9561"/>
    <cellStyle name="_Recon to Darrin's 5.11.05 proforma_Hopkins Ridge Prepaid Tran - Interest Earned RY 12ME Feb  '11_NIM Summary 2 2" xfId="9562"/>
    <cellStyle name="_Recon to Darrin's 5.11.05 proforma_Hopkins Ridge Prepaid Tran - Interest Earned RY 12ME Feb  '11_NIM Summary 3" xfId="9563"/>
    <cellStyle name="_Recon to Darrin's 5.11.05 proforma_Hopkins Ridge Prepaid Tran - Interest Earned RY 12ME Feb  '11_NIM Summary 3 2" xfId="9564"/>
    <cellStyle name="_Recon to Darrin's 5.11.05 proforma_Hopkins Ridge Prepaid Tran - Interest Earned RY 12ME Feb  '11_NIM Summary 4" xfId="9565"/>
    <cellStyle name="_Recon to Darrin's 5.11.05 proforma_Hopkins Ridge Prepaid Tran - Interest Earned RY 12ME Feb  '11_NIM Summary_DEM-WP(C) ENERG10C--ctn Mid-C_042010 2010GRC" xfId="9566"/>
    <cellStyle name="_Recon to Darrin's 5.11.05 proforma_Hopkins Ridge Prepaid Tran - Interest Earned RY 12ME Feb  '11_NIM Summary_DEM-WP(C) ENERG10C--ctn Mid-C_042010 2010GRC 2" xfId="9567"/>
    <cellStyle name="_Recon to Darrin's 5.11.05 proforma_Hopkins Ridge Prepaid Tran - Interest Earned RY 12ME Feb  '11_Transmission Workbook for May BOD" xfId="9568"/>
    <cellStyle name="_Recon to Darrin's 5.11.05 proforma_Hopkins Ridge Prepaid Tran - Interest Earned RY 12ME Feb  '11_Transmission Workbook for May BOD 2" xfId="9569"/>
    <cellStyle name="_Recon to Darrin's 5.11.05 proforma_Hopkins Ridge Prepaid Tran - Interest Earned RY 12ME Feb  '11_Transmission Workbook for May BOD 2 2" xfId="9570"/>
    <cellStyle name="_Recon to Darrin's 5.11.05 proforma_Hopkins Ridge Prepaid Tran - Interest Earned RY 12ME Feb  '11_Transmission Workbook for May BOD 3" xfId="9571"/>
    <cellStyle name="_Recon to Darrin's 5.11.05 proforma_Hopkins Ridge Prepaid Tran - Interest Earned RY 12ME Feb  '11_Transmission Workbook for May BOD 3 2" xfId="9572"/>
    <cellStyle name="_Recon to Darrin's 5.11.05 proforma_Hopkins Ridge Prepaid Tran - Interest Earned RY 12ME Feb  '11_Transmission Workbook for May BOD 4" xfId="9573"/>
    <cellStyle name="_Recon to Darrin's 5.11.05 proforma_Hopkins Ridge Prepaid Tran - Interest Earned RY 12ME Feb  '11_Transmission Workbook for May BOD_DEM-WP(C) ENERG10C--ctn Mid-C_042010 2010GRC" xfId="9574"/>
    <cellStyle name="_Recon to Darrin's 5.11.05 proforma_Hopkins Ridge Prepaid Tran - Interest Earned RY 12ME Feb  '11_Transmission Workbook for May BOD_DEM-WP(C) ENERG10C--ctn Mid-C_042010 2010GRC 2" xfId="9575"/>
    <cellStyle name="_Recon to Darrin's 5.11.05 proforma_LSRWEP LGIA like Acctg Petition Aug 2010" xfId="9576"/>
    <cellStyle name="_Recon to Darrin's 5.11.05 proforma_LSRWEP LGIA like Acctg Petition Aug 2010 2" xfId="9577"/>
    <cellStyle name="_Recon to Darrin's 5.11.05 proforma_Mint Farm Generation BPA" xfId="9578"/>
    <cellStyle name="_Recon to Darrin's 5.11.05 proforma_NIM Summary" xfId="9579"/>
    <cellStyle name="_Recon to Darrin's 5.11.05 proforma_NIM Summary 09GRC" xfId="9580"/>
    <cellStyle name="_Recon to Darrin's 5.11.05 proforma_NIM Summary 09GRC 2" xfId="9581"/>
    <cellStyle name="_Recon to Darrin's 5.11.05 proforma_NIM Summary 09GRC 2 2" xfId="9582"/>
    <cellStyle name="_Recon to Darrin's 5.11.05 proforma_NIM Summary 09GRC 3" xfId="9583"/>
    <cellStyle name="_Recon to Darrin's 5.11.05 proforma_NIM Summary 09GRC 3 2" xfId="9584"/>
    <cellStyle name="_Recon to Darrin's 5.11.05 proforma_NIM Summary 09GRC 4" xfId="9585"/>
    <cellStyle name="_Recon to Darrin's 5.11.05 proforma_NIM Summary 09GRC_DEM-WP(C) ENERG10C--ctn Mid-C_042010 2010GRC" xfId="9586"/>
    <cellStyle name="_Recon to Darrin's 5.11.05 proforma_NIM Summary 09GRC_DEM-WP(C) ENERG10C--ctn Mid-C_042010 2010GRC 2" xfId="9587"/>
    <cellStyle name="_Recon to Darrin's 5.11.05 proforma_NIM Summary 10" xfId="9588"/>
    <cellStyle name="_Recon to Darrin's 5.11.05 proforma_NIM Summary 10 2" xfId="9589"/>
    <cellStyle name="_Recon to Darrin's 5.11.05 proforma_NIM Summary 11" xfId="9590"/>
    <cellStyle name="_Recon to Darrin's 5.11.05 proforma_NIM Summary 11 2" xfId="9591"/>
    <cellStyle name="_Recon to Darrin's 5.11.05 proforma_NIM Summary 12" xfId="9592"/>
    <cellStyle name="_Recon to Darrin's 5.11.05 proforma_NIM Summary 12 2" xfId="9593"/>
    <cellStyle name="_Recon to Darrin's 5.11.05 proforma_NIM Summary 13" xfId="9594"/>
    <cellStyle name="_Recon to Darrin's 5.11.05 proforma_NIM Summary 13 2" xfId="9595"/>
    <cellStyle name="_Recon to Darrin's 5.11.05 proforma_NIM Summary 14" xfId="9596"/>
    <cellStyle name="_Recon to Darrin's 5.11.05 proforma_NIM Summary 14 2" xfId="9597"/>
    <cellStyle name="_Recon to Darrin's 5.11.05 proforma_NIM Summary 15" xfId="9598"/>
    <cellStyle name="_Recon to Darrin's 5.11.05 proforma_NIM Summary 15 2" xfId="9599"/>
    <cellStyle name="_Recon to Darrin's 5.11.05 proforma_NIM Summary 16" xfId="9600"/>
    <cellStyle name="_Recon to Darrin's 5.11.05 proforma_NIM Summary 16 2" xfId="9601"/>
    <cellStyle name="_Recon to Darrin's 5.11.05 proforma_NIM Summary 17" xfId="9602"/>
    <cellStyle name="_Recon to Darrin's 5.11.05 proforma_NIM Summary 17 2" xfId="9603"/>
    <cellStyle name="_Recon to Darrin's 5.11.05 proforma_NIM Summary 18" xfId="9604"/>
    <cellStyle name="_Recon to Darrin's 5.11.05 proforma_NIM Summary 18 2" xfId="9605"/>
    <cellStyle name="_Recon to Darrin's 5.11.05 proforma_NIM Summary 19" xfId="9606"/>
    <cellStyle name="_Recon to Darrin's 5.11.05 proforma_NIM Summary 19 2" xfId="9607"/>
    <cellStyle name="_Recon to Darrin's 5.11.05 proforma_NIM Summary 2" xfId="9608"/>
    <cellStyle name="_Recon to Darrin's 5.11.05 proforma_NIM Summary 2 2" xfId="9609"/>
    <cellStyle name="_Recon to Darrin's 5.11.05 proforma_NIM Summary 20" xfId="9610"/>
    <cellStyle name="_Recon to Darrin's 5.11.05 proforma_NIM Summary 20 2" xfId="9611"/>
    <cellStyle name="_Recon to Darrin's 5.11.05 proforma_NIM Summary 21" xfId="9612"/>
    <cellStyle name="_Recon to Darrin's 5.11.05 proforma_NIM Summary 21 2" xfId="9613"/>
    <cellStyle name="_Recon to Darrin's 5.11.05 proforma_NIM Summary 22" xfId="9614"/>
    <cellStyle name="_Recon to Darrin's 5.11.05 proforma_NIM Summary 22 2" xfId="9615"/>
    <cellStyle name="_Recon to Darrin's 5.11.05 proforma_NIM Summary 23" xfId="9616"/>
    <cellStyle name="_Recon to Darrin's 5.11.05 proforma_NIM Summary 23 2" xfId="9617"/>
    <cellStyle name="_Recon to Darrin's 5.11.05 proforma_NIM Summary 24" xfId="9618"/>
    <cellStyle name="_Recon to Darrin's 5.11.05 proforma_NIM Summary 24 2" xfId="9619"/>
    <cellStyle name="_Recon to Darrin's 5.11.05 proforma_NIM Summary 25" xfId="9620"/>
    <cellStyle name="_Recon to Darrin's 5.11.05 proforma_NIM Summary 25 2" xfId="9621"/>
    <cellStyle name="_Recon to Darrin's 5.11.05 proforma_NIM Summary 26" xfId="9622"/>
    <cellStyle name="_Recon to Darrin's 5.11.05 proforma_NIM Summary 26 2" xfId="9623"/>
    <cellStyle name="_Recon to Darrin's 5.11.05 proforma_NIM Summary 27" xfId="9624"/>
    <cellStyle name="_Recon to Darrin's 5.11.05 proforma_NIM Summary 27 2" xfId="9625"/>
    <cellStyle name="_Recon to Darrin's 5.11.05 proforma_NIM Summary 28" xfId="9626"/>
    <cellStyle name="_Recon to Darrin's 5.11.05 proforma_NIM Summary 28 2" xfId="9627"/>
    <cellStyle name="_Recon to Darrin's 5.11.05 proforma_NIM Summary 29" xfId="9628"/>
    <cellStyle name="_Recon to Darrin's 5.11.05 proforma_NIM Summary 29 2" xfId="9629"/>
    <cellStyle name="_Recon to Darrin's 5.11.05 proforma_NIM Summary 3" xfId="9630"/>
    <cellStyle name="_Recon to Darrin's 5.11.05 proforma_NIM Summary 3 2" xfId="9631"/>
    <cellStyle name="_Recon to Darrin's 5.11.05 proforma_NIM Summary 30" xfId="9632"/>
    <cellStyle name="_Recon to Darrin's 5.11.05 proforma_NIM Summary 30 2" xfId="9633"/>
    <cellStyle name="_Recon to Darrin's 5.11.05 proforma_NIM Summary 31" xfId="9634"/>
    <cellStyle name="_Recon to Darrin's 5.11.05 proforma_NIM Summary 31 2" xfId="9635"/>
    <cellStyle name="_Recon to Darrin's 5.11.05 proforma_NIM Summary 32" xfId="9636"/>
    <cellStyle name="_Recon to Darrin's 5.11.05 proforma_NIM Summary 32 2" xfId="9637"/>
    <cellStyle name="_Recon to Darrin's 5.11.05 proforma_NIM Summary 33" xfId="9638"/>
    <cellStyle name="_Recon to Darrin's 5.11.05 proforma_NIM Summary 33 2" xfId="9639"/>
    <cellStyle name="_Recon to Darrin's 5.11.05 proforma_NIM Summary 34" xfId="9640"/>
    <cellStyle name="_Recon to Darrin's 5.11.05 proforma_NIM Summary 34 2" xfId="9641"/>
    <cellStyle name="_Recon to Darrin's 5.11.05 proforma_NIM Summary 35" xfId="9642"/>
    <cellStyle name="_Recon to Darrin's 5.11.05 proforma_NIM Summary 35 2" xfId="9643"/>
    <cellStyle name="_Recon to Darrin's 5.11.05 proforma_NIM Summary 36" xfId="9644"/>
    <cellStyle name="_Recon to Darrin's 5.11.05 proforma_NIM Summary 36 2" xfId="9645"/>
    <cellStyle name="_Recon to Darrin's 5.11.05 proforma_NIM Summary 37" xfId="9646"/>
    <cellStyle name="_Recon to Darrin's 5.11.05 proforma_NIM Summary 37 2" xfId="9647"/>
    <cellStyle name="_Recon to Darrin's 5.11.05 proforma_NIM Summary 38" xfId="9648"/>
    <cellStyle name="_Recon to Darrin's 5.11.05 proforma_NIM Summary 38 2" xfId="9649"/>
    <cellStyle name="_Recon to Darrin's 5.11.05 proforma_NIM Summary 39" xfId="9650"/>
    <cellStyle name="_Recon to Darrin's 5.11.05 proforma_NIM Summary 39 2" xfId="9651"/>
    <cellStyle name="_Recon to Darrin's 5.11.05 proforma_NIM Summary 4" xfId="9652"/>
    <cellStyle name="_Recon to Darrin's 5.11.05 proforma_NIM Summary 4 2" xfId="9653"/>
    <cellStyle name="_Recon to Darrin's 5.11.05 proforma_NIM Summary 40" xfId="9654"/>
    <cellStyle name="_Recon to Darrin's 5.11.05 proforma_NIM Summary 40 2" xfId="9655"/>
    <cellStyle name="_Recon to Darrin's 5.11.05 proforma_NIM Summary 41" xfId="9656"/>
    <cellStyle name="_Recon to Darrin's 5.11.05 proforma_NIM Summary 41 2" xfId="9657"/>
    <cellStyle name="_Recon to Darrin's 5.11.05 proforma_NIM Summary 42" xfId="9658"/>
    <cellStyle name="_Recon to Darrin's 5.11.05 proforma_NIM Summary 42 2" xfId="9659"/>
    <cellStyle name="_Recon to Darrin's 5.11.05 proforma_NIM Summary 43" xfId="9660"/>
    <cellStyle name="_Recon to Darrin's 5.11.05 proforma_NIM Summary 43 2" xfId="9661"/>
    <cellStyle name="_Recon to Darrin's 5.11.05 proforma_NIM Summary 44" xfId="9662"/>
    <cellStyle name="_Recon to Darrin's 5.11.05 proforma_NIM Summary 44 2" xfId="9663"/>
    <cellStyle name="_Recon to Darrin's 5.11.05 proforma_NIM Summary 45" xfId="9664"/>
    <cellStyle name="_Recon to Darrin's 5.11.05 proforma_NIM Summary 45 2" xfId="9665"/>
    <cellStyle name="_Recon to Darrin's 5.11.05 proforma_NIM Summary 46" xfId="9666"/>
    <cellStyle name="_Recon to Darrin's 5.11.05 proforma_NIM Summary 46 2" xfId="9667"/>
    <cellStyle name="_Recon to Darrin's 5.11.05 proforma_NIM Summary 47" xfId="9668"/>
    <cellStyle name="_Recon to Darrin's 5.11.05 proforma_NIM Summary 47 2" xfId="9669"/>
    <cellStyle name="_Recon to Darrin's 5.11.05 proforma_NIM Summary 48" xfId="9670"/>
    <cellStyle name="_Recon to Darrin's 5.11.05 proforma_NIM Summary 49" xfId="9671"/>
    <cellStyle name="_Recon to Darrin's 5.11.05 proforma_NIM Summary 5" xfId="9672"/>
    <cellStyle name="_Recon to Darrin's 5.11.05 proforma_NIM Summary 5 2" xfId="9673"/>
    <cellStyle name="_Recon to Darrin's 5.11.05 proforma_NIM Summary 50" xfId="9674"/>
    <cellStyle name="_Recon to Darrin's 5.11.05 proforma_NIM Summary 51" xfId="9675"/>
    <cellStyle name="_Recon to Darrin's 5.11.05 proforma_NIM Summary 52" xfId="9676"/>
    <cellStyle name="_Recon to Darrin's 5.11.05 proforma_NIM Summary 6" xfId="9677"/>
    <cellStyle name="_Recon to Darrin's 5.11.05 proforma_NIM Summary 6 2" xfId="9678"/>
    <cellStyle name="_Recon to Darrin's 5.11.05 proforma_NIM Summary 7" xfId="9679"/>
    <cellStyle name="_Recon to Darrin's 5.11.05 proforma_NIM Summary 7 2" xfId="9680"/>
    <cellStyle name="_Recon to Darrin's 5.11.05 proforma_NIM Summary 8" xfId="9681"/>
    <cellStyle name="_Recon to Darrin's 5.11.05 proforma_NIM Summary 8 2" xfId="9682"/>
    <cellStyle name="_Recon to Darrin's 5.11.05 proforma_NIM Summary 9" xfId="9683"/>
    <cellStyle name="_Recon to Darrin's 5.11.05 proforma_NIM Summary 9 2" xfId="9684"/>
    <cellStyle name="_Recon to Darrin's 5.11.05 proforma_NIM Summary_DEM-WP(C) ENERG10C--ctn Mid-C_042010 2010GRC" xfId="9685"/>
    <cellStyle name="_Recon to Darrin's 5.11.05 proforma_NIM Summary_DEM-WP(C) ENERG10C--ctn Mid-C_042010 2010GRC 2" xfId="9686"/>
    <cellStyle name="_Recon to Darrin's 5.11.05 proforma_NIM+O&amp;M" xfId="9687"/>
    <cellStyle name="_Recon to Darrin's 5.11.05 proforma_NIM+O&amp;M 2" xfId="9688"/>
    <cellStyle name="_Recon to Darrin's 5.11.05 proforma_NIM+O&amp;M 2 2" xfId="9689"/>
    <cellStyle name="_Recon to Darrin's 5.11.05 proforma_NIM+O&amp;M 3" xfId="9690"/>
    <cellStyle name="_Recon to Darrin's 5.11.05 proforma_NIM+O&amp;M Monthly" xfId="9691"/>
    <cellStyle name="_Recon to Darrin's 5.11.05 proforma_NIM+O&amp;M Monthly 2" xfId="9692"/>
    <cellStyle name="_Recon to Darrin's 5.11.05 proforma_NIM+O&amp;M Monthly 2 2" xfId="9693"/>
    <cellStyle name="_Recon to Darrin's 5.11.05 proforma_NIM+O&amp;M Monthly 3" xfId="9694"/>
    <cellStyle name="_Recon to Darrin's 5.11.05 proforma_PCA 10 -  Exhibit D Dec 2011" xfId="9695"/>
    <cellStyle name="_Recon to Darrin's 5.11.05 proforma_PCA 10 -  Exhibit D Dec 2011 2" xfId="9696"/>
    <cellStyle name="_Recon to Darrin's 5.11.05 proforma_PCA 10 -  Exhibit D from A Kellogg Jan 2011" xfId="9697"/>
    <cellStyle name="_Recon to Darrin's 5.11.05 proforma_PCA 10 -  Exhibit D from A Kellogg Jan 2011 2" xfId="9698"/>
    <cellStyle name="_Recon to Darrin's 5.11.05 proforma_PCA 10 -  Exhibit D from A Kellogg July 2011" xfId="9699"/>
    <cellStyle name="_Recon to Darrin's 5.11.05 proforma_PCA 10 -  Exhibit D from A Kellogg July 2011 2" xfId="9700"/>
    <cellStyle name="_Recon to Darrin's 5.11.05 proforma_PCA 10 -  Exhibit D from S Free Rcv'd 12-11" xfId="9701"/>
    <cellStyle name="_Recon to Darrin's 5.11.05 proforma_PCA 10 -  Exhibit D from S Free Rcv'd 12-11 2" xfId="9702"/>
    <cellStyle name="_Recon to Darrin's 5.11.05 proforma_PCA 11 -  Exhibit D Jan 2012 fr A Kellogg" xfId="9703"/>
    <cellStyle name="_Recon to Darrin's 5.11.05 proforma_PCA 11 -  Exhibit D Jan 2012 fr A Kellogg 2" xfId="9704"/>
    <cellStyle name="_Recon to Darrin's 5.11.05 proforma_PCA 11 -  Exhibit D Jan 2012 WF" xfId="9705"/>
    <cellStyle name="_Recon to Darrin's 5.11.05 proforma_PCA 11 -  Exhibit D Jan 2012 WF 2" xfId="9706"/>
    <cellStyle name="_Recon to Darrin's 5.11.05 proforma_PCA 7 - Exhibit D update 11_30_08 (2)" xfId="9707"/>
    <cellStyle name="_Recon to Darrin's 5.11.05 proforma_PCA 7 - Exhibit D update 11_30_08 (2) 2" xfId="9708"/>
    <cellStyle name="_Recon to Darrin's 5.11.05 proforma_PCA 7 - Exhibit D update 11_30_08 (2) 2 2" xfId="9709"/>
    <cellStyle name="_Recon to Darrin's 5.11.05 proforma_PCA 7 - Exhibit D update 11_30_08 (2) 2 2 2" xfId="9710"/>
    <cellStyle name="_Recon to Darrin's 5.11.05 proforma_PCA 7 - Exhibit D update 11_30_08 (2) 2 3" xfId="9711"/>
    <cellStyle name="_Recon to Darrin's 5.11.05 proforma_PCA 7 - Exhibit D update 11_30_08 (2) 3" xfId="9712"/>
    <cellStyle name="_Recon to Darrin's 5.11.05 proforma_PCA 7 - Exhibit D update 11_30_08 (2) 3 2" xfId="9713"/>
    <cellStyle name="_Recon to Darrin's 5.11.05 proforma_PCA 7 - Exhibit D update 11_30_08 (2) 4" xfId="9714"/>
    <cellStyle name="_Recon to Darrin's 5.11.05 proforma_PCA 7 - Exhibit D update 11_30_08 (2) 4 2" xfId="9715"/>
    <cellStyle name="_Recon to Darrin's 5.11.05 proforma_PCA 7 - Exhibit D update 11_30_08 (2) 5" xfId="9716"/>
    <cellStyle name="_Recon to Darrin's 5.11.05 proforma_PCA 7 - Exhibit D update 11_30_08 (2)_DEM-WP(C) ENERG10C--ctn Mid-C_042010 2010GRC" xfId="9717"/>
    <cellStyle name="_Recon to Darrin's 5.11.05 proforma_PCA 7 - Exhibit D update 11_30_08 (2)_DEM-WP(C) ENERG10C--ctn Mid-C_042010 2010GRC 2" xfId="9718"/>
    <cellStyle name="_Recon to Darrin's 5.11.05 proforma_PCA 7 - Exhibit D update 11_30_08 (2)_NIM Summary" xfId="9719"/>
    <cellStyle name="_Recon to Darrin's 5.11.05 proforma_PCA 7 - Exhibit D update 11_30_08 (2)_NIM Summary 2" xfId="9720"/>
    <cellStyle name="_Recon to Darrin's 5.11.05 proforma_PCA 7 - Exhibit D update 11_30_08 (2)_NIM Summary 2 2" xfId="9721"/>
    <cellStyle name="_Recon to Darrin's 5.11.05 proforma_PCA 7 - Exhibit D update 11_30_08 (2)_NIM Summary 3" xfId="9722"/>
    <cellStyle name="_Recon to Darrin's 5.11.05 proforma_PCA 7 - Exhibit D update 11_30_08 (2)_NIM Summary 3 2" xfId="9723"/>
    <cellStyle name="_Recon to Darrin's 5.11.05 proforma_PCA 7 - Exhibit D update 11_30_08 (2)_NIM Summary 4" xfId="9724"/>
    <cellStyle name="_Recon to Darrin's 5.11.05 proforma_PCA 7 - Exhibit D update 11_30_08 (2)_NIM Summary_DEM-WP(C) ENERG10C--ctn Mid-C_042010 2010GRC" xfId="9725"/>
    <cellStyle name="_Recon to Darrin's 5.11.05 proforma_PCA 7 - Exhibit D update 11_30_08 (2)_NIM Summary_DEM-WP(C) ENERG10C--ctn Mid-C_042010 2010GRC 2" xfId="9726"/>
    <cellStyle name="_Recon to Darrin's 5.11.05 proforma_PCA 8 - Exhibit D update 12_31_09" xfId="9727"/>
    <cellStyle name="_Recon to Darrin's 5.11.05 proforma_PCA 8 - Exhibit D update 12_31_09 2" xfId="9728"/>
    <cellStyle name="_Recon to Darrin's 5.11.05 proforma_PCA 8 - Exhibit D update 12_31_09 2 2" xfId="9729"/>
    <cellStyle name="_Recon to Darrin's 5.11.05 proforma_PCA 8 - Exhibit D update 12_31_09 3" xfId="9730"/>
    <cellStyle name="_Recon to Darrin's 5.11.05 proforma_PCA 9 -  Exhibit D April 2010" xfId="9731"/>
    <cellStyle name="_Recon to Darrin's 5.11.05 proforma_PCA 9 -  Exhibit D April 2010 (3)" xfId="9732"/>
    <cellStyle name="_Recon to Darrin's 5.11.05 proforma_PCA 9 -  Exhibit D April 2010 (3) 2" xfId="9733"/>
    <cellStyle name="_Recon to Darrin's 5.11.05 proforma_PCA 9 -  Exhibit D April 2010 (3) 2 2" xfId="9734"/>
    <cellStyle name="_Recon to Darrin's 5.11.05 proforma_PCA 9 -  Exhibit D April 2010 (3) 3" xfId="9735"/>
    <cellStyle name="_Recon to Darrin's 5.11.05 proforma_PCA 9 -  Exhibit D April 2010 (3) 3 2" xfId="9736"/>
    <cellStyle name="_Recon to Darrin's 5.11.05 proforma_PCA 9 -  Exhibit D April 2010 (3) 4" xfId="9737"/>
    <cellStyle name="_Recon to Darrin's 5.11.05 proforma_PCA 9 -  Exhibit D April 2010 (3)_DEM-WP(C) ENERG10C--ctn Mid-C_042010 2010GRC" xfId="9738"/>
    <cellStyle name="_Recon to Darrin's 5.11.05 proforma_PCA 9 -  Exhibit D April 2010 (3)_DEM-WP(C) ENERG10C--ctn Mid-C_042010 2010GRC 2" xfId="9739"/>
    <cellStyle name="_Recon to Darrin's 5.11.05 proforma_PCA 9 -  Exhibit D April 2010 2" xfId="9740"/>
    <cellStyle name="_Recon to Darrin's 5.11.05 proforma_PCA 9 -  Exhibit D April 2010 2 2" xfId="9741"/>
    <cellStyle name="_Recon to Darrin's 5.11.05 proforma_PCA 9 -  Exhibit D April 2010 3" xfId="9742"/>
    <cellStyle name="_Recon to Darrin's 5.11.05 proforma_PCA 9 -  Exhibit D April 2010 3 2" xfId="9743"/>
    <cellStyle name="_Recon to Darrin's 5.11.05 proforma_PCA 9 -  Exhibit D April 2010 4" xfId="9744"/>
    <cellStyle name="_Recon to Darrin's 5.11.05 proforma_PCA 9 -  Exhibit D April 2010 4 2" xfId="9745"/>
    <cellStyle name="_Recon to Darrin's 5.11.05 proforma_PCA 9 -  Exhibit D April 2010 5" xfId="9746"/>
    <cellStyle name="_Recon to Darrin's 5.11.05 proforma_PCA 9 -  Exhibit D April 2010 5 2" xfId="9747"/>
    <cellStyle name="_Recon to Darrin's 5.11.05 proforma_PCA 9 -  Exhibit D April 2010 6" xfId="9748"/>
    <cellStyle name="_Recon to Darrin's 5.11.05 proforma_PCA 9 -  Exhibit D April 2010 6 2" xfId="9749"/>
    <cellStyle name="_Recon to Darrin's 5.11.05 proforma_PCA 9 -  Exhibit D April 2010 7" xfId="9750"/>
    <cellStyle name="_Recon to Darrin's 5.11.05 proforma_PCA 9 -  Exhibit D Feb 2010" xfId="9751"/>
    <cellStyle name="_Recon to Darrin's 5.11.05 proforma_PCA 9 -  Exhibit D Feb 2010 2" xfId="9752"/>
    <cellStyle name="_Recon to Darrin's 5.11.05 proforma_PCA 9 -  Exhibit D Feb 2010 2 2" xfId="9753"/>
    <cellStyle name="_Recon to Darrin's 5.11.05 proforma_PCA 9 -  Exhibit D Feb 2010 3" xfId="9754"/>
    <cellStyle name="_Recon to Darrin's 5.11.05 proforma_PCA 9 -  Exhibit D Feb 2010 v2" xfId="9755"/>
    <cellStyle name="_Recon to Darrin's 5.11.05 proforma_PCA 9 -  Exhibit D Feb 2010 v2 2" xfId="9756"/>
    <cellStyle name="_Recon to Darrin's 5.11.05 proforma_PCA 9 -  Exhibit D Feb 2010 v2 2 2" xfId="9757"/>
    <cellStyle name="_Recon to Darrin's 5.11.05 proforma_PCA 9 -  Exhibit D Feb 2010 v2 3" xfId="9758"/>
    <cellStyle name="_Recon to Darrin's 5.11.05 proforma_PCA 9 -  Exhibit D Feb 2010 WF" xfId="9759"/>
    <cellStyle name="_Recon to Darrin's 5.11.05 proforma_PCA 9 -  Exhibit D Feb 2010 WF 2" xfId="9760"/>
    <cellStyle name="_Recon to Darrin's 5.11.05 proforma_PCA 9 -  Exhibit D Feb 2010 WF 2 2" xfId="9761"/>
    <cellStyle name="_Recon to Darrin's 5.11.05 proforma_PCA 9 -  Exhibit D Feb 2010 WF 3" xfId="9762"/>
    <cellStyle name="_Recon to Darrin's 5.11.05 proforma_PCA 9 -  Exhibit D Jan 2010" xfId="9763"/>
    <cellStyle name="_Recon to Darrin's 5.11.05 proforma_PCA 9 -  Exhibit D Jan 2010 2" xfId="9764"/>
    <cellStyle name="_Recon to Darrin's 5.11.05 proforma_PCA 9 -  Exhibit D Jan 2010 2 2" xfId="9765"/>
    <cellStyle name="_Recon to Darrin's 5.11.05 proforma_PCA 9 -  Exhibit D Jan 2010 3" xfId="9766"/>
    <cellStyle name="_Recon to Darrin's 5.11.05 proforma_PCA 9 -  Exhibit D March 2010 (2)" xfId="9767"/>
    <cellStyle name="_Recon to Darrin's 5.11.05 proforma_PCA 9 -  Exhibit D March 2010 (2) 2" xfId="9768"/>
    <cellStyle name="_Recon to Darrin's 5.11.05 proforma_PCA 9 -  Exhibit D March 2010 (2) 2 2" xfId="9769"/>
    <cellStyle name="_Recon to Darrin's 5.11.05 proforma_PCA 9 -  Exhibit D March 2010 (2) 3" xfId="9770"/>
    <cellStyle name="_Recon to Darrin's 5.11.05 proforma_PCA 9 -  Exhibit D Nov 2010" xfId="9771"/>
    <cellStyle name="_Recon to Darrin's 5.11.05 proforma_PCA 9 -  Exhibit D Nov 2010 2" xfId="9772"/>
    <cellStyle name="_Recon to Darrin's 5.11.05 proforma_PCA 9 -  Exhibit D Nov 2010 2 2" xfId="9773"/>
    <cellStyle name="_Recon to Darrin's 5.11.05 proforma_PCA 9 -  Exhibit D Nov 2010 3" xfId="9774"/>
    <cellStyle name="_Recon to Darrin's 5.11.05 proforma_PCA 9 - Exhibit D at August 2010" xfId="9775"/>
    <cellStyle name="_Recon to Darrin's 5.11.05 proforma_PCA 9 - Exhibit D at August 2010 2" xfId="9776"/>
    <cellStyle name="_Recon to Darrin's 5.11.05 proforma_PCA 9 - Exhibit D at August 2010 2 2" xfId="9777"/>
    <cellStyle name="_Recon to Darrin's 5.11.05 proforma_PCA 9 - Exhibit D at August 2010 3" xfId="9778"/>
    <cellStyle name="_Recon to Darrin's 5.11.05 proforma_PCA 9 - Exhibit D June 2010 GRC" xfId="9779"/>
    <cellStyle name="_Recon to Darrin's 5.11.05 proforma_PCA 9 - Exhibit D June 2010 GRC 2" xfId="9780"/>
    <cellStyle name="_Recon to Darrin's 5.11.05 proforma_PCA 9 - Exhibit D June 2010 GRC 2 2" xfId="9781"/>
    <cellStyle name="_Recon to Darrin's 5.11.05 proforma_PCA 9 - Exhibit D June 2010 GRC 3" xfId="9782"/>
    <cellStyle name="_Recon to Darrin's 5.11.05 proforma_Power Costs - Comparison bx Rbtl-Staff-Jt-PC" xfId="9783"/>
    <cellStyle name="_Recon to Darrin's 5.11.05 proforma_Power Costs - Comparison bx Rbtl-Staff-Jt-PC 2" xfId="9784"/>
    <cellStyle name="_Recon to Darrin's 5.11.05 proforma_Power Costs - Comparison bx Rbtl-Staff-Jt-PC 2 2" xfId="9785"/>
    <cellStyle name="_Recon to Darrin's 5.11.05 proforma_Power Costs - Comparison bx Rbtl-Staff-Jt-PC 3" xfId="9786"/>
    <cellStyle name="_Recon to Darrin's 5.11.05 proforma_Power Costs - Comparison bx Rbtl-Staff-Jt-PC 3 2" xfId="9787"/>
    <cellStyle name="_Recon to Darrin's 5.11.05 proforma_Power Costs - Comparison bx Rbtl-Staff-Jt-PC 4" xfId="9788"/>
    <cellStyle name="_Recon to Darrin's 5.11.05 proforma_Power Costs - Comparison bx Rbtl-Staff-Jt-PC_Adj Bench DR 3 for Initial Briefs (Electric)" xfId="9789"/>
    <cellStyle name="_Recon to Darrin's 5.11.05 proforma_Power Costs - Comparison bx Rbtl-Staff-Jt-PC_Adj Bench DR 3 for Initial Briefs (Electric) 2" xfId="9790"/>
    <cellStyle name="_Recon to Darrin's 5.11.05 proforma_Power Costs - Comparison bx Rbtl-Staff-Jt-PC_Adj Bench DR 3 for Initial Briefs (Electric) 2 2" xfId="9791"/>
    <cellStyle name="_Recon to Darrin's 5.11.05 proforma_Power Costs - Comparison bx Rbtl-Staff-Jt-PC_Adj Bench DR 3 for Initial Briefs (Electric) 3" xfId="9792"/>
    <cellStyle name="_Recon to Darrin's 5.11.05 proforma_Power Costs - Comparison bx Rbtl-Staff-Jt-PC_Adj Bench DR 3 for Initial Briefs (Electric) 3 2" xfId="9793"/>
    <cellStyle name="_Recon to Darrin's 5.11.05 proforma_Power Costs - Comparison bx Rbtl-Staff-Jt-PC_Adj Bench DR 3 for Initial Briefs (Electric) 4" xfId="9794"/>
    <cellStyle name="_Recon to Darrin's 5.11.05 proforma_Power Costs - Comparison bx Rbtl-Staff-Jt-PC_Adj Bench DR 3 for Initial Briefs (Electric)_DEM-WP(C) ENERG10C--ctn Mid-C_042010 2010GRC" xfId="9795"/>
    <cellStyle name="_Recon to Darrin's 5.11.05 proforma_Power Costs - Comparison bx Rbtl-Staff-Jt-PC_Adj Bench DR 3 for Initial Briefs (Electric)_DEM-WP(C) ENERG10C--ctn Mid-C_042010 2010GRC 2" xfId="9796"/>
    <cellStyle name="_Recon to Darrin's 5.11.05 proforma_Power Costs - Comparison bx Rbtl-Staff-Jt-PC_DEM-WP(C) ENERG10C--ctn Mid-C_042010 2010GRC" xfId="9797"/>
    <cellStyle name="_Recon to Darrin's 5.11.05 proforma_Power Costs - Comparison bx Rbtl-Staff-Jt-PC_DEM-WP(C) ENERG10C--ctn Mid-C_042010 2010GRC 2" xfId="9798"/>
    <cellStyle name="_Recon to Darrin's 5.11.05 proforma_Power Costs - Comparison bx Rbtl-Staff-Jt-PC_Electric Rev Req Model (2009 GRC) Rebuttal" xfId="9799"/>
    <cellStyle name="_Recon to Darrin's 5.11.05 proforma_Power Costs - Comparison bx Rbtl-Staff-Jt-PC_Electric Rev Req Model (2009 GRC) Rebuttal 2" xfId="9800"/>
    <cellStyle name="_Recon to Darrin's 5.11.05 proforma_Power Costs - Comparison bx Rbtl-Staff-Jt-PC_Electric Rev Req Model (2009 GRC) Rebuttal 2 2" xfId="9801"/>
    <cellStyle name="_Recon to Darrin's 5.11.05 proforma_Power Costs - Comparison bx Rbtl-Staff-Jt-PC_Electric Rev Req Model (2009 GRC) Rebuttal 3" xfId="9802"/>
    <cellStyle name="_Recon to Darrin's 5.11.05 proforma_Power Costs - Comparison bx Rbtl-Staff-Jt-PC_Electric Rev Req Model (2009 GRC) Rebuttal REmoval of New  WH Solar AdjustMI" xfId="9803"/>
    <cellStyle name="_Recon to Darrin's 5.11.05 proforma_Power Costs - Comparison bx Rbtl-Staff-Jt-PC_Electric Rev Req Model (2009 GRC) Rebuttal REmoval of New  WH Solar AdjustMI 2" xfId="9804"/>
    <cellStyle name="_Recon to Darrin's 5.11.05 proforma_Power Costs - Comparison bx Rbtl-Staff-Jt-PC_Electric Rev Req Model (2009 GRC) Rebuttal REmoval of New  WH Solar AdjustMI 2 2" xfId="9805"/>
    <cellStyle name="_Recon to Darrin's 5.11.05 proforma_Power Costs - Comparison bx Rbtl-Staff-Jt-PC_Electric Rev Req Model (2009 GRC) Rebuttal REmoval of New  WH Solar AdjustMI 3" xfId="9806"/>
    <cellStyle name="_Recon to Darrin's 5.11.05 proforma_Power Costs - Comparison bx Rbtl-Staff-Jt-PC_Electric Rev Req Model (2009 GRC) Rebuttal REmoval of New  WH Solar AdjustMI 3 2" xfId="9807"/>
    <cellStyle name="_Recon to Darrin's 5.11.05 proforma_Power Costs - Comparison bx Rbtl-Staff-Jt-PC_Electric Rev Req Model (2009 GRC) Rebuttal REmoval of New  WH Solar AdjustMI 4" xfId="9808"/>
    <cellStyle name="_Recon to Darrin's 5.11.05 proforma_Power Costs - Comparison bx Rbtl-Staff-Jt-PC_Electric Rev Req Model (2009 GRC) Rebuttal REmoval of New  WH Solar AdjustMI_DEM-WP(C) ENERG10C--ctn Mid-C_042010 2010GRC" xfId="9809"/>
    <cellStyle name="_Recon to Darrin's 5.11.05 proforma_Power Costs - Comparison bx Rbtl-Staff-Jt-PC_Electric Rev Req Model (2009 GRC) Rebuttal REmoval of New  WH Solar AdjustMI_DEM-WP(C) ENERG10C--ctn Mid-C_042010 2010GRC 2" xfId="9810"/>
    <cellStyle name="_Recon to Darrin's 5.11.05 proforma_Power Costs - Comparison bx Rbtl-Staff-Jt-PC_Electric Rev Req Model (2009 GRC) Revised 01-18-2010" xfId="9811"/>
    <cellStyle name="_Recon to Darrin's 5.11.05 proforma_Power Costs - Comparison bx Rbtl-Staff-Jt-PC_Electric Rev Req Model (2009 GRC) Revised 01-18-2010 2" xfId="9812"/>
    <cellStyle name="_Recon to Darrin's 5.11.05 proforma_Power Costs - Comparison bx Rbtl-Staff-Jt-PC_Electric Rev Req Model (2009 GRC) Revised 01-18-2010 2 2" xfId="9813"/>
    <cellStyle name="_Recon to Darrin's 5.11.05 proforma_Power Costs - Comparison bx Rbtl-Staff-Jt-PC_Electric Rev Req Model (2009 GRC) Revised 01-18-2010 3" xfId="9814"/>
    <cellStyle name="_Recon to Darrin's 5.11.05 proforma_Power Costs - Comparison bx Rbtl-Staff-Jt-PC_Electric Rev Req Model (2009 GRC) Revised 01-18-2010 3 2" xfId="9815"/>
    <cellStyle name="_Recon to Darrin's 5.11.05 proforma_Power Costs - Comparison bx Rbtl-Staff-Jt-PC_Electric Rev Req Model (2009 GRC) Revised 01-18-2010 4" xfId="9816"/>
    <cellStyle name="_Recon to Darrin's 5.11.05 proforma_Power Costs - Comparison bx Rbtl-Staff-Jt-PC_Electric Rev Req Model (2009 GRC) Revised 01-18-2010_DEM-WP(C) ENERG10C--ctn Mid-C_042010 2010GRC" xfId="9817"/>
    <cellStyle name="_Recon to Darrin's 5.11.05 proforma_Power Costs - Comparison bx Rbtl-Staff-Jt-PC_Electric Rev Req Model (2009 GRC) Revised 01-18-2010_DEM-WP(C) ENERG10C--ctn Mid-C_042010 2010GRC 2" xfId="9818"/>
    <cellStyle name="_Recon to Darrin's 5.11.05 proforma_Power Costs - Comparison bx Rbtl-Staff-Jt-PC_Final Order Electric EXHIBIT A-1" xfId="9819"/>
    <cellStyle name="_Recon to Darrin's 5.11.05 proforma_Power Costs - Comparison bx Rbtl-Staff-Jt-PC_Final Order Electric EXHIBIT A-1 2" xfId="9820"/>
    <cellStyle name="_Recon to Darrin's 5.11.05 proforma_Power Costs - Comparison bx Rbtl-Staff-Jt-PC_Final Order Electric EXHIBIT A-1 2 2" xfId="9821"/>
    <cellStyle name="_Recon to Darrin's 5.11.05 proforma_Power Costs - Comparison bx Rbtl-Staff-Jt-PC_Final Order Electric EXHIBIT A-1 3" xfId="9822"/>
    <cellStyle name="_Recon to Darrin's 5.11.05 proforma_Production Adj 4.37" xfId="21274"/>
    <cellStyle name="_Recon to Darrin's 5.11.05 proforma_Purchased Power Adj 4.03" xfId="21275"/>
    <cellStyle name="_Recon to Darrin's 5.11.05 proforma_Rebuttal Power Costs" xfId="9823"/>
    <cellStyle name="_Recon to Darrin's 5.11.05 proforma_Rebuttal Power Costs 2" xfId="9824"/>
    <cellStyle name="_Recon to Darrin's 5.11.05 proforma_Rebuttal Power Costs 2 2" xfId="9825"/>
    <cellStyle name="_Recon to Darrin's 5.11.05 proforma_Rebuttal Power Costs 3" xfId="9826"/>
    <cellStyle name="_Recon to Darrin's 5.11.05 proforma_Rebuttal Power Costs 3 2" xfId="9827"/>
    <cellStyle name="_Recon to Darrin's 5.11.05 proforma_Rebuttal Power Costs 4" xfId="9828"/>
    <cellStyle name="_Recon to Darrin's 5.11.05 proforma_Rebuttal Power Costs_Adj Bench DR 3 for Initial Briefs (Electric)" xfId="9829"/>
    <cellStyle name="_Recon to Darrin's 5.11.05 proforma_Rebuttal Power Costs_Adj Bench DR 3 for Initial Briefs (Electric) 2" xfId="9830"/>
    <cellStyle name="_Recon to Darrin's 5.11.05 proforma_Rebuttal Power Costs_Adj Bench DR 3 for Initial Briefs (Electric) 2 2" xfId="9831"/>
    <cellStyle name="_Recon to Darrin's 5.11.05 proforma_Rebuttal Power Costs_Adj Bench DR 3 for Initial Briefs (Electric) 3" xfId="9832"/>
    <cellStyle name="_Recon to Darrin's 5.11.05 proforma_Rebuttal Power Costs_Adj Bench DR 3 for Initial Briefs (Electric) 3 2" xfId="9833"/>
    <cellStyle name="_Recon to Darrin's 5.11.05 proforma_Rebuttal Power Costs_Adj Bench DR 3 for Initial Briefs (Electric) 4" xfId="9834"/>
    <cellStyle name="_Recon to Darrin's 5.11.05 proforma_Rebuttal Power Costs_Adj Bench DR 3 for Initial Briefs (Electric)_DEM-WP(C) ENERG10C--ctn Mid-C_042010 2010GRC" xfId="9835"/>
    <cellStyle name="_Recon to Darrin's 5.11.05 proforma_Rebuttal Power Costs_Adj Bench DR 3 for Initial Briefs (Electric)_DEM-WP(C) ENERG10C--ctn Mid-C_042010 2010GRC 2" xfId="9836"/>
    <cellStyle name="_Recon to Darrin's 5.11.05 proforma_Rebuttal Power Costs_DEM-WP(C) ENERG10C--ctn Mid-C_042010 2010GRC" xfId="9837"/>
    <cellStyle name="_Recon to Darrin's 5.11.05 proforma_Rebuttal Power Costs_DEM-WP(C) ENERG10C--ctn Mid-C_042010 2010GRC 2" xfId="9838"/>
    <cellStyle name="_Recon to Darrin's 5.11.05 proforma_Rebuttal Power Costs_Electric Rev Req Model (2009 GRC) Rebuttal" xfId="9839"/>
    <cellStyle name="_Recon to Darrin's 5.11.05 proforma_Rebuttal Power Costs_Electric Rev Req Model (2009 GRC) Rebuttal 2" xfId="9840"/>
    <cellStyle name="_Recon to Darrin's 5.11.05 proforma_Rebuttal Power Costs_Electric Rev Req Model (2009 GRC) Rebuttal 2 2" xfId="9841"/>
    <cellStyle name="_Recon to Darrin's 5.11.05 proforma_Rebuttal Power Costs_Electric Rev Req Model (2009 GRC) Rebuttal 3" xfId="9842"/>
    <cellStyle name="_Recon to Darrin's 5.11.05 proforma_Rebuttal Power Costs_Electric Rev Req Model (2009 GRC) Rebuttal REmoval of New  WH Solar AdjustMI" xfId="9843"/>
    <cellStyle name="_Recon to Darrin's 5.11.05 proforma_Rebuttal Power Costs_Electric Rev Req Model (2009 GRC) Rebuttal REmoval of New  WH Solar AdjustMI 2" xfId="9844"/>
    <cellStyle name="_Recon to Darrin's 5.11.05 proforma_Rebuttal Power Costs_Electric Rev Req Model (2009 GRC) Rebuttal REmoval of New  WH Solar AdjustMI 2 2" xfId="9845"/>
    <cellStyle name="_Recon to Darrin's 5.11.05 proforma_Rebuttal Power Costs_Electric Rev Req Model (2009 GRC) Rebuttal REmoval of New  WH Solar AdjustMI 3" xfId="9846"/>
    <cellStyle name="_Recon to Darrin's 5.11.05 proforma_Rebuttal Power Costs_Electric Rev Req Model (2009 GRC) Rebuttal REmoval of New  WH Solar AdjustMI 3 2" xfId="9847"/>
    <cellStyle name="_Recon to Darrin's 5.11.05 proforma_Rebuttal Power Costs_Electric Rev Req Model (2009 GRC) Rebuttal REmoval of New  WH Solar AdjustMI 4" xfId="9848"/>
    <cellStyle name="_Recon to Darrin's 5.11.05 proforma_Rebuttal Power Costs_Electric Rev Req Model (2009 GRC) Rebuttal REmoval of New  WH Solar AdjustMI_DEM-WP(C) ENERG10C--ctn Mid-C_042010 2010GRC" xfId="9849"/>
    <cellStyle name="_Recon to Darrin's 5.11.05 proforma_Rebuttal Power Costs_Electric Rev Req Model (2009 GRC) Rebuttal REmoval of New  WH Solar AdjustMI_DEM-WP(C) ENERG10C--ctn Mid-C_042010 2010GRC 2" xfId="9850"/>
    <cellStyle name="_Recon to Darrin's 5.11.05 proforma_Rebuttal Power Costs_Electric Rev Req Model (2009 GRC) Revised 01-18-2010" xfId="9851"/>
    <cellStyle name="_Recon to Darrin's 5.11.05 proforma_Rebuttal Power Costs_Electric Rev Req Model (2009 GRC) Revised 01-18-2010 2" xfId="9852"/>
    <cellStyle name="_Recon to Darrin's 5.11.05 proforma_Rebuttal Power Costs_Electric Rev Req Model (2009 GRC) Revised 01-18-2010 2 2" xfId="9853"/>
    <cellStyle name="_Recon to Darrin's 5.11.05 proforma_Rebuttal Power Costs_Electric Rev Req Model (2009 GRC) Revised 01-18-2010 3" xfId="9854"/>
    <cellStyle name="_Recon to Darrin's 5.11.05 proforma_Rebuttal Power Costs_Electric Rev Req Model (2009 GRC) Revised 01-18-2010 3 2" xfId="9855"/>
    <cellStyle name="_Recon to Darrin's 5.11.05 proforma_Rebuttal Power Costs_Electric Rev Req Model (2009 GRC) Revised 01-18-2010 4" xfId="9856"/>
    <cellStyle name="_Recon to Darrin's 5.11.05 proforma_Rebuttal Power Costs_Electric Rev Req Model (2009 GRC) Revised 01-18-2010_DEM-WP(C) ENERG10C--ctn Mid-C_042010 2010GRC" xfId="9857"/>
    <cellStyle name="_Recon to Darrin's 5.11.05 proforma_Rebuttal Power Costs_Electric Rev Req Model (2009 GRC) Revised 01-18-2010_DEM-WP(C) ENERG10C--ctn Mid-C_042010 2010GRC 2" xfId="9858"/>
    <cellStyle name="_Recon to Darrin's 5.11.05 proforma_Rebuttal Power Costs_Final Order Electric EXHIBIT A-1" xfId="9859"/>
    <cellStyle name="_Recon to Darrin's 5.11.05 proforma_Rebuttal Power Costs_Final Order Electric EXHIBIT A-1 2" xfId="9860"/>
    <cellStyle name="_Recon to Darrin's 5.11.05 proforma_Rebuttal Power Costs_Final Order Electric EXHIBIT A-1 2 2" xfId="9861"/>
    <cellStyle name="_Recon to Darrin's 5.11.05 proforma_Rebuttal Power Costs_Final Order Electric EXHIBIT A-1 3" xfId="9862"/>
    <cellStyle name="_Recon to Darrin's 5.11.05 proforma_ROR 5.02" xfId="21276"/>
    <cellStyle name="_Recon to Darrin's 5.11.05 proforma_Transmission Workbook for May BOD" xfId="9863"/>
    <cellStyle name="_Recon to Darrin's 5.11.05 proforma_Transmission Workbook for May BOD 2" xfId="9864"/>
    <cellStyle name="_Recon to Darrin's 5.11.05 proforma_Transmission Workbook for May BOD 2 2" xfId="9865"/>
    <cellStyle name="_Recon to Darrin's 5.11.05 proforma_Transmission Workbook for May BOD 3" xfId="9866"/>
    <cellStyle name="_Recon to Darrin's 5.11.05 proforma_Transmission Workbook for May BOD 3 2" xfId="9867"/>
    <cellStyle name="_Recon to Darrin's 5.11.05 proforma_Transmission Workbook for May BOD 4" xfId="9868"/>
    <cellStyle name="_Recon to Darrin's 5.11.05 proforma_Transmission Workbook for May BOD_DEM-WP(C) ENERG10C--ctn Mid-C_042010 2010GRC" xfId="9869"/>
    <cellStyle name="_Recon to Darrin's 5.11.05 proforma_Transmission Workbook for May BOD_DEM-WP(C) ENERG10C--ctn Mid-C_042010 2010GRC 2" xfId="9870"/>
    <cellStyle name="_Recon to Darrin's 5.11.05 proforma_Wind Integration 10GRC" xfId="9871"/>
    <cellStyle name="_Recon to Darrin's 5.11.05 proforma_Wind Integration 10GRC 2" xfId="9872"/>
    <cellStyle name="_Recon to Darrin's 5.11.05 proforma_Wind Integration 10GRC 2 2" xfId="9873"/>
    <cellStyle name="_Recon to Darrin's 5.11.05 proforma_Wind Integration 10GRC 3" xfId="9874"/>
    <cellStyle name="_Recon to Darrin's 5.11.05 proforma_Wind Integration 10GRC 3 2" xfId="9875"/>
    <cellStyle name="_Recon to Darrin's 5.11.05 proforma_Wind Integration 10GRC 4" xfId="9876"/>
    <cellStyle name="_Recon to Darrin's 5.11.05 proforma_Wind Integration 10GRC_DEM-WP(C) ENERG10C--ctn Mid-C_042010 2010GRC" xfId="9877"/>
    <cellStyle name="_Recon to Darrin's 5.11.05 proforma_Wind Integration 10GRC_DEM-WP(C) ENERG10C--ctn Mid-C_042010 2010GRC 2" xfId="9878"/>
    <cellStyle name="_Revenue" xfId="18197"/>
    <cellStyle name="_Revenue_Data" xfId="18198"/>
    <cellStyle name="_Revenue_Data_1" xfId="18199"/>
    <cellStyle name="_Revenue_Data_Pro Forma Rev 09 GRC" xfId="18200"/>
    <cellStyle name="_Revenue_Data_Pro Forma Rev 2010 GRC" xfId="18201"/>
    <cellStyle name="_Revenue_Data_Pro Forma Rev 2010 GRC_Preliminary" xfId="18202"/>
    <cellStyle name="_Revenue_Data_Revenue (Feb 09 - Jan 10)" xfId="18203"/>
    <cellStyle name="_Revenue_Data_Revenue (Jan 09 - Dec 09)" xfId="18204"/>
    <cellStyle name="_Revenue_Data_Revenue (Mar 09 - Feb 10)" xfId="18205"/>
    <cellStyle name="_Revenue_Data_Volume Exhibit (Jan09 - Dec09)" xfId="18206"/>
    <cellStyle name="_Revenue_Mins" xfId="18207"/>
    <cellStyle name="_Revenue_Pro Forma Rev 07 GRC" xfId="18208"/>
    <cellStyle name="_Revenue_Pro Forma Rev 08 GRC" xfId="18209"/>
    <cellStyle name="_Revenue_Pro Forma Rev 09 GRC" xfId="18210"/>
    <cellStyle name="_Revenue_Pro Forma Rev 2010 GRC" xfId="18211"/>
    <cellStyle name="_Revenue_Pro Forma Rev 2010 GRC_Preliminary" xfId="18212"/>
    <cellStyle name="_Revenue_Revenue (Feb 09 - Jan 10)" xfId="18213"/>
    <cellStyle name="_Revenue_Revenue (Jan 09 - Dec 09)" xfId="18214"/>
    <cellStyle name="_Revenue_Revenue (Mar 09 - Feb 10)" xfId="18215"/>
    <cellStyle name="_Revenue_Sheet2" xfId="18216"/>
    <cellStyle name="_Revenue_Therms Data" xfId="18217"/>
    <cellStyle name="_Revenue_Therms Data Rerun" xfId="18218"/>
    <cellStyle name="_Revenue_Volume Exhibit (Jan09 - Dec09)" xfId="18219"/>
    <cellStyle name="_x0013__Scenario 1 REC vs PTC Offset" xfId="9879"/>
    <cellStyle name="_x0013__Scenario 1 REC vs PTC Offset 2" xfId="9880"/>
    <cellStyle name="_x0013__Scenario 3" xfId="9881"/>
    <cellStyle name="_x0013__Scenario 3 2" xfId="9882"/>
    <cellStyle name="_Sumas Proforma - 11-09-07" xfId="9883"/>
    <cellStyle name="_Sumas Proforma - 11-09-07 2" xfId="9884"/>
    <cellStyle name="_Sumas Property Taxes v1" xfId="9885"/>
    <cellStyle name="_Sumas Property Taxes v1 2" xfId="9886"/>
    <cellStyle name="_Tenaska Comparison" xfId="9887"/>
    <cellStyle name="_Tenaska Comparison 2" xfId="9888"/>
    <cellStyle name="_Tenaska Comparison 2 2" xfId="9889"/>
    <cellStyle name="_Tenaska Comparison 2 2 2" xfId="9890"/>
    <cellStyle name="_Tenaska Comparison 2 3" xfId="9891"/>
    <cellStyle name="_Tenaska Comparison 2 3 2" xfId="9892"/>
    <cellStyle name="_Tenaska Comparison 2 4" xfId="9893"/>
    <cellStyle name="_Tenaska Comparison 3" xfId="9894"/>
    <cellStyle name="_Tenaska Comparison 3 2" xfId="9895"/>
    <cellStyle name="_Tenaska Comparison 4" xfId="9896"/>
    <cellStyle name="_Tenaska Comparison 4 2" xfId="9897"/>
    <cellStyle name="_Tenaska Comparison 4 2 2" xfId="9898"/>
    <cellStyle name="_Tenaska Comparison 4 3" xfId="9899"/>
    <cellStyle name="_Tenaska Comparison 5" xfId="9900"/>
    <cellStyle name="_Tenaska Comparison 5 2" xfId="9901"/>
    <cellStyle name="_Tenaska Comparison 5 2 2" xfId="9902"/>
    <cellStyle name="_Tenaska Comparison 5 3" xfId="9903"/>
    <cellStyle name="_Tenaska Comparison 5 3 2" xfId="9904"/>
    <cellStyle name="_Tenaska Comparison 5 4" xfId="9905"/>
    <cellStyle name="_Tenaska Comparison 6" xfId="9906"/>
    <cellStyle name="_Tenaska Comparison 6 2" xfId="9907"/>
    <cellStyle name="_Tenaska Comparison 7" xfId="9908"/>
    <cellStyle name="_Tenaska Comparison 7 2" xfId="9909"/>
    <cellStyle name="_Tenaska Comparison 7 2 2" xfId="9910"/>
    <cellStyle name="_Tenaska Comparison 7 3" xfId="9911"/>
    <cellStyle name="_Tenaska Comparison 8" xfId="9912"/>
    <cellStyle name="_Tenaska Comparison 8 2" xfId="9913"/>
    <cellStyle name="_Tenaska Comparison 8 2 2" xfId="9914"/>
    <cellStyle name="_Tenaska Comparison 8 3" xfId="9915"/>
    <cellStyle name="_Tenaska Comparison 9" xfId="9916"/>
    <cellStyle name="_Tenaska Comparison_(C) WHE Proforma with ITC cash grant 10 Yr Amort_for deferral_102809" xfId="9917"/>
    <cellStyle name="_Tenaska Comparison_(C) WHE Proforma with ITC cash grant 10 Yr Amort_for deferral_102809 2" xfId="9918"/>
    <cellStyle name="_Tenaska Comparison_(C) WHE Proforma with ITC cash grant 10 Yr Amort_for deferral_102809 2 2" xfId="9919"/>
    <cellStyle name="_Tenaska Comparison_(C) WHE Proforma with ITC cash grant 10 Yr Amort_for deferral_102809 3" xfId="9920"/>
    <cellStyle name="_Tenaska Comparison_(C) WHE Proforma with ITC cash grant 10 Yr Amort_for deferral_102809 3 2" xfId="9921"/>
    <cellStyle name="_Tenaska Comparison_(C) WHE Proforma with ITC cash grant 10 Yr Amort_for deferral_102809 4" xfId="9922"/>
    <cellStyle name="_Tenaska Comparison_(C) WHE Proforma with ITC cash grant 10 Yr Amort_for deferral_102809_16.07E Wild Horse Wind Expansionwrkingfile" xfId="9923"/>
    <cellStyle name="_Tenaska Comparison_(C) WHE Proforma with ITC cash grant 10 Yr Amort_for deferral_102809_16.07E Wild Horse Wind Expansionwrkingfile 2" xfId="9924"/>
    <cellStyle name="_Tenaska Comparison_(C) WHE Proforma with ITC cash grant 10 Yr Amort_for deferral_102809_16.07E Wild Horse Wind Expansionwrkingfile 2 2" xfId="9925"/>
    <cellStyle name="_Tenaska Comparison_(C) WHE Proforma with ITC cash grant 10 Yr Amort_for deferral_102809_16.07E Wild Horse Wind Expansionwrkingfile 3" xfId="9926"/>
    <cellStyle name="_Tenaska Comparison_(C) WHE Proforma with ITC cash grant 10 Yr Amort_for deferral_102809_16.07E Wild Horse Wind Expansionwrkingfile 3 2" xfId="9927"/>
    <cellStyle name="_Tenaska Comparison_(C) WHE Proforma with ITC cash grant 10 Yr Amort_for deferral_102809_16.07E Wild Horse Wind Expansionwrkingfile 4" xfId="9928"/>
    <cellStyle name="_Tenaska Comparison_(C) WHE Proforma with ITC cash grant 10 Yr Amort_for deferral_102809_16.07E Wild Horse Wind Expansionwrkingfile SF" xfId="9929"/>
    <cellStyle name="_Tenaska Comparison_(C) WHE Proforma with ITC cash grant 10 Yr Amort_for deferral_102809_16.07E Wild Horse Wind Expansionwrkingfile SF 2" xfId="9930"/>
    <cellStyle name="_Tenaska Comparison_(C) WHE Proforma with ITC cash grant 10 Yr Amort_for deferral_102809_16.07E Wild Horse Wind Expansionwrkingfile SF 2 2" xfId="9931"/>
    <cellStyle name="_Tenaska Comparison_(C) WHE Proforma with ITC cash grant 10 Yr Amort_for deferral_102809_16.07E Wild Horse Wind Expansionwrkingfile SF 3" xfId="9932"/>
    <cellStyle name="_Tenaska Comparison_(C) WHE Proforma with ITC cash grant 10 Yr Amort_for deferral_102809_16.07E Wild Horse Wind Expansionwrkingfile SF 3 2" xfId="9933"/>
    <cellStyle name="_Tenaska Comparison_(C) WHE Proforma with ITC cash grant 10 Yr Amort_for deferral_102809_16.07E Wild Horse Wind Expansionwrkingfile SF 4" xfId="9934"/>
    <cellStyle name="_Tenaska Comparison_(C) WHE Proforma with ITC cash grant 10 Yr Amort_for deferral_102809_16.07E Wild Horse Wind Expansionwrkingfile SF_DEM-WP(C) ENERG10C--ctn Mid-C_042010 2010GRC" xfId="9935"/>
    <cellStyle name="_Tenaska Comparison_(C) WHE Proforma with ITC cash grant 10 Yr Amort_for deferral_102809_16.07E Wild Horse Wind Expansionwrkingfile SF_DEM-WP(C) ENERG10C--ctn Mid-C_042010 2010GRC 2" xfId="9936"/>
    <cellStyle name="_Tenaska Comparison_(C) WHE Proforma with ITC cash grant 10 Yr Amort_for deferral_102809_16.07E Wild Horse Wind Expansionwrkingfile_DEM-WP(C) ENERG10C--ctn Mid-C_042010 2010GRC" xfId="9937"/>
    <cellStyle name="_Tenaska Comparison_(C) WHE Proforma with ITC cash grant 10 Yr Amort_for deferral_102809_16.07E Wild Horse Wind Expansionwrkingfile_DEM-WP(C) ENERG10C--ctn Mid-C_042010 2010GRC 2" xfId="9938"/>
    <cellStyle name="_Tenaska Comparison_(C) WHE Proforma with ITC cash grant 10 Yr Amort_for deferral_102809_16.37E Wild Horse Expansion DeferralRevwrkingfile SF" xfId="9939"/>
    <cellStyle name="_Tenaska Comparison_(C) WHE Proforma with ITC cash grant 10 Yr Amort_for deferral_102809_16.37E Wild Horse Expansion DeferralRevwrkingfile SF 2" xfId="9940"/>
    <cellStyle name="_Tenaska Comparison_(C) WHE Proforma with ITC cash grant 10 Yr Amort_for deferral_102809_16.37E Wild Horse Expansion DeferralRevwrkingfile SF 2 2" xfId="9941"/>
    <cellStyle name="_Tenaska Comparison_(C) WHE Proforma with ITC cash grant 10 Yr Amort_for deferral_102809_16.37E Wild Horse Expansion DeferralRevwrkingfile SF 3" xfId="9942"/>
    <cellStyle name="_Tenaska Comparison_(C) WHE Proforma with ITC cash grant 10 Yr Amort_for deferral_102809_16.37E Wild Horse Expansion DeferralRevwrkingfile SF 3 2" xfId="9943"/>
    <cellStyle name="_Tenaska Comparison_(C) WHE Proforma with ITC cash grant 10 Yr Amort_for deferral_102809_16.37E Wild Horse Expansion DeferralRevwrkingfile SF 4" xfId="9944"/>
    <cellStyle name="_Tenaska Comparison_(C) WHE Proforma with ITC cash grant 10 Yr Amort_for deferral_102809_16.37E Wild Horse Expansion DeferralRevwrkingfile SF_DEM-WP(C) ENERG10C--ctn Mid-C_042010 2010GRC" xfId="9945"/>
    <cellStyle name="_Tenaska Comparison_(C) WHE Proforma with ITC cash grant 10 Yr Amort_for deferral_102809_16.37E Wild Horse Expansion DeferralRevwrkingfile SF_DEM-WP(C) ENERG10C--ctn Mid-C_042010 2010GRC 2" xfId="9946"/>
    <cellStyle name="_Tenaska Comparison_(C) WHE Proforma with ITC cash grant 10 Yr Amort_for deferral_102809_DEM-WP(C) ENERG10C--ctn Mid-C_042010 2010GRC" xfId="9947"/>
    <cellStyle name="_Tenaska Comparison_(C) WHE Proforma with ITC cash grant 10 Yr Amort_for deferral_102809_DEM-WP(C) ENERG10C--ctn Mid-C_042010 2010GRC 2" xfId="9948"/>
    <cellStyle name="_Tenaska Comparison_(C) WHE Proforma with ITC cash grant 10 Yr Amort_for rebuttal_120709" xfId="9949"/>
    <cellStyle name="_Tenaska Comparison_(C) WHE Proforma with ITC cash grant 10 Yr Amort_for rebuttal_120709 2" xfId="9950"/>
    <cellStyle name="_Tenaska Comparison_(C) WHE Proforma with ITC cash grant 10 Yr Amort_for rebuttal_120709 2 2" xfId="9951"/>
    <cellStyle name="_Tenaska Comparison_(C) WHE Proforma with ITC cash grant 10 Yr Amort_for rebuttal_120709 3" xfId="9952"/>
    <cellStyle name="_Tenaska Comparison_(C) WHE Proforma with ITC cash grant 10 Yr Amort_for rebuttal_120709 3 2" xfId="9953"/>
    <cellStyle name="_Tenaska Comparison_(C) WHE Proforma with ITC cash grant 10 Yr Amort_for rebuttal_120709 4" xfId="9954"/>
    <cellStyle name="_Tenaska Comparison_(C) WHE Proforma with ITC cash grant 10 Yr Amort_for rebuttal_120709_DEM-WP(C) ENERG10C--ctn Mid-C_042010 2010GRC" xfId="9955"/>
    <cellStyle name="_Tenaska Comparison_(C) WHE Proforma with ITC cash grant 10 Yr Amort_for rebuttal_120709_DEM-WP(C) ENERG10C--ctn Mid-C_042010 2010GRC 2" xfId="9956"/>
    <cellStyle name="_Tenaska Comparison_04.07E Wild Horse Wind Expansion" xfId="9957"/>
    <cellStyle name="_Tenaska Comparison_04.07E Wild Horse Wind Expansion 2" xfId="9958"/>
    <cellStyle name="_Tenaska Comparison_04.07E Wild Horse Wind Expansion 2 2" xfId="9959"/>
    <cellStyle name="_Tenaska Comparison_04.07E Wild Horse Wind Expansion 3" xfId="9960"/>
    <cellStyle name="_Tenaska Comparison_04.07E Wild Horse Wind Expansion 3 2" xfId="9961"/>
    <cellStyle name="_Tenaska Comparison_04.07E Wild Horse Wind Expansion 4" xfId="9962"/>
    <cellStyle name="_Tenaska Comparison_04.07E Wild Horse Wind Expansion_16.07E Wild Horse Wind Expansionwrkingfile" xfId="9963"/>
    <cellStyle name="_Tenaska Comparison_04.07E Wild Horse Wind Expansion_16.07E Wild Horse Wind Expansionwrkingfile 2" xfId="9964"/>
    <cellStyle name="_Tenaska Comparison_04.07E Wild Horse Wind Expansion_16.07E Wild Horse Wind Expansionwrkingfile 2 2" xfId="9965"/>
    <cellStyle name="_Tenaska Comparison_04.07E Wild Horse Wind Expansion_16.07E Wild Horse Wind Expansionwrkingfile 3" xfId="9966"/>
    <cellStyle name="_Tenaska Comparison_04.07E Wild Horse Wind Expansion_16.07E Wild Horse Wind Expansionwrkingfile 3 2" xfId="9967"/>
    <cellStyle name="_Tenaska Comparison_04.07E Wild Horse Wind Expansion_16.07E Wild Horse Wind Expansionwrkingfile 4" xfId="9968"/>
    <cellStyle name="_Tenaska Comparison_04.07E Wild Horse Wind Expansion_16.07E Wild Horse Wind Expansionwrkingfile SF" xfId="9969"/>
    <cellStyle name="_Tenaska Comparison_04.07E Wild Horse Wind Expansion_16.07E Wild Horse Wind Expansionwrkingfile SF 2" xfId="9970"/>
    <cellStyle name="_Tenaska Comparison_04.07E Wild Horse Wind Expansion_16.07E Wild Horse Wind Expansionwrkingfile SF 2 2" xfId="9971"/>
    <cellStyle name="_Tenaska Comparison_04.07E Wild Horse Wind Expansion_16.07E Wild Horse Wind Expansionwrkingfile SF 3" xfId="9972"/>
    <cellStyle name="_Tenaska Comparison_04.07E Wild Horse Wind Expansion_16.07E Wild Horse Wind Expansionwrkingfile SF 3 2" xfId="9973"/>
    <cellStyle name="_Tenaska Comparison_04.07E Wild Horse Wind Expansion_16.07E Wild Horse Wind Expansionwrkingfile SF 4" xfId="9974"/>
    <cellStyle name="_Tenaska Comparison_04.07E Wild Horse Wind Expansion_16.07E Wild Horse Wind Expansionwrkingfile SF_DEM-WP(C) ENERG10C--ctn Mid-C_042010 2010GRC" xfId="9975"/>
    <cellStyle name="_Tenaska Comparison_04.07E Wild Horse Wind Expansion_16.07E Wild Horse Wind Expansionwrkingfile SF_DEM-WP(C) ENERG10C--ctn Mid-C_042010 2010GRC 2" xfId="9976"/>
    <cellStyle name="_Tenaska Comparison_04.07E Wild Horse Wind Expansion_16.07E Wild Horse Wind Expansionwrkingfile_DEM-WP(C) ENERG10C--ctn Mid-C_042010 2010GRC" xfId="9977"/>
    <cellStyle name="_Tenaska Comparison_04.07E Wild Horse Wind Expansion_16.07E Wild Horse Wind Expansionwrkingfile_DEM-WP(C) ENERG10C--ctn Mid-C_042010 2010GRC 2" xfId="9978"/>
    <cellStyle name="_Tenaska Comparison_04.07E Wild Horse Wind Expansion_16.37E Wild Horse Expansion DeferralRevwrkingfile SF" xfId="9979"/>
    <cellStyle name="_Tenaska Comparison_04.07E Wild Horse Wind Expansion_16.37E Wild Horse Expansion DeferralRevwrkingfile SF 2" xfId="9980"/>
    <cellStyle name="_Tenaska Comparison_04.07E Wild Horse Wind Expansion_16.37E Wild Horse Expansion DeferralRevwrkingfile SF 2 2" xfId="9981"/>
    <cellStyle name="_Tenaska Comparison_04.07E Wild Horse Wind Expansion_16.37E Wild Horse Expansion DeferralRevwrkingfile SF 3" xfId="9982"/>
    <cellStyle name="_Tenaska Comparison_04.07E Wild Horse Wind Expansion_16.37E Wild Horse Expansion DeferralRevwrkingfile SF 3 2" xfId="9983"/>
    <cellStyle name="_Tenaska Comparison_04.07E Wild Horse Wind Expansion_16.37E Wild Horse Expansion DeferralRevwrkingfile SF 4" xfId="9984"/>
    <cellStyle name="_Tenaska Comparison_04.07E Wild Horse Wind Expansion_16.37E Wild Horse Expansion DeferralRevwrkingfile SF_DEM-WP(C) ENERG10C--ctn Mid-C_042010 2010GRC" xfId="9985"/>
    <cellStyle name="_Tenaska Comparison_04.07E Wild Horse Wind Expansion_16.37E Wild Horse Expansion DeferralRevwrkingfile SF_DEM-WP(C) ENERG10C--ctn Mid-C_042010 2010GRC 2" xfId="9986"/>
    <cellStyle name="_Tenaska Comparison_04.07E Wild Horse Wind Expansion_DEM-WP(C) ENERG10C--ctn Mid-C_042010 2010GRC" xfId="9987"/>
    <cellStyle name="_Tenaska Comparison_04.07E Wild Horse Wind Expansion_DEM-WP(C) ENERG10C--ctn Mid-C_042010 2010GRC 2" xfId="9988"/>
    <cellStyle name="_Tenaska Comparison_16.07E Wild Horse Wind Expansionwrkingfile" xfId="9989"/>
    <cellStyle name="_Tenaska Comparison_16.07E Wild Horse Wind Expansionwrkingfile 2" xfId="9990"/>
    <cellStyle name="_Tenaska Comparison_16.07E Wild Horse Wind Expansionwrkingfile 2 2" xfId="9991"/>
    <cellStyle name="_Tenaska Comparison_16.07E Wild Horse Wind Expansionwrkingfile 3" xfId="9992"/>
    <cellStyle name="_Tenaska Comparison_16.07E Wild Horse Wind Expansionwrkingfile 3 2" xfId="9993"/>
    <cellStyle name="_Tenaska Comparison_16.07E Wild Horse Wind Expansionwrkingfile 4" xfId="9994"/>
    <cellStyle name="_Tenaska Comparison_16.07E Wild Horse Wind Expansionwrkingfile SF" xfId="9995"/>
    <cellStyle name="_Tenaska Comparison_16.07E Wild Horse Wind Expansionwrkingfile SF 2" xfId="9996"/>
    <cellStyle name="_Tenaska Comparison_16.07E Wild Horse Wind Expansionwrkingfile SF 2 2" xfId="9997"/>
    <cellStyle name="_Tenaska Comparison_16.07E Wild Horse Wind Expansionwrkingfile SF 3" xfId="9998"/>
    <cellStyle name="_Tenaska Comparison_16.07E Wild Horse Wind Expansionwrkingfile SF 3 2" xfId="9999"/>
    <cellStyle name="_Tenaska Comparison_16.07E Wild Horse Wind Expansionwrkingfile SF 4" xfId="10000"/>
    <cellStyle name="_Tenaska Comparison_16.07E Wild Horse Wind Expansionwrkingfile SF_DEM-WP(C) ENERG10C--ctn Mid-C_042010 2010GRC" xfId="10001"/>
    <cellStyle name="_Tenaska Comparison_16.07E Wild Horse Wind Expansionwrkingfile SF_DEM-WP(C) ENERG10C--ctn Mid-C_042010 2010GRC 2" xfId="10002"/>
    <cellStyle name="_Tenaska Comparison_16.07E Wild Horse Wind Expansionwrkingfile_DEM-WP(C) ENERG10C--ctn Mid-C_042010 2010GRC" xfId="10003"/>
    <cellStyle name="_Tenaska Comparison_16.07E Wild Horse Wind Expansionwrkingfile_DEM-WP(C) ENERG10C--ctn Mid-C_042010 2010GRC 2" xfId="10004"/>
    <cellStyle name="_Tenaska Comparison_16.37E Wild Horse Expansion DeferralRevwrkingfile SF" xfId="10005"/>
    <cellStyle name="_Tenaska Comparison_16.37E Wild Horse Expansion DeferralRevwrkingfile SF 2" xfId="10006"/>
    <cellStyle name="_Tenaska Comparison_16.37E Wild Horse Expansion DeferralRevwrkingfile SF 2 2" xfId="10007"/>
    <cellStyle name="_Tenaska Comparison_16.37E Wild Horse Expansion DeferralRevwrkingfile SF 3" xfId="10008"/>
    <cellStyle name="_Tenaska Comparison_16.37E Wild Horse Expansion DeferralRevwrkingfile SF 3 2" xfId="10009"/>
    <cellStyle name="_Tenaska Comparison_16.37E Wild Horse Expansion DeferralRevwrkingfile SF 4" xfId="10010"/>
    <cellStyle name="_Tenaska Comparison_16.37E Wild Horse Expansion DeferralRevwrkingfile SF_DEM-WP(C) ENERG10C--ctn Mid-C_042010 2010GRC" xfId="10011"/>
    <cellStyle name="_Tenaska Comparison_16.37E Wild Horse Expansion DeferralRevwrkingfile SF_DEM-WP(C) ENERG10C--ctn Mid-C_042010 2010GRC 2" xfId="10012"/>
    <cellStyle name="_Tenaska Comparison_2009 Compliance Filing PCA Exhibits for GRC" xfId="10013"/>
    <cellStyle name="_Tenaska Comparison_2009 Compliance Filing PCA Exhibits for GRC 2" xfId="10014"/>
    <cellStyle name="_Tenaska Comparison_2009 Compliance Filing PCA Exhibits for GRC 2 2" xfId="10015"/>
    <cellStyle name="_Tenaska Comparison_2009 Compliance Filing PCA Exhibits for GRC 3" xfId="10016"/>
    <cellStyle name="_Tenaska Comparison_2009 GRC Compl Filing - Exhibit D" xfId="10017"/>
    <cellStyle name="_Tenaska Comparison_2009 GRC Compl Filing - Exhibit D 2" xfId="10018"/>
    <cellStyle name="_Tenaska Comparison_2009 GRC Compl Filing - Exhibit D 2 2" xfId="10019"/>
    <cellStyle name="_Tenaska Comparison_2009 GRC Compl Filing - Exhibit D 3" xfId="10020"/>
    <cellStyle name="_Tenaska Comparison_2009 GRC Compl Filing - Exhibit D 3 2" xfId="10021"/>
    <cellStyle name="_Tenaska Comparison_2009 GRC Compl Filing - Exhibit D 4" xfId="10022"/>
    <cellStyle name="_Tenaska Comparison_2009 GRC Compl Filing - Exhibit D_DEM-WP(C) ENERG10C--ctn Mid-C_042010 2010GRC" xfId="10023"/>
    <cellStyle name="_Tenaska Comparison_2009 GRC Compl Filing - Exhibit D_DEM-WP(C) ENERG10C--ctn Mid-C_042010 2010GRC 2" xfId="10024"/>
    <cellStyle name="_Tenaska Comparison_3.01 Income Statement" xfId="10025"/>
    <cellStyle name="_Tenaska Comparison_4 31 Regulatory Assets and Liabilities  7 06- Exhibit D" xfId="10026"/>
    <cellStyle name="_Tenaska Comparison_4 31 Regulatory Assets and Liabilities  7 06- Exhibit D 2" xfId="10027"/>
    <cellStyle name="_Tenaska Comparison_4 31 Regulatory Assets and Liabilities  7 06- Exhibit D 2 2" xfId="10028"/>
    <cellStyle name="_Tenaska Comparison_4 31 Regulatory Assets and Liabilities  7 06- Exhibit D 2 2 2" xfId="10029"/>
    <cellStyle name="_Tenaska Comparison_4 31 Regulatory Assets and Liabilities  7 06- Exhibit D 2 3" xfId="10030"/>
    <cellStyle name="_Tenaska Comparison_4 31 Regulatory Assets and Liabilities  7 06- Exhibit D 3" xfId="10031"/>
    <cellStyle name="_Tenaska Comparison_4 31 Regulatory Assets and Liabilities  7 06- Exhibit D 3 2" xfId="10032"/>
    <cellStyle name="_Tenaska Comparison_4 31 Regulatory Assets and Liabilities  7 06- Exhibit D 4" xfId="10033"/>
    <cellStyle name="_Tenaska Comparison_4 31 Regulatory Assets and Liabilities  7 06- Exhibit D_DEM-WP(C) ENERG10C--ctn Mid-C_042010 2010GRC" xfId="10034"/>
    <cellStyle name="_Tenaska Comparison_4 31 Regulatory Assets and Liabilities  7 06- Exhibit D_DEM-WP(C) ENERG10C--ctn Mid-C_042010 2010GRC 2" xfId="10035"/>
    <cellStyle name="_Tenaska Comparison_4 31 Regulatory Assets and Liabilities  7 06- Exhibit D_NIM Summary" xfId="10036"/>
    <cellStyle name="_Tenaska Comparison_4 31 Regulatory Assets and Liabilities  7 06- Exhibit D_NIM Summary 2" xfId="10037"/>
    <cellStyle name="_Tenaska Comparison_4 31 Regulatory Assets and Liabilities  7 06- Exhibit D_NIM Summary 2 2" xfId="10038"/>
    <cellStyle name="_Tenaska Comparison_4 31 Regulatory Assets and Liabilities  7 06- Exhibit D_NIM Summary 3" xfId="10039"/>
    <cellStyle name="_Tenaska Comparison_4 31 Regulatory Assets and Liabilities  7 06- Exhibit D_NIM Summary 3 2" xfId="10040"/>
    <cellStyle name="_Tenaska Comparison_4 31 Regulatory Assets and Liabilities  7 06- Exhibit D_NIM Summary 4" xfId="10041"/>
    <cellStyle name="_Tenaska Comparison_4 31 Regulatory Assets and Liabilities  7 06- Exhibit D_NIM Summary_DEM-WP(C) ENERG10C--ctn Mid-C_042010 2010GRC" xfId="10042"/>
    <cellStyle name="_Tenaska Comparison_4 31 Regulatory Assets and Liabilities  7 06- Exhibit D_NIM Summary_DEM-WP(C) ENERG10C--ctn Mid-C_042010 2010GRC 2" xfId="10043"/>
    <cellStyle name="_Tenaska Comparison_4 31 Regulatory Assets and Liabilities  7 06- Exhibit D_NIM+O&amp;M" xfId="10044"/>
    <cellStyle name="_Tenaska Comparison_4 31 Regulatory Assets and Liabilities  7 06- Exhibit D_NIM+O&amp;M 2" xfId="10045"/>
    <cellStyle name="_Tenaska Comparison_4 31 Regulatory Assets and Liabilities  7 06- Exhibit D_NIM+O&amp;M Monthly" xfId="10046"/>
    <cellStyle name="_Tenaska Comparison_4 31 Regulatory Assets and Liabilities  7 06- Exhibit D_NIM+O&amp;M Monthly 2" xfId="10047"/>
    <cellStyle name="_Tenaska Comparison_4 31E Reg Asset  Liab and EXH D" xfId="10048"/>
    <cellStyle name="_Tenaska Comparison_4 31E Reg Asset  Liab and EXH D _ Aug 10 Filing (2)" xfId="10049"/>
    <cellStyle name="_Tenaska Comparison_4 31E Reg Asset  Liab and EXH D _ Aug 10 Filing (2) 2" xfId="10050"/>
    <cellStyle name="_Tenaska Comparison_4 31E Reg Asset  Liab and EXH D 2" xfId="10051"/>
    <cellStyle name="_Tenaska Comparison_4 31E Reg Asset  Liab and EXH D 3" xfId="10052"/>
    <cellStyle name="_Tenaska Comparison_4 32 Regulatory Assets and Liabilities  7 06- Exhibit D" xfId="10053"/>
    <cellStyle name="_Tenaska Comparison_4 32 Regulatory Assets and Liabilities  7 06- Exhibit D 2" xfId="10054"/>
    <cellStyle name="_Tenaska Comparison_4 32 Regulatory Assets and Liabilities  7 06- Exhibit D 2 2" xfId="10055"/>
    <cellStyle name="_Tenaska Comparison_4 32 Regulatory Assets and Liabilities  7 06- Exhibit D 2 2 2" xfId="10056"/>
    <cellStyle name="_Tenaska Comparison_4 32 Regulatory Assets and Liabilities  7 06- Exhibit D 2 3" xfId="10057"/>
    <cellStyle name="_Tenaska Comparison_4 32 Regulatory Assets and Liabilities  7 06- Exhibit D 3" xfId="10058"/>
    <cellStyle name="_Tenaska Comparison_4 32 Regulatory Assets and Liabilities  7 06- Exhibit D 3 2" xfId="10059"/>
    <cellStyle name="_Tenaska Comparison_4 32 Regulatory Assets and Liabilities  7 06- Exhibit D 4" xfId="10060"/>
    <cellStyle name="_Tenaska Comparison_4 32 Regulatory Assets and Liabilities  7 06- Exhibit D_DEM-WP(C) ENERG10C--ctn Mid-C_042010 2010GRC" xfId="10061"/>
    <cellStyle name="_Tenaska Comparison_4 32 Regulatory Assets and Liabilities  7 06- Exhibit D_DEM-WP(C) ENERG10C--ctn Mid-C_042010 2010GRC 2" xfId="10062"/>
    <cellStyle name="_Tenaska Comparison_4 32 Regulatory Assets and Liabilities  7 06- Exhibit D_NIM Summary" xfId="10063"/>
    <cellStyle name="_Tenaska Comparison_4 32 Regulatory Assets and Liabilities  7 06- Exhibit D_NIM Summary 2" xfId="10064"/>
    <cellStyle name="_Tenaska Comparison_4 32 Regulatory Assets and Liabilities  7 06- Exhibit D_NIM Summary 2 2" xfId="10065"/>
    <cellStyle name="_Tenaska Comparison_4 32 Regulatory Assets and Liabilities  7 06- Exhibit D_NIM Summary 3" xfId="10066"/>
    <cellStyle name="_Tenaska Comparison_4 32 Regulatory Assets and Liabilities  7 06- Exhibit D_NIM Summary 3 2" xfId="10067"/>
    <cellStyle name="_Tenaska Comparison_4 32 Regulatory Assets and Liabilities  7 06- Exhibit D_NIM Summary 4" xfId="10068"/>
    <cellStyle name="_Tenaska Comparison_4 32 Regulatory Assets and Liabilities  7 06- Exhibit D_NIM Summary_DEM-WP(C) ENERG10C--ctn Mid-C_042010 2010GRC" xfId="10069"/>
    <cellStyle name="_Tenaska Comparison_4 32 Regulatory Assets and Liabilities  7 06- Exhibit D_NIM Summary_DEM-WP(C) ENERG10C--ctn Mid-C_042010 2010GRC 2" xfId="10070"/>
    <cellStyle name="_Tenaska Comparison_4 32 Regulatory Assets and Liabilities  7 06- Exhibit D_NIM+O&amp;M" xfId="10071"/>
    <cellStyle name="_Tenaska Comparison_4 32 Regulatory Assets and Liabilities  7 06- Exhibit D_NIM+O&amp;M 2" xfId="10072"/>
    <cellStyle name="_Tenaska Comparison_4 32 Regulatory Assets and Liabilities  7 06- Exhibit D_NIM+O&amp;M Monthly" xfId="10073"/>
    <cellStyle name="_Tenaska Comparison_4 32 Regulatory Assets and Liabilities  7 06- Exhibit D_NIM+O&amp;M Monthly 2" xfId="10074"/>
    <cellStyle name="_Tenaska Comparison_AURORA Total New" xfId="10075"/>
    <cellStyle name="_Tenaska Comparison_AURORA Total New 2" xfId="10076"/>
    <cellStyle name="_Tenaska Comparison_AURORA Total New 2 2" xfId="10077"/>
    <cellStyle name="_Tenaska Comparison_AURORA Total New 3" xfId="10078"/>
    <cellStyle name="_Tenaska Comparison_Book2" xfId="10079"/>
    <cellStyle name="_Tenaska Comparison_Book2 2" xfId="10080"/>
    <cellStyle name="_Tenaska Comparison_Book2 2 2" xfId="10081"/>
    <cellStyle name="_Tenaska Comparison_Book2 3" xfId="10082"/>
    <cellStyle name="_Tenaska Comparison_Book2 3 2" xfId="10083"/>
    <cellStyle name="_Tenaska Comparison_Book2 4" xfId="10084"/>
    <cellStyle name="_Tenaska Comparison_Book2_Adj Bench DR 3 for Initial Briefs (Electric)" xfId="10085"/>
    <cellStyle name="_Tenaska Comparison_Book2_Adj Bench DR 3 for Initial Briefs (Electric) 2" xfId="10086"/>
    <cellStyle name="_Tenaska Comparison_Book2_Adj Bench DR 3 for Initial Briefs (Electric) 2 2" xfId="10087"/>
    <cellStyle name="_Tenaska Comparison_Book2_Adj Bench DR 3 for Initial Briefs (Electric) 3" xfId="10088"/>
    <cellStyle name="_Tenaska Comparison_Book2_Adj Bench DR 3 for Initial Briefs (Electric) 3 2" xfId="10089"/>
    <cellStyle name="_Tenaska Comparison_Book2_Adj Bench DR 3 for Initial Briefs (Electric) 4" xfId="10090"/>
    <cellStyle name="_Tenaska Comparison_Book2_Adj Bench DR 3 for Initial Briefs (Electric)_DEM-WP(C) ENERG10C--ctn Mid-C_042010 2010GRC" xfId="10091"/>
    <cellStyle name="_Tenaska Comparison_Book2_Adj Bench DR 3 for Initial Briefs (Electric)_DEM-WP(C) ENERG10C--ctn Mid-C_042010 2010GRC 2" xfId="10092"/>
    <cellStyle name="_Tenaska Comparison_Book2_DEM-WP(C) ENERG10C--ctn Mid-C_042010 2010GRC" xfId="10093"/>
    <cellStyle name="_Tenaska Comparison_Book2_DEM-WP(C) ENERG10C--ctn Mid-C_042010 2010GRC 2" xfId="10094"/>
    <cellStyle name="_Tenaska Comparison_Book2_Electric Rev Req Model (2009 GRC) Rebuttal" xfId="10095"/>
    <cellStyle name="_Tenaska Comparison_Book2_Electric Rev Req Model (2009 GRC) Rebuttal 2" xfId="10096"/>
    <cellStyle name="_Tenaska Comparison_Book2_Electric Rev Req Model (2009 GRC) Rebuttal 2 2" xfId="10097"/>
    <cellStyle name="_Tenaska Comparison_Book2_Electric Rev Req Model (2009 GRC) Rebuttal 3" xfId="10098"/>
    <cellStyle name="_Tenaska Comparison_Book2_Electric Rev Req Model (2009 GRC) Rebuttal REmoval of New  WH Solar AdjustMI" xfId="10099"/>
    <cellStyle name="_Tenaska Comparison_Book2_Electric Rev Req Model (2009 GRC) Rebuttal REmoval of New  WH Solar AdjustMI 2" xfId="10100"/>
    <cellStyle name="_Tenaska Comparison_Book2_Electric Rev Req Model (2009 GRC) Rebuttal REmoval of New  WH Solar AdjustMI 2 2" xfId="10101"/>
    <cellStyle name="_Tenaska Comparison_Book2_Electric Rev Req Model (2009 GRC) Rebuttal REmoval of New  WH Solar AdjustMI 3" xfId="10102"/>
    <cellStyle name="_Tenaska Comparison_Book2_Electric Rev Req Model (2009 GRC) Rebuttal REmoval of New  WH Solar AdjustMI 3 2" xfId="10103"/>
    <cellStyle name="_Tenaska Comparison_Book2_Electric Rev Req Model (2009 GRC) Rebuttal REmoval of New  WH Solar AdjustMI 4" xfId="10104"/>
    <cellStyle name="_Tenaska Comparison_Book2_Electric Rev Req Model (2009 GRC) Rebuttal REmoval of New  WH Solar AdjustMI_DEM-WP(C) ENERG10C--ctn Mid-C_042010 2010GRC" xfId="10105"/>
    <cellStyle name="_Tenaska Comparison_Book2_Electric Rev Req Model (2009 GRC) Rebuttal REmoval of New  WH Solar AdjustMI_DEM-WP(C) ENERG10C--ctn Mid-C_042010 2010GRC 2" xfId="10106"/>
    <cellStyle name="_Tenaska Comparison_Book2_Electric Rev Req Model (2009 GRC) Revised 01-18-2010" xfId="10107"/>
    <cellStyle name="_Tenaska Comparison_Book2_Electric Rev Req Model (2009 GRC) Revised 01-18-2010 2" xfId="10108"/>
    <cellStyle name="_Tenaska Comparison_Book2_Electric Rev Req Model (2009 GRC) Revised 01-18-2010 2 2" xfId="10109"/>
    <cellStyle name="_Tenaska Comparison_Book2_Electric Rev Req Model (2009 GRC) Revised 01-18-2010 3" xfId="10110"/>
    <cellStyle name="_Tenaska Comparison_Book2_Electric Rev Req Model (2009 GRC) Revised 01-18-2010 3 2" xfId="10111"/>
    <cellStyle name="_Tenaska Comparison_Book2_Electric Rev Req Model (2009 GRC) Revised 01-18-2010 4" xfId="10112"/>
    <cellStyle name="_Tenaska Comparison_Book2_Electric Rev Req Model (2009 GRC) Revised 01-18-2010_DEM-WP(C) ENERG10C--ctn Mid-C_042010 2010GRC" xfId="10113"/>
    <cellStyle name="_Tenaska Comparison_Book2_Electric Rev Req Model (2009 GRC) Revised 01-18-2010_DEM-WP(C) ENERG10C--ctn Mid-C_042010 2010GRC 2" xfId="10114"/>
    <cellStyle name="_Tenaska Comparison_Book2_Final Order Electric EXHIBIT A-1" xfId="10115"/>
    <cellStyle name="_Tenaska Comparison_Book2_Final Order Electric EXHIBIT A-1 2" xfId="10116"/>
    <cellStyle name="_Tenaska Comparison_Book2_Final Order Electric EXHIBIT A-1 2 2" xfId="10117"/>
    <cellStyle name="_Tenaska Comparison_Book2_Final Order Electric EXHIBIT A-1 3" xfId="10118"/>
    <cellStyle name="_Tenaska Comparison_Book4" xfId="10119"/>
    <cellStyle name="_Tenaska Comparison_Book4 2" xfId="10120"/>
    <cellStyle name="_Tenaska Comparison_Book4 2 2" xfId="10121"/>
    <cellStyle name="_Tenaska Comparison_Book4 3" xfId="10122"/>
    <cellStyle name="_Tenaska Comparison_Book4 3 2" xfId="10123"/>
    <cellStyle name="_Tenaska Comparison_Book4 4" xfId="10124"/>
    <cellStyle name="_Tenaska Comparison_Book4_DEM-WP(C) ENERG10C--ctn Mid-C_042010 2010GRC" xfId="10125"/>
    <cellStyle name="_Tenaska Comparison_Book4_DEM-WP(C) ENERG10C--ctn Mid-C_042010 2010GRC 2" xfId="10126"/>
    <cellStyle name="_Tenaska Comparison_Book9" xfId="10127"/>
    <cellStyle name="_Tenaska Comparison_Book9 2" xfId="10128"/>
    <cellStyle name="_Tenaska Comparison_Book9 2 2" xfId="10129"/>
    <cellStyle name="_Tenaska Comparison_Book9 3" xfId="10130"/>
    <cellStyle name="_Tenaska Comparison_Book9 3 2" xfId="10131"/>
    <cellStyle name="_Tenaska Comparison_Book9 4" xfId="10132"/>
    <cellStyle name="_Tenaska Comparison_Book9_DEM-WP(C) ENERG10C--ctn Mid-C_042010 2010GRC" xfId="10133"/>
    <cellStyle name="_Tenaska Comparison_Book9_DEM-WP(C) ENERG10C--ctn Mid-C_042010 2010GRC 2" xfId="10134"/>
    <cellStyle name="_Tenaska Comparison_Chelan PUD Power Costs (8-10)" xfId="10135"/>
    <cellStyle name="_Tenaska Comparison_Chelan PUD Power Costs (8-10) 2" xfId="10136"/>
    <cellStyle name="_Tenaska Comparison_DEM-WP(C) Chelan Power Costs" xfId="10137"/>
    <cellStyle name="_Tenaska Comparison_DEM-WP(C) Chelan Power Costs 2" xfId="10138"/>
    <cellStyle name="_Tenaska Comparison_DEM-WP(C) ENERG10C--ctn Mid-C_042010 2010GRC" xfId="10139"/>
    <cellStyle name="_Tenaska Comparison_DEM-WP(C) ENERG10C--ctn Mid-C_042010 2010GRC 2" xfId="10140"/>
    <cellStyle name="_Tenaska Comparison_DEM-WP(C) Gas Transport 2010GRC" xfId="10141"/>
    <cellStyle name="_Tenaska Comparison_DEM-WP(C) Gas Transport 2010GRC 2" xfId="10142"/>
    <cellStyle name="_Tenaska Comparison_Exh A-1 resulting from UE-112050 effective Jan 1 2012" xfId="10143"/>
    <cellStyle name="_Tenaska Comparison_Exh A-1 resulting from UE-112050 effective Jan 1 2012 2" xfId="10144"/>
    <cellStyle name="_Tenaska Comparison_Exhibit A-1 effective 4-1-11 fr S Free 12-11" xfId="10145"/>
    <cellStyle name="_Tenaska Comparison_Exhibit A-1 effective 4-1-11 fr S Free 12-11 2" xfId="10146"/>
    <cellStyle name="_Tenaska Comparison_LSRWEP LGIA like Acctg Petition Aug 2010" xfId="10147"/>
    <cellStyle name="_Tenaska Comparison_LSRWEP LGIA like Acctg Petition Aug 2010 2" xfId="10148"/>
    <cellStyle name="_Tenaska Comparison_Mint Farm Generation BPA" xfId="10149"/>
    <cellStyle name="_Tenaska Comparison_NIM Summary" xfId="10150"/>
    <cellStyle name="_Tenaska Comparison_NIM Summary 09GRC" xfId="10151"/>
    <cellStyle name="_Tenaska Comparison_NIM Summary 09GRC 2" xfId="10152"/>
    <cellStyle name="_Tenaska Comparison_NIM Summary 09GRC 2 2" xfId="10153"/>
    <cellStyle name="_Tenaska Comparison_NIM Summary 09GRC 3" xfId="10154"/>
    <cellStyle name="_Tenaska Comparison_NIM Summary 09GRC 3 2" xfId="10155"/>
    <cellStyle name="_Tenaska Comparison_NIM Summary 09GRC 4" xfId="10156"/>
    <cellStyle name="_Tenaska Comparison_NIM Summary 09GRC_DEM-WP(C) ENERG10C--ctn Mid-C_042010 2010GRC" xfId="10157"/>
    <cellStyle name="_Tenaska Comparison_NIM Summary 09GRC_DEM-WP(C) ENERG10C--ctn Mid-C_042010 2010GRC 2" xfId="10158"/>
    <cellStyle name="_Tenaska Comparison_NIM Summary 10" xfId="10159"/>
    <cellStyle name="_Tenaska Comparison_NIM Summary 10 2" xfId="10160"/>
    <cellStyle name="_Tenaska Comparison_NIM Summary 11" xfId="10161"/>
    <cellStyle name="_Tenaska Comparison_NIM Summary 11 2" xfId="10162"/>
    <cellStyle name="_Tenaska Comparison_NIM Summary 12" xfId="10163"/>
    <cellStyle name="_Tenaska Comparison_NIM Summary 12 2" xfId="10164"/>
    <cellStyle name="_Tenaska Comparison_NIM Summary 13" xfId="10165"/>
    <cellStyle name="_Tenaska Comparison_NIM Summary 13 2" xfId="10166"/>
    <cellStyle name="_Tenaska Comparison_NIM Summary 14" xfId="10167"/>
    <cellStyle name="_Tenaska Comparison_NIM Summary 14 2" xfId="10168"/>
    <cellStyle name="_Tenaska Comparison_NIM Summary 15" xfId="10169"/>
    <cellStyle name="_Tenaska Comparison_NIM Summary 15 2" xfId="10170"/>
    <cellStyle name="_Tenaska Comparison_NIM Summary 16" xfId="10171"/>
    <cellStyle name="_Tenaska Comparison_NIM Summary 16 2" xfId="10172"/>
    <cellStyle name="_Tenaska Comparison_NIM Summary 17" xfId="10173"/>
    <cellStyle name="_Tenaska Comparison_NIM Summary 17 2" xfId="10174"/>
    <cellStyle name="_Tenaska Comparison_NIM Summary 18" xfId="10175"/>
    <cellStyle name="_Tenaska Comparison_NIM Summary 18 2" xfId="10176"/>
    <cellStyle name="_Tenaska Comparison_NIM Summary 19" xfId="10177"/>
    <cellStyle name="_Tenaska Comparison_NIM Summary 19 2" xfId="10178"/>
    <cellStyle name="_Tenaska Comparison_NIM Summary 2" xfId="10179"/>
    <cellStyle name="_Tenaska Comparison_NIM Summary 2 2" xfId="10180"/>
    <cellStyle name="_Tenaska Comparison_NIM Summary 20" xfId="10181"/>
    <cellStyle name="_Tenaska Comparison_NIM Summary 20 2" xfId="10182"/>
    <cellStyle name="_Tenaska Comparison_NIM Summary 21" xfId="10183"/>
    <cellStyle name="_Tenaska Comparison_NIM Summary 21 2" xfId="10184"/>
    <cellStyle name="_Tenaska Comparison_NIM Summary 22" xfId="10185"/>
    <cellStyle name="_Tenaska Comparison_NIM Summary 22 2" xfId="10186"/>
    <cellStyle name="_Tenaska Comparison_NIM Summary 23" xfId="10187"/>
    <cellStyle name="_Tenaska Comparison_NIM Summary 23 2" xfId="10188"/>
    <cellStyle name="_Tenaska Comparison_NIM Summary 24" xfId="10189"/>
    <cellStyle name="_Tenaska Comparison_NIM Summary 24 2" xfId="10190"/>
    <cellStyle name="_Tenaska Comparison_NIM Summary 25" xfId="10191"/>
    <cellStyle name="_Tenaska Comparison_NIM Summary 25 2" xfId="10192"/>
    <cellStyle name="_Tenaska Comparison_NIM Summary 26" xfId="10193"/>
    <cellStyle name="_Tenaska Comparison_NIM Summary 26 2" xfId="10194"/>
    <cellStyle name="_Tenaska Comparison_NIM Summary 27" xfId="10195"/>
    <cellStyle name="_Tenaska Comparison_NIM Summary 27 2" xfId="10196"/>
    <cellStyle name="_Tenaska Comparison_NIM Summary 28" xfId="10197"/>
    <cellStyle name="_Tenaska Comparison_NIM Summary 28 2" xfId="10198"/>
    <cellStyle name="_Tenaska Comparison_NIM Summary 29" xfId="10199"/>
    <cellStyle name="_Tenaska Comparison_NIM Summary 29 2" xfId="10200"/>
    <cellStyle name="_Tenaska Comparison_NIM Summary 3" xfId="10201"/>
    <cellStyle name="_Tenaska Comparison_NIM Summary 3 2" xfId="10202"/>
    <cellStyle name="_Tenaska Comparison_NIM Summary 30" xfId="10203"/>
    <cellStyle name="_Tenaska Comparison_NIM Summary 30 2" xfId="10204"/>
    <cellStyle name="_Tenaska Comparison_NIM Summary 31" xfId="10205"/>
    <cellStyle name="_Tenaska Comparison_NIM Summary 31 2" xfId="10206"/>
    <cellStyle name="_Tenaska Comparison_NIM Summary 32" xfId="10207"/>
    <cellStyle name="_Tenaska Comparison_NIM Summary 32 2" xfId="10208"/>
    <cellStyle name="_Tenaska Comparison_NIM Summary 33" xfId="10209"/>
    <cellStyle name="_Tenaska Comparison_NIM Summary 33 2" xfId="10210"/>
    <cellStyle name="_Tenaska Comparison_NIM Summary 34" xfId="10211"/>
    <cellStyle name="_Tenaska Comparison_NIM Summary 34 2" xfId="10212"/>
    <cellStyle name="_Tenaska Comparison_NIM Summary 35" xfId="10213"/>
    <cellStyle name="_Tenaska Comparison_NIM Summary 35 2" xfId="10214"/>
    <cellStyle name="_Tenaska Comparison_NIM Summary 36" xfId="10215"/>
    <cellStyle name="_Tenaska Comparison_NIM Summary 36 2" xfId="10216"/>
    <cellStyle name="_Tenaska Comparison_NIM Summary 37" xfId="10217"/>
    <cellStyle name="_Tenaska Comparison_NIM Summary 37 2" xfId="10218"/>
    <cellStyle name="_Tenaska Comparison_NIM Summary 38" xfId="10219"/>
    <cellStyle name="_Tenaska Comparison_NIM Summary 38 2" xfId="10220"/>
    <cellStyle name="_Tenaska Comparison_NIM Summary 39" xfId="10221"/>
    <cellStyle name="_Tenaska Comparison_NIM Summary 39 2" xfId="10222"/>
    <cellStyle name="_Tenaska Comparison_NIM Summary 4" xfId="10223"/>
    <cellStyle name="_Tenaska Comparison_NIM Summary 4 2" xfId="10224"/>
    <cellStyle name="_Tenaska Comparison_NIM Summary 40" xfId="10225"/>
    <cellStyle name="_Tenaska Comparison_NIM Summary 40 2" xfId="10226"/>
    <cellStyle name="_Tenaska Comparison_NIM Summary 41" xfId="10227"/>
    <cellStyle name="_Tenaska Comparison_NIM Summary 41 2" xfId="10228"/>
    <cellStyle name="_Tenaska Comparison_NIM Summary 42" xfId="10229"/>
    <cellStyle name="_Tenaska Comparison_NIM Summary 42 2" xfId="10230"/>
    <cellStyle name="_Tenaska Comparison_NIM Summary 43" xfId="10231"/>
    <cellStyle name="_Tenaska Comparison_NIM Summary 43 2" xfId="10232"/>
    <cellStyle name="_Tenaska Comparison_NIM Summary 44" xfId="10233"/>
    <cellStyle name="_Tenaska Comparison_NIM Summary 44 2" xfId="10234"/>
    <cellStyle name="_Tenaska Comparison_NIM Summary 45" xfId="10235"/>
    <cellStyle name="_Tenaska Comparison_NIM Summary 45 2" xfId="10236"/>
    <cellStyle name="_Tenaska Comparison_NIM Summary 46" xfId="10237"/>
    <cellStyle name="_Tenaska Comparison_NIM Summary 46 2" xfId="10238"/>
    <cellStyle name="_Tenaska Comparison_NIM Summary 47" xfId="10239"/>
    <cellStyle name="_Tenaska Comparison_NIM Summary 47 2" xfId="10240"/>
    <cellStyle name="_Tenaska Comparison_NIM Summary 48" xfId="10241"/>
    <cellStyle name="_Tenaska Comparison_NIM Summary 49" xfId="10242"/>
    <cellStyle name="_Tenaska Comparison_NIM Summary 5" xfId="10243"/>
    <cellStyle name="_Tenaska Comparison_NIM Summary 5 2" xfId="10244"/>
    <cellStyle name="_Tenaska Comparison_NIM Summary 50" xfId="10245"/>
    <cellStyle name="_Tenaska Comparison_NIM Summary 51" xfId="10246"/>
    <cellStyle name="_Tenaska Comparison_NIM Summary 52" xfId="10247"/>
    <cellStyle name="_Tenaska Comparison_NIM Summary 6" xfId="10248"/>
    <cellStyle name="_Tenaska Comparison_NIM Summary 6 2" xfId="10249"/>
    <cellStyle name="_Tenaska Comparison_NIM Summary 7" xfId="10250"/>
    <cellStyle name="_Tenaska Comparison_NIM Summary 7 2" xfId="10251"/>
    <cellStyle name="_Tenaska Comparison_NIM Summary 8" xfId="10252"/>
    <cellStyle name="_Tenaska Comparison_NIM Summary 8 2" xfId="10253"/>
    <cellStyle name="_Tenaska Comparison_NIM Summary 9" xfId="10254"/>
    <cellStyle name="_Tenaska Comparison_NIM Summary 9 2" xfId="10255"/>
    <cellStyle name="_Tenaska Comparison_NIM Summary_DEM-WP(C) ENERG10C--ctn Mid-C_042010 2010GRC" xfId="10256"/>
    <cellStyle name="_Tenaska Comparison_NIM Summary_DEM-WP(C) ENERG10C--ctn Mid-C_042010 2010GRC 2" xfId="10257"/>
    <cellStyle name="_Tenaska Comparison_NIM+O&amp;M" xfId="10258"/>
    <cellStyle name="_Tenaska Comparison_NIM+O&amp;M 2" xfId="10259"/>
    <cellStyle name="_Tenaska Comparison_NIM+O&amp;M 2 2" xfId="10260"/>
    <cellStyle name="_Tenaska Comparison_NIM+O&amp;M 3" xfId="10261"/>
    <cellStyle name="_Tenaska Comparison_NIM+O&amp;M Monthly" xfId="10262"/>
    <cellStyle name="_Tenaska Comparison_NIM+O&amp;M Monthly 2" xfId="10263"/>
    <cellStyle name="_Tenaska Comparison_NIM+O&amp;M Monthly 2 2" xfId="10264"/>
    <cellStyle name="_Tenaska Comparison_NIM+O&amp;M Monthly 3" xfId="10265"/>
    <cellStyle name="_Tenaska Comparison_PCA 10 -  Exhibit D Dec 2011" xfId="10266"/>
    <cellStyle name="_Tenaska Comparison_PCA 10 -  Exhibit D Dec 2011 2" xfId="10267"/>
    <cellStyle name="_Tenaska Comparison_PCA 10 -  Exhibit D from A Kellogg Jan 2011" xfId="10268"/>
    <cellStyle name="_Tenaska Comparison_PCA 10 -  Exhibit D from A Kellogg Jan 2011 2" xfId="10269"/>
    <cellStyle name="_Tenaska Comparison_PCA 10 -  Exhibit D from A Kellogg July 2011" xfId="10270"/>
    <cellStyle name="_Tenaska Comparison_PCA 10 -  Exhibit D from A Kellogg July 2011 2" xfId="10271"/>
    <cellStyle name="_Tenaska Comparison_PCA 10 -  Exhibit D from S Free Rcv'd 12-11" xfId="10272"/>
    <cellStyle name="_Tenaska Comparison_PCA 10 -  Exhibit D from S Free Rcv'd 12-11 2" xfId="10273"/>
    <cellStyle name="_Tenaska Comparison_PCA 11 -  Exhibit D Jan 2012 fr A Kellogg" xfId="10274"/>
    <cellStyle name="_Tenaska Comparison_PCA 11 -  Exhibit D Jan 2012 fr A Kellogg 2" xfId="10275"/>
    <cellStyle name="_Tenaska Comparison_PCA 11 -  Exhibit D Jan 2012 WF" xfId="10276"/>
    <cellStyle name="_Tenaska Comparison_PCA 11 -  Exhibit D Jan 2012 WF 2" xfId="10277"/>
    <cellStyle name="_Tenaska Comparison_PCA 9 -  Exhibit D April 2010" xfId="10278"/>
    <cellStyle name="_Tenaska Comparison_PCA 9 -  Exhibit D April 2010 (3)" xfId="10279"/>
    <cellStyle name="_Tenaska Comparison_PCA 9 -  Exhibit D April 2010 (3) 2" xfId="10280"/>
    <cellStyle name="_Tenaska Comparison_PCA 9 -  Exhibit D April 2010 (3) 2 2" xfId="10281"/>
    <cellStyle name="_Tenaska Comparison_PCA 9 -  Exhibit D April 2010 (3) 3" xfId="10282"/>
    <cellStyle name="_Tenaska Comparison_PCA 9 -  Exhibit D April 2010 (3) 3 2" xfId="10283"/>
    <cellStyle name="_Tenaska Comparison_PCA 9 -  Exhibit D April 2010 (3) 4" xfId="10284"/>
    <cellStyle name="_Tenaska Comparison_PCA 9 -  Exhibit D April 2010 (3)_DEM-WP(C) ENERG10C--ctn Mid-C_042010 2010GRC" xfId="10285"/>
    <cellStyle name="_Tenaska Comparison_PCA 9 -  Exhibit D April 2010 (3)_DEM-WP(C) ENERG10C--ctn Mid-C_042010 2010GRC 2" xfId="10286"/>
    <cellStyle name="_Tenaska Comparison_PCA 9 -  Exhibit D April 2010 2" xfId="10287"/>
    <cellStyle name="_Tenaska Comparison_PCA 9 -  Exhibit D April 2010 2 2" xfId="10288"/>
    <cellStyle name="_Tenaska Comparison_PCA 9 -  Exhibit D April 2010 3" xfId="10289"/>
    <cellStyle name="_Tenaska Comparison_PCA 9 -  Exhibit D April 2010 3 2" xfId="10290"/>
    <cellStyle name="_Tenaska Comparison_PCA 9 -  Exhibit D April 2010 4" xfId="10291"/>
    <cellStyle name="_Tenaska Comparison_PCA 9 -  Exhibit D April 2010 4 2" xfId="10292"/>
    <cellStyle name="_Tenaska Comparison_PCA 9 -  Exhibit D April 2010 5" xfId="10293"/>
    <cellStyle name="_Tenaska Comparison_PCA 9 -  Exhibit D April 2010 5 2" xfId="10294"/>
    <cellStyle name="_Tenaska Comparison_PCA 9 -  Exhibit D April 2010 6" xfId="10295"/>
    <cellStyle name="_Tenaska Comparison_PCA 9 -  Exhibit D April 2010 6 2" xfId="10296"/>
    <cellStyle name="_Tenaska Comparison_PCA 9 -  Exhibit D April 2010 7" xfId="10297"/>
    <cellStyle name="_Tenaska Comparison_PCA 9 -  Exhibit D Nov 2010" xfId="10298"/>
    <cellStyle name="_Tenaska Comparison_PCA 9 -  Exhibit D Nov 2010 2" xfId="10299"/>
    <cellStyle name="_Tenaska Comparison_PCA 9 -  Exhibit D Nov 2010 2 2" xfId="10300"/>
    <cellStyle name="_Tenaska Comparison_PCA 9 -  Exhibit D Nov 2010 3" xfId="10301"/>
    <cellStyle name="_Tenaska Comparison_PCA 9 - Exhibit D at August 2010" xfId="10302"/>
    <cellStyle name="_Tenaska Comparison_PCA 9 - Exhibit D at August 2010 2" xfId="10303"/>
    <cellStyle name="_Tenaska Comparison_PCA 9 - Exhibit D at August 2010 2 2" xfId="10304"/>
    <cellStyle name="_Tenaska Comparison_PCA 9 - Exhibit D at August 2010 3" xfId="10305"/>
    <cellStyle name="_Tenaska Comparison_PCA 9 - Exhibit D June 2010 GRC" xfId="10306"/>
    <cellStyle name="_Tenaska Comparison_PCA 9 - Exhibit D June 2010 GRC 2" xfId="10307"/>
    <cellStyle name="_Tenaska Comparison_PCA 9 - Exhibit D June 2010 GRC 2 2" xfId="10308"/>
    <cellStyle name="_Tenaska Comparison_PCA 9 - Exhibit D June 2010 GRC 3" xfId="10309"/>
    <cellStyle name="_Tenaska Comparison_Power Costs - Comparison bx Rbtl-Staff-Jt-PC" xfId="10310"/>
    <cellStyle name="_Tenaska Comparison_Power Costs - Comparison bx Rbtl-Staff-Jt-PC 2" xfId="10311"/>
    <cellStyle name="_Tenaska Comparison_Power Costs - Comparison bx Rbtl-Staff-Jt-PC 2 2" xfId="10312"/>
    <cellStyle name="_Tenaska Comparison_Power Costs - Comparison bx Rbtl-Staff-Jt-PC 3" xfId="10313"/>
    <cellStyle name="_Tenaska Comparison_Power Costs - Comparison bx Rbtl-Staff-Jt-PC 3 2" xfId="10314"/>
    <cellStyle name="_Tenaska Comparison_Power Costs - Comparison bx Rbtl-Staff-Jt-PC 4" xfId="10315"/>
    <cellStyle name="_Tenaska Comparison_Power Costs - Comparison bx Rbtl-Staff-Jt-PC_Adj Bench DR 3 for Initial Briefs (Electric)" xfId="10316"/>
    <cellStyle name="_Tenaska Comparison_Power Costs - Comparison bx Rbtl-Staff-Jt-PC_Adj Bench DR 3 for Initial Briefs (Electric) 2" xfId="10317"/>
    <cellStyle name="_Tenaska Comparison_Power Costs - Comparison bx Rbtl-Staff-Jt-PC_Adj Bench DR 3 for Initial Briefs (Electric) 2 2" xfId="10318"/>
    <cellStyle name="_Tenaska Comparison_Power Costs - Comparison bx Rbtl-Staff-Jt-PC_Adj Bench DR 3 for Initial Briefs (Electric) 3" xfId="10319"/>
    <cellStyle name="_Tenaska Comparison_Power Costs - Comparison bx Rbtl-Staff-Jt-PC_Adj Bench DR 3 for Initial Briefs (Electric) 3 2" xfId="10320"/>
    <cellStyle name="_Tenaska Comparison_Power Costs - Comparison bx Rbtl-Staff-Jt-PC_Adj Bench DR 3 for Initial Briefs (Electric) 4" xfId="10321"/>
    <cellStyle name="_Tenaska Comparison_Power Costs - Comparison bx Rbtl-Staff-Jt-PC_Adj Bench DR 3 for Initial Briefs (Electric)_DEM-WP(C) ENERG10C--ctn Mid-C_042010 2010GRC" xfId="10322"/>
    <cellStyle name="_Tenaska Comparison_Power Costs - Comparison bx Rbtl-Staff-Jt-PC_Adj Bench DR 3 for Initial Briefs (Electric)_DEM-WP(C) ENERG10C--ctn Mid-C_042010 2010GRC 2" xfId="10323"/>
    <cellStyle name="_Tenaska Comparison_Power Costs - Comparison bx Rbtl-Staff-Jt-PC_DEM-WP(C) ENERG10C--ctn Mid-C_042010 2010GRC" xfId="10324"/>
    <cellStyle name="_Tenaska Comparison_Power Costs - Comparison bx Rbtl-Staff-Jt-PC_DEM-WP(C) ENERG10C--ctn Mid-C_042010 2010GRC 2" xfId="10325"/>
    <cellStyle name="_Tenaska Comparison_Power Costs - Comparison bx Rbtl-Staff-Jt-PC_Electric Rev Req Model (2009 GRC) Rebuttal" xfId="10326"/>
    <cellStyle name="_Tenaska Comparison_Power Costs - Comparison bx Rbtl-Staff-Jt-PC_Electric Rev Req Model (2009 GRC) Rebuttal 2" xfId="10327"/>
    <cellStyle name="_Tenaska Comparison_Power Costs - Comparison bx Rbtl-Staff-Jt-PC_Electric Rev Req Model (2009 GRC) Rebuttal 2 2" xfId="10328"/>
    <cellStyle name="_Tenaska Comparison_Power Costs - Comparison bx Rbtl-Staff-Jt-PC_Electric Rev Req Model (2009 GRC) Rebuttal 3" xfId="10329"/>
    <cellStyle name="_Tenaska Comparison_Power Costs - Comparison bx Rbtl-Staff-Jt-PC_Electric Rev Req Model (2009 GRC) Rebuttal REmoval of New  WH Solar AdjustMI" xfId="10330"/>
    <cellStyle name="_Tenaska Comparison_Power Costs - Comparison bx Rbtl-Staff-Jt-PC_Electric Rev Req Model (2009 GRC) Rebuttal REmoval of New  WH Solar AdjustMI 2" xfId="10331"/>
    <cellStyle name="_Tenaska Comparison_Power Costs - Comparison bx Rbtl-Staff-Jt-PC_Electric Rev Req Model (2009 GRC) Rebuttal REmoval of New  WH Solar AdjustMI 2 2" xfId="10332"/>
    <cellStyle name="_Tenaska Comparison_Power Costs - Comparison bx Rbtl-Staff-Jt-PC_Electric Rev Req Model (2009 GRC) Rebuttal REmoval of New  WH Solar AdjustMI 3" xfId="10333"/>
    <cellStyle name="_Tenaska Comparison_Power Costs - Comparison bx Rbtl-Staff-Jt-PC_Electric Rev Req Model (2009 GRC) Rebuttal REmoval of New  WH Solar AdjustMI 3 2" xfId="10334"/>
    <cellStyle name="_Tenaska Comparison_Power Costs - Comparison bx Rbtl-Staff-Jt-PC_Electric Rev Req Model (2009 GRC) Rebuttal REmoval of New  WH Solar AdjustMI 4" xfId="10335"/>
    <cellStyle name="_Tenaska Comparison_Power Costs - Comparison bx Rbtl-Staff-Jt-PC_Electric Rev Req Model (2009 GRC) Rebuttal REmoval of New  WH Solar AdjustMI_DEM-WP(C) ENERG10C--ctn Mid-C_042010 2010GRC" xfId="10336"/>
    <cellStyle name="_Tenaska Comparison_Power Costs - Comparison bx Rbtl-Staff-Jt-PC_Electric Rev Req Model (2009 GRC) Rebuttal REmoval of New  WH Solar AdjustMI_DEM-WP(C) ENERG10C--ctn Mid-C_042010 2010GRC 2" xfId="10337"/>
    <cellStyle name="_Tenaska Comparison_Power Costs - Comparison bx Rbtl-Staff-Jt-PC_Electric Rev Req Model (2009 GRC) Revised 01-18-2010" xfId="10338"/>
    <cellStyle name="_Tenaska Comparison_Power Costs - Comparison bx Rbtl-Staff-Jt-PC_Electric Rev Req Model (2009 GRC) Revised 01-18-2010 2" xfId="10339"/>
    <cellStyle name="_Tenaska Comparison_Power Costs - Comparison bx Rbtl-Staff-Jt-PC_Electric Rev Req Model (2009 GRC) Revised 01-18-2010 2 2" xfId="10340"/>
    <cellStyle name="_Tenaska Comparison_Power Costs - Comparison bx Rbtl-Staff-Jt-PC_Electric Rev Req Model (2009 GRC) Revised 01-18-2010 3" xfId="10341"/>
    <cellStyle name="_Tenaska Comparison_Power Costs - Comparison bx Rbtl-Staff-Jt-PC_Electric Rev Req Model (2009 GRC) Revised 01-18-2010 3 2" xfId="10342"/>
    <cellStyle name="_Tenaska Comparison_Power Costs - Comparison bx Rbtl-Staff-Jt-PC_Electric Rev Req Model (2009 GRC) Revised 01-18-2010 4" xfId="10343"/>
    <cellStyle name="_Tenaska Comparison_Power Costs - Comparison bx Rbtl-Staff-Jt-PC_Electric Rev Req Model (2009 GRC) Revised 01-18-2010_DEM-WP(C) ENERG10C--ctn Mid-C_042010 2010GRC" xfId="10344"/>
    <cellStyle name="_Tenaska Comparison_Power Costs - Comparison bx Rbtl-Staff-Jt-PC_Electric Rev Req Model (2009 GRC) Revised 01-18-2010_DEM-WP(C) ENERG10C--ctn Mid-C_042010 2010GRC 2" xfId="10345"/>
    <cellStyle name="_Tenaska Comparison_Power Costs - Comparison bx Rbtl-Staff-Jt-PC_Final Order Electric EXHIBIT A-1" xfId="10346"/>
    <cellStyle name="_Tenaska Comparison_Power Costs - Comparison bx Rbtl-Staff-Jt-PC_Final Order Electric EXHIBIT A-1 2" xfId="10347"/>
    <cellStyle name="_Tenaska Comparison_Power Costs - Comparison bx Rbtl-Staff-Jt-PC_Final Order Electric EXHIBIT A-1 2 2" xfId="10348"/>
    <cellStyle name="_Tenaska Comparison_Power Costs - Comparison bx Rbtl-Staff-Jt-PC_Final Order Electric EXHIBIT A-1 3" xfId="10349"/>
    <cellStyle name="_Tenaska Comparison_Production Adj 4.37" xfId="21277"/>
    <cellStyle name="_Tenaska Comparison_Purchased Power Adj 4.03" xfId="21278"/>
    <cellStyle name="_Tenaska Comparison_Rebuttal Power Costs" xfId="10350"/>
    <cellStyle name="_Tenaska Comparison_Rebuttal Power Costs 2" xfId="10351"/>
    <cellStyle name="_Tenaska Comparison_Rebuttal Power Costs 2 2" xfId="10352"/>
    <cellStyle name="_Tenaska Comparison_Rebuttal Power Costs 3" xfId="10353"/>
    <cellStyle name="_Tenaska Comparison_Rebuttal Power Costs 3 2" xfId="10354"/>
    <cellStyle name="_Tenaska Comparison_Rebuttal Power Costs 4" xfId="10355"/>
    <cellStyle name="_Tenaska Comparison_Rebuttal Power Costs_Adj Bench DR 3 for Initial Briefs (Electric)" xfId="10356"/>
    <cellStyle name="_Tenaska Comparison_Rebuttal Power Costs_Adj Bench DR 3 for Initial Briefs (Electric) 2" xfId="10357"/>
    <cellStyle name="_Tenaska Comparison_Rebuttal Power Costs_Adj Bench DR 3 for Initial Briefs (Electric) 2 2" xfId="10358"/>
    <cellStyle name="_Tenaska Comparison_Rebuttal Power Costs_Adj Bench DR 3 for Initial Briefs (Electric) 3" xfId="10359"/>
    <cellStyle name="_Tenaska Comparison_Rebuttal Power Costs_Adj Bench DR 3 for Initial Briefs (Electric) 3 2" xfId="10360"/>
    <cellStyle name="_Tenaska Comparison_Rebuttal Power Costs_Adj Bench DR 3 for Initial Briefs (Electric) 4" xfId="10361"/>
    <cellStyle name="_Tenaska Comparison_Rebuttal Power Costs_Adj Bench DR 3 for Initial Briefs (Electric)_DEM-WP(C) ENERG10C--ctn Mid-C_042010 2010GRC" xfId="10362"/>
    <cellStyle name="_Tenaska Comparison_Rebuttal Power Costs_Adj Bench DR 3 for Initial Briefs (Electric)_DEM-WP(C) ENERG10C--ctn Mid-C_042010 2010GRC 2" xfId="10363"/>
    <cellStyle name="_Tenaska Comparison_Rebuttal Power Costs_DEM-WP(C) ENERG10C--ctn Mid-C_042010 2010GRC" xfId="10364"/>
    <cellStyle name="_Tenaska Comparison_Rebuttal Power Costs_DEM-WP(C) ENERG10C--ctn Mid-C_042010 2010GRC 2" xfId="10365"/>
    <cellStyle name="_Tenaska Comparison_Rebuttal Power Costs_Electric Rev Req Model (2009 GRC) Rebuttal" xfId="10366"/>
    <cellStyle name="_Tenaska Comparison_Rebuttal Power Costs_Electric Rev Req Model (2009 GRC) Rebuttal 2" xfId="10367"/>
    <cellStyle name="_Tenaska Comparison_Rebuttal Power Costs_Electric Rev Req Model (2009 GRC) Rebuttal 2 2" xfId="10368"/>
    <cellStyle name="_Tenaska Comparison_Rebuttal Power Costs_Electric Rev Req Model (2009 GRC) Rebuttal 3" xfId="10369"/>
    <cellStyle name="_Tenaska Comparison_Rebuttal Power Costs_Electric Rev Req Model (2009 GRC) Rebuttal REmoval of New  WH Solar AdjustMI" xfId="10370"/>
    <cellStyle name="_Tenaska Comparison_Rebuttal Power Costs_Electric Rev Req Model (2009 GRC) Rebuttal REmoval of New  WH Solar AdjustMI 2" xfId="10371"/>
    <cellStyle name="_Tenaska Comparison_Rebuttal Power Costs_Electric Rev Req Model (2009 GRC) Rebuttal REmoval of New  WH Solar AdjustMI 2 2" xfId="10372"/>
    <cellStyle name="_Tenaska Comparison_Rebuttal Power Costs_Electric Rev Req Model (2009 GRC) Rebuttal REmoval of New  WH Solar AdjustMI 3" xfId="10373"/>
    <cellStyle name="_Tenaska Comparison_Rebuttal Power Costs_Electric Rev Req Model (2009 GRC) Rebuttal REmoval of New  WH Solar AdjustMI 3 2" xfId="10374"/>
    <cellStyle name="_Tenaska Comparison_Rebuttal Power Costs_Electric Rev Req Model (2009 GRC) Rebuttal REmoval of New  WH Solar AdjustMI 4" xfId="10375"/>
    <cellStyle name="_Tenaska Comparison_Rebuttal Power Costs_Electric Rev Req Model (2009 GRC) Rebuttal REmoval of New  WH Solar AdjustMI_DEM-WP(C) ENERG10C--ctn Mid-C_042010 2010GRC" xfId="10376"/>
    <cellStyle name="_Tenaska Comparison_Rebuttal Power Costs_Electric Rev Req Model (2009 GRC) Rebuttal REmoval of New  WH Solar AdjustMI_DEM-WP(C) ENERG10C--ctn Mid-C_042010 2010GRC 2" xfId="10377"/>
    <cellStyle name="_Tenaska Comparison_Rebuttal Power Costs_Electric Rev Req Model (2009 GRC) Revised 01-18-2010" xfId="10378"/>
    <cellStyle name="_Tenaska Comparison_Rebuttal Power Costs_Electric Rev Req Model (2009 GRC) Revised 01-18-2010 2" xfId="10379"/>
    <cellStyle name="_Tenaska Comparison_Rebuttal Power Costs_Electric Rev Req Model (2009 GRC) Revised 01-18-2010 2 2" xfId="10380"/>
    <cellStyle name="_Tenaska Comparison_Rebuttal Power Costs_Electric Rev Req Model (2009 GRC) Revised 01-18-2010 3" xfId="10381"/>
    <cellStyle name="_Tenaska Comparison_Rebuttal Power Costs_Electric Rev Req Model (2009 GRC) Revised 01-18-2010 3 2" xfId="10382"/>
    <cellStyle name="_Tenaska Comparison_Rebuttal Power Costs_Electric Rev Req Model (2009 GRC) Revised 01-18-2010 4" xfId="10383"/>
    <cellStyle name="_Tenaska Comparison_Rebuttal Power Costs_Electric Rev Req Model (2009 GRC) Revised 01-18-2010_DEM-WP(C) ENERG10C--ctn Mid-C_042010 2010GRC" xfId="10384"/>
    <cellStyle name="_Tenaska Comparison_Rebuttal Power Costs_Electric Rev Req Model (2009 GRC) Revised 01-18-2010_DEM-WP(C) ENERG10C--ctn Mid-C_042010 2010GRC 2" xfId="10385"/>
    <cellStyle name="_Tenaska Comparison_Rebuttal Power Costs_Final Order Electric EXHIBIT A-1" xfId="10386"/>
    <cellStyle name="_Tenaska Comparison_Rebuttal Power Costs_Final Order Electric EXHIBIT A-1 2" xfId="10387"/>
    <cellStyle name="_Tenaska Comparison_Rebuttal Power Costs_Final Order Electric EXHIBIT A-1 2 2" xfId="10388"/>
    <cellStyle name="_Tenaska Comparison_Rebuttal Power Costs_Final Order Electric EXHIBIT A-1 3" xfId="10389"/>
    <cellStyle name="_Tenaska Comparison_ROR 5.02" xfId="21279"/>
    <cellStyle name="_Tenaska Comparison_Transmission Workbook for May BOD" xfId="10390"/>
    <cellStyle name="_Tenaska Comparison_Transmission Workbook for May BOD 2" xfId="10391"/>
    <cellStyle name="_Tenaska Comparison_Transmission Workbook for May BOD 2 2" xfId="10392"/>
    <cellStyle name="_Tenaska Comparison_Transmission Workbook for May BOD 3" xfId="10393"/>
    <cellStyle name="_Tenaska Comparison_Transmission Workbook for May BOD 3 2" xfId="10394"/>
    <cellStyle name="_Tenaska Comparison_Transmission Workbook for May BOD 4" xfId="10395"/>
    <cellStyle name="_Tenaska Comparison_Transmission Workbook for May BOD_DEM-WP(C) ENERG10C--ctn Mid-C_042010 2010GRC" xfId="10396"/>
    <cellStyle name="_Tenaska Comparison_Transmission Workbook for May BOD_DEM-WP(C) ENERG10C--ctn Mid-C_042010 2010GRC 2" xfId="10397"/>
    <cellStyle name="_Tenaska Comparison_Wind Integration 10GRC" xfId="10398"/>
    <cellStyle name="_Tenaska Comparison_Wind Integration 10GRC 2" xfId="10399"/>
    <cellStyle name="_Tenaska Comparison_Wind Integration 10GRC 2 2" xfId="10400"/>
    <cellStyle name="_Tenaska Comparison_Wind Integration 10GRC 3" xfId="10401"/>
    <cellStyle name="_Tenaska Comparison_Wind Integration 10GRC 3 2" xfId="10402"/>
    <cellStyle name="_Tenaska Comparison_Wind Integration 10GRC 4" xfId="10403"/>
    <cellStyle name="_Tenaska Comparison_Wind Integration 10GRC_DEM-WP(C) ENERG10C--ctn Mid-C_042010 2010GRC" xfId="10404"/>
    <cellStyle name="_Tenaska Comparison_Wind Integration 10GRC_DEM-WP(C) ENERG10C--ctn Mid-C_042010 2010GRC 2" xfId="10405"/>
    <cellStyle name="_x0013__TENASKA REGULATORY ASSET" xfId="10406"/>
    <cellStyle name="_x0013__TENASKA REGULATORY ASSET 2" xfId="10407"/>
    <cellStyle name="_x0013__TENASKA REGULATORY ASSET 2 2" xfId="10408"/>
    <cellStyle name="_x0013__TENASKA REGULATORY ASSET 3" xfId="10409"/>
    <cellStyle name="_Therms Data" xfId="18220"/>
    <cellStyle name="_Therms Data_Pro Forma Rev 09 GRC" xfId="18221"/>
    <cellStyle name="_Therms Data_Pro Forma Rev 2010 GRC" xfId="18222"/>
    <cellStyle name="_Therms Data_Pro Forma Rev 2010 GRC_Preliminary" xfId="18223"/>
    <cellStyle name="_Therms Data_Revenue (Feb 09 - Jan 10)" xfId="18224"/>
    <cellStyle name="_Therms Data_Revenue (Jan 09 - Dec 09)" xfId="18225"/>
    <cellStyle name="_Therms Data_Revenue (Mar 09 - Feb 10)" xfId="18226"/>
    <cellStyle name="_Therms Data_Volume Exhibit (Jan09 - Dec09)" xfId="18227"/>
    <cellStyle name="_Value Copy 11 30 05 gas 12 09 05 AURORA at 12 14 05" xfId="10410"/>
    <cellStyle name="_Value Copy 11 30 05 gas 12 09 05 AURORA at 12 14 05 2" xfId="10411"/>
    <cellStyle name="_Value Copy 11 30 05 gas 12 09 05 AURORA at 12 14 05 2 2" xfId="10412"/>
    <cellStyle name="_Value Copy 11 30 05 gas 12 09 05 AURORA at 12 14 05 2 2 2" xfId="10413"/>
    <cellStyle name="_Value Copy 11 30 05 gas 12 09 05 AURORA at 12 14 05 2 3" xfId="10414"/>
    <cellStyle name="_Value Copy 11 30 05 gas 12 09 05 AURORA at 12 14 05 2 3 2" xfId="10415"/>
    <cellStyle name="_Value Copy 11 30 05 gas 12 09 05 AURORA at 12 14 05 2 4" xfId="10416"/>
    <cellStyle name="_Value Copy 11 30 05 gas 12 09 05 AURORA at 12 14 05 3" xfId="10417"/>
    <cellStyle name="_Value Copy 11 30 05 gas 12 09 05 AURORA at 12 14 05 3 2" xfId="10418"/>
    <cellStyle name="_Value Copy 11 30 05 gas 12 09 05 AURORA at 12 14 05 4" xfId="10419"/>
    <cellStyle name="_Value Copy 11 30 05 gas 12 09 05 AURORA at 12 14 05 4 2" xfId="10420"/>
    <cellStyle name="_Value Copy 11 30 05 gas 12 09 05 AURORA at 12 14 05 4 2 2" xfId="10421"/>
    <cellStyle name="_Value Copy 11 30 05 gas 12 09 05 AURORA at 12 14 05 4 3" xfId="10422"/>
    <cellStyle name="_Value Copy 11 30 05 gas 12 09 05 AURORA at 12 14 05 5" xfId="10423"/>
    <cellStyle name="_Value Copy 11 30 05 gas 12 09 05 AURORA at 12 14 05 5 2" xfId="10424"/>
    <cellStyle name="_Value Copy 11 30 05 gas 12 09 05 AURORA at 12 14 05 6" xfId="10425"/>
    <cellStyle name="_Value Copy 11 30 05 gas 12 09 05 AURORA at 12 14 05 6 2" xfId="10426"/>
    <cellStyle name="_Value Copy 11 30 05 gas 12 09 05 AURORA at 12 14 05 6 2 2" xfId="10427"/>
    <cellStyle name="_Value Copy 11 30 05 gas 12 09 05 AURORA at 12 14 05 6 3" xfId="10428"/>
    <cellStyle name="_Value Copy 11 30 05 gas 12 09 05 AURORA at 12 14 05 7" xfId="10429"/>
    <cellStyle name="_Value Copy 11 30 05 gas 12 09 05 AURORA at 12 14 05 7 2" xfId="10430"/>
    <cellStyle name="_Value Copy 11 30 05 gas 12 09 05 AURORA at 12 14 05 7 2 2" xfId="10431"/>
    <cellStyle name="_Value Copy 11 30 05 gas 12 09 05 AURORA at 12 14 05 7 3" xfId="10432"/>
    <cellStyle name="_Value Copy 11 30 05 gas 12 09 05 AURORA at 12 14 05 8" xfId="10433"/>
    <cellStyle name="_Value Copy 11 30 05 gas 12 09 05 AURORA at 12 14 05_04 07E Wild Horse Wind Expansion (C) (2)" xfId="10434"/>
    <cellStyle name="_Value Copy 11 30 05 gas 12 09 05 AURORA at 12 14 05_04 07E Wild Horse Wind Expansion (C) (2) 2" xfId="10435"/>
    <cellStyle name="_Value Copy 11 30 05 gas 12 09 05 AURORA at 12 14 05_04 07E Wild Horse Wind Expansion (C) (2) 2 2" xfId="10436"/>
    <cellStyle name="_Value Copy 11 30 05 gas 12 09 05 AURORA at 12 14 05_04 07E Wild Horse Wind Expansion (C) (2) 3" xfId="10437"/>
    <cellStyle name="_Value Copy 11 30 05 gas 12 09 05 AURORA at 12 14 05_04 07E Wild Horse Wind Expansion (C) (2) 3 2" xfId="10438"/>
    <cellStyle name="_Value Copy 11 30 05 gas 12 09 05 AURORA at 12 14 05_04 07E Wild Horse Wind Expansion (C) (2) 4" xfId="10439"/>
    <cellStyle name="_Value Copy 11 30 05 gas 12 09 05 AURORA at 12 14 05_04 07E Wild Horse Wind Expansion (C) (2)_Adj Bench DR 3 for Initial Briefs (Electric)" xfId="10440"/>
    <cellStyle name="_Value Copy 11 30 05 gas 12 09 05 AURORA at 12 14 05_04 07E Wild Horse Wind Expansion (C) (2)_Adj Bench DR 3 for Initial Briefs (Electric) 2" xfId="10441"/>
    <cellStyle name="_Value Copy 11 30 05 gas 12 09 05 AURORA at 12 14 05_04 07E Wild Horse Wind Expansion (C) (2)_Adj Bench DR 3 for Initial Briefs (Electric) 2 2" xfId="10442"/>
    <cellStyle name="_Value Copy 11 30 05 gas 12 09 05 AURORA at 12 14 05_04 07E Wild Horse Wind Expansion (C) (2)_Adj Bench DR 3 for Initial Briefs (Electric) 3" xfId="10443"/>
    <cellStyle name="_Value Copy 11 30 05 gas 12 09 05 AURORA at 12 14 05_04 07E Wild Horse Wind Expansion (C) (2)_Adj Bench DR 3 for Initial Briefs (Electric) 3 2" xfId="10444"/>
    <cellStyle name="_Value Copy 11 30 05 gas 12 09 05 AURORA at 12 14 05_04 07E Wild Horse Wind Expansion (C) (2)_Adj Bench DR 3 for Initial Briefs (Electric) 4" xfId="10445"/>
    <cellStyle name="_Value Copy 11 30 05 gas 12 09 05 AURORA at 12 14 05_04 07E Wild Horse Wind Expansion (C) (2)_Adj Bench DR 3 for Initial Briefs (Electric)_DEM-WP(C) ENERG10C--ctn Mid-C_042010 2010GRC" xfId="10446"/>
    <cellStyle name="_Value Copy 11 30 05 gas 12 09 05 AURORA at 12 14 05_04 07E Wild Horse Wind Expansion (C) (2)_Adj Bench DR 3 for Initial Briefs (Electric)_DEM-WP(C) ENERG10C--ctn Mid-C_042010 2010GRC 2" xfId="10447"/>
    <cellStyle name="_Value Copy 11 30 05 gas 12 09 05 AURORA at 12 14 05_04 07E Wild Horse Wind Expansion (C) (2)_Book1" xfId="10448"/>
    <cellStyle name="_Value Copy 11 30 05 gas 12 09 05 AURORA at 12 14 05_04 07E Wild Horse Wind Expansion (C) (2)_Book1 2" xfId="10449"/>
    <cellStyle name="_Value Copy 11 30 05 gas 12 09 05 AURORA at 12 14 05_04 07E Wild Horse Wind Expansion (C) (2)_DEM-WP(C) ENERG10C--ctn Mid-C_042010 2010GRC" xfId="10450"/>
    <cellStyle name="_Value Copy 11 30 05 gas 12 09 05 AURORA at 12 14 05_04 07E Wild Horse Wind Expansion (C) (2)_DEM-WP(C) ENERG10C--ctn Mid-C_042010 2010GRC 2" xfId="10451"/>
    <cellStyle name="_Value Copy 11 30 05 gas 12 09 05 AURORA at 12 14 05_04 07E Wild Horse Wind Expansion (C) (2)_Electric Rev Req Model (2009 GRC) " xfId="10452"/>
    <cellStyle name="_Value Copy 11 30 05 gas 12 09 05 AURORA at 12 14 05_04 07E Wild Horse Wind Expansion (C) (2)_Electric Rev Req Model (2009 GRC)  2" xfId="10453"/>
    <cellStyle name="_Value Copy 11 30 05 gas 12 09 05 AURORA at 12 14 05_04 07E Wild Horse Wind Expansion (C) (2)_Electric Rev Req Model (2009 GRC)  2 2" xfId="10454"/>
    <cellStyle name="_Value Copy 11 30 05 gas 12 09 05 AURORA at 12 14 05_04 07E Wild Horse Wind Expansion (C) (2)_Electric Rev Req Model (2009 GRC)  3" xfId="10455"/>
    <cellStyle name="_Value Copy 11 30 05 gas 12 09 05 AURORA at 12 14 05_04 07E Wild Horse Wind Expansion (C) (2)_Electric Rev Req Model (2009 GRC)  3 2" xfId="10456"/>
    <cellStyle name="_Value Copy 11 30 05 gas 12 09 05 AURORA at 12 14 05_04 07E Wild Horse Wind Expansion (C) (2)_Electric Rev Req Model (2009 GRC)  4" xfId="10457"/>
    <cellStyle name="_Value Copy 11 30 05 gas 12 09 05 AURORA at 12 14 05_04 07E Wild Horse Wind Expansion (C) (2)_Electric Rev Req Model (2009 GRC) _DEM-WP(C) ENERG10C--ctn Mid-C_042010 2010GRC" xfId="10458"/>
    <cellStyle name="_Value Copy 11 30 05 gas 12 09 05 AURORA at 12 14 05_04 07E Wild Horse Wind Expansion (C) (2)_Electric Rev Req Model (2009 GRC) _DEM-WP(C) ENERG10C--ctn Mid-C_042010 2010GRC 2" xfId="10459"/>
    <cellStyle name="_Value Copy 11 30 05 gas 12 09 05 AURORA at 12 14 05_04 07E Wild Horse Wind Expansion (C) (2)_Electric Rev Req Model (2009 GRC) Rebuttal" xfId="10460"/>
    <cellStyle name="_Value Copy 11 30 05 gas 12 09 05 AURORA at 12 14 05_04 07E Wild Horse Wind Expansion (C) (2)_Electric Rev Req Model (2009 GRC) Rebuttal 2" xfId="10461"/>
    <cellStyle name="_Value Copy 11 30 05 gas 12 09 05 AURORA at 12 14 05_04 07E Wild Horse Wind Expansion (C) (2)_Electric Rev Req Model (2009 GRC) Rebuttal 2 2" xfId="10462"/>
    <cellStyle name="_Value Copy 11 30 05 gas 12 09 05 AURORA at 12 14 05_04 07E Wild Horse Wind Expansion (C) (2)_Electric Rev Req Model (2009 GRC) Rebuttal 3" xfId="10463"/>
    <cellStyle name="_Value Copy 11 30 05 gas 12 09 05 AURORA at 12 14 05_04 07E Wild Horse Wind Expansion (C) (2)_Electric Rev Req Model (2009 GRC) Rebuttal REmoval of New  WH Solar AdjustMI" xfId="10464"/>
    <cellStyle name="_Value Copy 11 30 05 gas 12 09 05 AURORA at 12 14 05_04 07E Wild Horse Wind Expansion (C) (2)_Electric Rev Req Model (2009 GRC) Rebuttal REmoval of New  WH Solar AdjustMI 2" xfId="10465"/>
    <cellStyle name="_Value Copy 11 30 05 gas 12 09 05 AURORA at 12 14 05_04 07E Wild Horse Wind Expansion (C) (2)_Electric Rev Req Model (2009 GRC) Rebuttal REmoval of New  WH Solar AdjustMI 2 2" xfId="10466"/>
    <cellStyle name="_Value Copy 11 30 05 gas 12 09 05 AURORA at 12 14 05_04 07E Wild Horse Wind Expansion (C) (2)_Electric Rev Req Model (2009 GRC) Rebuttal REmoval of New  WH Solar AdjustMI 3" xfId="10467"/>
    <cellStyle name="_Value Copy 11 30 05 gas 12 09 05 AURORA at 12 14 05_04 07E Wild Horse Wind Expansion (C) (2)_Electric Rev Req Model (2009 GRC) Rebuttal REmoval of New  WH Solar AdjustMI 3 2" xfId="10468"/>
    <cellStyle name="_Value Copy 11 30 05 gas 12 09 05 AURORA at 12 14 05_04 07E Wild Horse Wind Expansion (C) (2)_Electric Rev Req Model (2009 GRC) Rebuttal REmoval of New  WH Solar AdjustMI 4" xfId="10469"/>
    <cellStyle name="_Value Copy 11 30 05 gas 12 09 05 AURORA at 12 14 05_04 07E Wild Horse Wind Expansion (C) (2)_Electric Rev Req Model (2009 GRC) Rebuttal REmoval of New  WH Solar AdjustMI_DEM-WP(C) ENERG10C--ctn Mid-C_042010 2010GRC" xfId="10470"/>
    <cellStyle name="_Value Copy 11 30 05 gas 12 09 05 AURORA at 12 14 05_04 07E Wild Horse Wind Expansion (C) (2)_Electric Rev Req Model (2009 GRC) Rebuttal REmoval of New  WH Solar AdjustMI_DEM-WP(C) ENERG10C--ctn Mid-C_042010 2010GRC 2" xfId="10471"/>
    <cellStyle name="_Value Copy 11 30 05 gas 12 09 05 AURORA at 12 14 05_04 07E Wild Horse Wind Expansion (C) (2)_Electric Rev Req Model (2009 GRC) Revised 01-18-2010" xfId="10472"/>
    <cellStyle name="_Value Copy 11 30 05 gas 12 09 05 AURORA at 12 14 05_04 07E Wild Horse Wind Expansion (C) (2)_Electric Rev Req Model (2009 GRC) Revised 01-18-2010 2" xfId="10473"/>
    <cellStyle name="_Value Copy 11 30 05 gas 12 09 05 AURORA at 12 14 05_04 07E Wild Horse Wind Expansion (C) (2)_Electric Rev Req Model (2009 GRC) Revised 01-18-2010 2 2" xfId="10474"/>
    <cellStyle name="_Value Copy 11 30 05 gas 12 09 05 AURORA at 12 14 05_04 07E Wild Horse Wind Expansion (C) (2)_Electric Rev Req Model (2009 GRC) Revised 01-18-2010 3" xfId="10475"/>
    <cellStyle name="_Value Copy 11 30 05 gas 12 09 05 AURORA at 12 14 05_04 07E Wild Horse Wind Expansion (C) (2)_Electric Rev Req Model (2009 GRC) Revised 01-18-2010 3 2" xfId="10476"/>
    <cellStyle name="_Value Copy 11 30 05 gas 12 09 05 AURORA at 12 14 05_04 07E Wild Horse Wind Expansion (C) (2)_Electric Rev Req Model (2009 GRC) Revised 01-18-2010 4" xfId="10477"/>
    <cellStyle name="_Value Copy 11 30 05 gas 12 09 05 AURORA at 12 14 05_04 07E Wild Horse Wind Expansion (C) (2)_Electric Rev Req Model (2009 GRC) Revised 01-18-2010_DEM-WP(C) ENERG10C--ctn Mid-C_042010 2010GRC" xfId="10478"/>
    <cellStyle name="_Value Copy 11 30 05 gas 12 09 05 AURORA at 12 14 05_04 07E Wild Horse Wind Expansion (C) (2)_Electric Rev Req Model (2009 GRC) Revised 01-18-2010_DEM-WP(C) ENERG10C--ctn Mid-C_042010 2010GRC 2" xfId="10479"/>
    <cellStyle name="_Value Copy 11 30 05 gas 12 09 05 AURORA at 12 14 05_04 07E Wild Horse Wind Expansion (C) (2)_Electric Rev Req Model (2010 GRC)" xfId="10480"/>
    <cellStyle name="_Value Copy 11 30 05 gas 12 09 05 AURORA at 12 14 05_04 07E Wild Horse Wind Expansion (C) (2)_Electric Rev Req Model (2010 GRC) 2" xfId="10481"/>
    <cellStyle name="_Value Copy 11 30 05 gas 12 09 05 AURORA at 12 14 05_04 07E Wild Horse Wind Expansion (C) (2)_Electric Rev Req Model (2010 GRC) SF" xfId="10482"/>
    <cellStyle name="_Value Copy 11 30 05 gas 12 09 05 AURORA at 12 14 05_04 07E Wild Horse Wind Expansion (C) (2)_Electric Rev Req Model (2010 GRC) SF 2" xfId="10483"/>
    <cellStyle name="_Value Copy 11 30 05 gas 12 09 05 AURORA at 12 14 05_04 07E Wild Horse Wind Expansion (C) (2)_Final Order Electric EXHIBIT A-1" xfId="10484"/>
    <cellStyle name="_Value Copy 11 30 05 gas 12 09 05 AURORA at 12 14 05_04 07E Wild Horse Wind Expansion (C) (2)_Final Order Electric EXHIBIT A-1 2" xfId="10485"/>
    <cellStyle name="_Value Copy 11 30 05 gas 12 09 05 AURORA at 12 14 05_04 07E Wild Horse Wind Expansion (C) (2)_Final Order Electric EXHIBIT A-1 2 2" xfId="10486"/>
    <cellStyle name="_Value Copy 11 30 05 gas 12 09 05 AURORA at 12 14 05_04 07E Wild Horse Wind Expansion (C) (2)_Final Order Electric EXHIBIT A-1 3" xfId="10487"/>
    <cellStyle name="_Value Copy 11 30 05 gas 12 09 05 AURORA at 12 14 05_04 07E Wild Horse Wind Expansion (C) (2)_TENASKA REGULATORY ASSET" xfId="10488"/>
    <cellStyle name="_Value Copy 11 30 05 gas 12 09 05 AURORA at 12 14 05_04 07E Wild Horse Wind Expansion (C) (2)_TENASKA REGULATORY ASSET 2" xfId="10489"/>
    <cellStyle name="_Value Copy 11 30 05 gas 12 09 05 AURORA at 12 14 05_04 07E Wild Horse Wind Expansion (C) (2)_TENASKA REGULATORY ASSET 2 2" xfId="10490"/>
    <cellStyle name="_Value Copy 11 30 05 gas 12 09 05 AURORA at 12 14 05_04 07E Wild Horse Wind Expansion (C) (2)_TENASKA REGULATORY ASSET 3" xfId="10491"/>
    <cellStyle name="_Value Copy 11 30 05 gas 12 09 05 AURORA at 12 14 05_16.37E Wild Horse Expansion DeferralRevwrkingfile SF" xfId="10492"/>
    <cellStyle name="_Value Copy 11 30 05 gas 12 09 05 AURORA at 12 14 05_16.37E Wild Horse Expansion DeferralRevwrkingfile SF 2" xfId="10493"/>
    <cellStyle name="_Value Copy 11 30 05 gas 12 09 05 AURORA at 12 14 05_16.37E Wild Horse Expansion DeferralRevwrkingfile SF 2 2" xfId="10494"/>
    <cellStyle name="_Value Copy 11 30 05 gas 12 09 05 AURORA at 12 14 05_16.37E Wild Horse Expansion DeferralRevwrkingfile SF 3" xfId="10495"/>
    <cellStyle name="_Value Copy 11 30 05 gas 12 09 05 AURORA at 12 14 05_16.37E Wild Horse Expansion DeferralRevwrkingfile SF 3 2" xfId="10496"/>
    <cellStyle name="_Value Copy 11 30 05 gas 12 09 05 AURORA at 12 14 05_16.37E Wild Horse Expansion DeferralRevwrkingfile SF 4" xfId="10497"/>
    <cellStyle name="_Value Copy 11 30 05 gas 12 09 05 AURORA at 12 14 05_16.37E Wild Horse Expansion DeferralRevwrkingfile SF_DEM-WP(C) ENERG10C--ctn Mid-C_042010 2010GRC" xfId="10498"/>
    <cellStyle name="_Value Copy 11 30 05 gas 12 09 05 AURORA at 12 14 05_16.37E Wild Horse Expansion DeferralRevwrkingfile SF_DEM-WP(C) ENERG10C--ctn Mid-C_042010 2010GRC 2" xfId="10499"/>
    <cellStyle name="_Value Copy 11 30 05 gas 12 09 05 AURORA at 12 14 05_2009 Compliance Filing PCA Exhibits for GRC" xfId="10500"/>
    <cellStyle name="_Value Copy 11 30 05 gas 12 09 05 AURORA at 12 14 05_2009 Compliance Filing PCA Exhibits for GRC 2" xfId="10501"/>
    <cellStyle name="_Value Copy 11 30 05 gas 12 09 05 AURORA at 12 14 05_2009 Compliance Filing PCA Exhibits for GRC 2 2" xfId="10502"/>
    <cellStyle name="_Value Copy 11 30 05 gas 12 09 05 AURORA at 12 14 05_2009 Compliance Filing PCA Exhibits for GRC 3" xfId="10503"/>
    <cellStyle name="_Value Copy 11 30 05 gas 12 09 05 AURORA at 12 14 05_2009 GRC Compl Filing - Exhibit D" xfId="10504"/>
    <cellStyle name="_Value Copy 11 30 05 gas 12 09 05 AURORA at 12 14 05_2009 GRC Compl Filing - Exhibit D 2" xfId="10505"/>
    <cellStyle name="_Value Copy 11 30 05 gas 12 09 05 AURORA at 12 14 05_2009 GRC Compl Filing - Exhibit D 2 2" xfId="10506"/>
    <cellStyle name="_Value Copy 11 30 05 gas 12 09 05 AURORA at 12 14 05_2009 GRC Compl Filing - Exhibit D 3" xfId="10507"/>
    <cellStyle name="_Value Copy 11 30 05 gas 12 09 05 AURORA at 12 14 05_2009 GRC Compl Filing - Exhibit D 3 2" xfId="10508"/>
    <cellStyle name="_Value Copy 11 30 05 gas 12 09 05 AURORA at 12 14 05_2009 GRC Compl Filing - Exhibit D 4" xfId="10509"/>
    <cellStyle name="_Value Copy 11 30 05 gas 12 09 05 AURORA at 12 14 05_2009 GRC Compl Filing - Exhibit D_DEM-WP(C) ENERG10C--ctn Mid-C_042010 2010GRC" xfId="10510"/>
    <cellStyle name="_Value Copy 11 30 05 gas 12 09 05 AURORA at 12 14 05_2009 GRC Compl Filing - Exhibit D_DEM-WP(C) ENERG10C--ctn Mid-C_042010 2010GRC 2" xfId="10511"/>
    <cellStyle name="_Value Copy 11 30 05 gas 12 09 05 AURORA at 12 14 05_3.01 Income Statement" xfId="10512"/>
    <cellStyle name="_Value Copy 11 30 05 gas 12 09 05 AURORA at 12 14 05_4 31 Regulatory Assets and Liabilities  7 06- Exhibit D" xfId="10513"/>
    <cellStyle name="_Value Copy 11 30 05 gas 12 09 05 AURORA at 12 14 05_4 31 Regulatory Assets and Liabilities  7 06- Exhibit D 2" xfId="10514"/>
    <cellStyle name="_Value Copy 11 30 05 gas 12 09 05 AURORA at 12 14 05_4 31 Regulatory Assets and Liabilities  7 06- Exhibit D 2 2" xfId="10515"/>
    <cellStyle name="_Value Copy 11 30 05 gas 12 09 05 AURORA at 12 14 05_4 31 Regulatory Assets and Liabilities  7 06- Exhibit D 3" xfId="10516"/>
    <cellStyle name="_Value Copy 11 30 05 gas 12 09 05 AURORA at 12 14 05_4 31 Regulatory Assets and Liabilities  7 06- Exhibit D 3 2" xfId="10517"/>
    <cellStyle name="_Value Copy 11 30 05 gas 12 09 05 AURORA at 12 14 05_4 31 Regulatory Assets and Liabilities  7 06- Exhibit D 4" xfId="10518"/>
    <cellStyle name="_Value Copy 11 30 05 gas 12 09 05 AURORA at 12 14 05_4 31 Regulatory Assets and Liabilities  7 06- Exhibit D_DEM-WP(C) ENERG10C--ctn Mid-C_042010 2010GRC" xfId="10519"/>
    <cellStyle name="_Value Copy 11 30 05 gas 12 09 05 AURORA at 12 14 05_4 31 Regulatory Assets and Liabilities  7 06- Exhibit D_DEM-WP(C) ENERG10C--ctn Mid-C_042010 2010GRC 2" xfId="10520"/>
    <cellStyle name="_Value Copy 11 30 05 gas 12 09 05 AURORA at 12 14 05_4 31 Regulatory Assets and Liabilities  7 06- Exhibit D_NIM Summary" xfId="10521"/>
    <cellStyle name="_Value Copy 11 30 05 gas 12 09 05 AURORA at 12 14 05_4 31 Regulatory Assets and Liabilities  7 06- Exhibit D_NIM Summary 2" xfId="10522"/>
    <cellStyle name="_Value Copy 11 30 05 gas 12 09 05 AURORA at 12 14 05_4 31 Regulatory Assets and Liabilities  7 06- Exhibit D_NIM Summary 2 2" xfId="10523"/>
    <cellStyle name="_Value Copy 11 30 05 gas 12 09 05 AURORA at 12 14 05_4 31 Regulatory Assets and Liabilities  7 06- Exhibit D_NIM Summary 3" xfId="10524"/>
    <cellStyle name="_Value Copy 11 30 05 gas 12 09 05 AURORA at 12 14 05_4 31 Regulatory Assets and Liabilities  7 06- Exhibit D_NIM Summary 3 2" xfId="10525"/>
    <cellStyle name="_Value Copy 11 30 05 gas 12 09 05 AURORA at 12 14 05_4 31 Regulatory Assets and Liabilities  7 06- Exhibit D_NIM Summary 4" xfId="10526"/>
    <cellStyle name="_Value Copy 11 30 05 gas 12 09 05 AURORA at 12 14 05_4 31 Regulatory Assets and Liabilities  7 06- Exhibit D_NIM Summary_DEM-WP(C) ENERG10C--ctn Mid-C_042010 2010GRC" xfId="10527"/>
    <cellStyle name="_Value Copy 11 30 05 gas 12 09 05 AURORA at 12 14 05_4 31 Regulatory Assets and Liabilities  7 06- Exhibit D_NIM Summary_DEM-WP(C) ENERG10C--ctn Mid-C_042010 2010GRC 2" xfId="10528"/>
    <cellStyle name="_Value Copy 11 30 05 gas 12 09 05 AURORA at 12 14 05_4 31E Reg Asset  Liab and EXH D" xfId="10529"/>
    <cellStyle name="_Value Copy 11 30 05 gas 12 09 05 AURORA at 12 14 05_4 31E Reg Asset  Liab and EXH D _ Aug 10 Filing (2)" xfId="10530"/>
    <cellStyle name="_Value Copy 11 30 05 gas 12 09 05 AURORA at 12 14 05_4 31E Reg Asset  Liab and EXH D _ Aug 10 Filing (2) 2" xfId="10531"/>
    <cellStyle name="_Value Copy 11 30 05 gas 12 09 05 AURORA at 12 14 05_4 31E Reg Asset  Liab and EXH D 2" xfId="10532"/>
    <cellStyle name="_Value Copy 11 30 05 gas 12 09 05 AURORA at 12 14 05_4 31E Reg Asset  Liab and EXH D 3" xfId="10533"/>
    <cellStyle name="_Value Copy 11 30 05 gas 12 09 05 AURORA at 12 14 05_4 32 Regulatory Assets and Liabilities  7 06- Exhibit D" xfId="10534"/>
    <cellStyle name="_Value Copy 11 30 05 gas 12 09 05 AURORA at 12 14 05_4 32 Regulatory Assets and Liabilities  7 06- Exhibit D 2" xfId="10535"/>
    <cellStyle name="_Value Copy 11 30 05 gas 12 09 05 AURORA at 12 14 05_4 32 Regulatory Assets and Liabilities  7 06- Exhibit D 2 2" xfId="10536"/>
    <cellStyle name="_Value Copy 11 30 05 gas 12 09 05 AURORA at 12 14 05_4 32 Regulatory Assets and Liabilities  7 06- Exhibit D 3" xfId="10537"/>
    <cellStyle name="_Value Copy 11 30 05 gas 12 09 05 AURORA at 12 14 05_4 32 Regulatory Assets and Liabilities  7 06- Exhibit D 3 2" xfId="10538"/>
    <cellStyle name="_Value Copy 11 30 05 gas 12 09 05 AURORA at 12 14 05_4 32 Regulatory Assets and Liabilities  7 06- Exhibit D 4" xfId="10539"/>
    <cellStyle name="_Value Copy 11 30 05 gas 12 09 05 AURORA at 12 14 05_4 32 Regulatory Assets and Liabilities  7 06- Exhibit D_DEM-WP(C) ENERG10C--ctn Mid-C_042010 2010GRC" xfId="10540"/>
    <cellStyle name="_Value Copy 11 30 05 gas 12 09 05 AURORA at 12 14 05_4 32 Regulatory Assets and Liabilities  7 06- Exhibit D_DEM-WP(C) ENERG10C--ctn Mid-C_042010 2010GRC 2" xfId="10541"/>
    <cellStyle name="_Value Copy 11 30 05 gas 12 09 05 AURORA at 12 14 05_4 32 Regulatory Assets and Liabilities  7 06- Exhibit D_NIM Summary" xfId="10542"/>
    <cellStyle name="_Value Copy 11 30 05 gas 12 09 05 AURORA at 12 14 05_4 32 Regulatory Assets and Liabilities  7 06- Exhibit D_NIM Summary 2" xfId="10543"/>
    <cellStyle name="_Value Copy 11 30 05 gas 12 09 05 AURORA at 12 14 05_4 32 Regulatory Assets and Liabilities  7 06- Exhibit D_NIM Summary 2 2" xfId="10544"/>
    <cellStyle name="_Value Copy 11 30 05 gas 12 09 05 AURORA at 12 14 05_4 32 Regulatory Assets and Liabilities  7 06- Exhibit D_NIM Summary 3" xfId="10545"/>
    <cellStyle name="_Value Copy 11 30 05 gas 12 09 05 AURORA at 12 14 05_4 32 Regulatory Assets and Liabilities  7 06- Exhibit D_NIM Summary 3 2" xfId="10546"/>
    <cellStyle name="_Value Copy 11 30 05 gas 12 09 05 AURORA at 12 14 05_4 32 Regulatory Assets and Liabilities  7 06- Exhibit D_NIM Summary 4" xfId="10547"/>
    <cellStyle name="_Value Copy 11 30 05 gas 12 09 05 AURORA at 12 14 05_4 32 Regulatory Assets and Liabilities  7 06- Exhibit D_NIM Summary_DEM-WP(C) ENERG10C--ctn Mid-C_042010 2010GRC" xfId="10548"/>
    <cellStyle name="_Value Copy 11 30 05 gas 12 09 05 AURORA at 12 14 05_4 32 Regulatory Assets and Liabilities  7 06- Exhibit D_NIM Summary_DEM-WP(C) ENERG10C--ctn Mid-C_042010 2010GRC 2" xfId="10549"/>
    <cellStyle name="_Value Copy 11 30 05 gas 12 09 05 AURORA at 12 14 05_AURORA Total New" xfId="10550"/>
    <cellStyle name="_Value Copy 11 30 05 gas 12 09 05 AURORA at 12 14 05_AURORA Total New 2" xfId="10551"/>
    <cellStyle name="_Value Copy 11 30 05 gas 12 09 05 AURORA at 12 14 05_AURORA Total New 2 2" xfId="10552"/>
    <cellStyle name="_Value Copy 11 30 05 gas 12 09 05 AURORA at 12 14 05_AURORA Total New 3" xfId="10553"/>
    <cellStyle name="_Value Copy 11 30 05 gas 12 09 05 AURORA at 12 14 05_Book2" xfId="10554"/>
    <cellStyle name="_Value Copy 11 30 05 gas 12 09 05 AURORA at 12 14 05_Book2 2" xfId="10555"/>
    <cellStyle name="_Value Copy 11 30 05 gas 12 09 05 AURORA at 12 14 05_Book2 2 2" xfId="10556"/>
    <cellStyle name="_Value Copy 11 30 05 gas 12 09 05 AURORA at 12 14 05_Book2 3" xfId="10557"/>
    <cellStyle name="_Value Copy 11 30 05 gas 12 09 05 AURORA at 12 14 05_Book2 3 2" xfId="10558"/>
    <cellStyle name="_Value Copy 11 30 05 gas 12 09 05 AURORA at 12 14 05_Book2 4" xfId="10559"/>
    <cellStyle name="_Value Copy 11 30 05 gas 12 09 05 AURORA at 12 14 05_Book2_Adj Bench DR 3 for Initial Briefs (Electric)" xfId="10560"/>
    <cellStyle name="_Value Copy 11 30 05 gas 12 09 05 AURORA at 12 14 05_Book2_Adj Bench DR 3 for Initial Briefs (Electric) 2" xfId="10561"/>
    <cellStyle name="_Value Copy 11 30 05 gas 12 09 05 AURORA at 12 14 05_Book2_Adj Bench DR 3 for Initial Briefs (Electric) 2 2" xfId="10562"/>
    <cellStyle name="_Value Copy 11 30 05 gas 12 09 05 AURORA at 12 14 05_Book2_Adj Bench DR 3 for Initial Briefs (Electric) 3" xfId="10563"/>
    <cellStyle name="_Value Copy 11 30 05 gas 12 09 05 AURORA at 12 14 05_Book2_Adj Bench DR 3 for Initial Briefs (Electric) 3 2" xfId="10564"/>
    <cellStyle name="_Value Copy 11 30 05 gas 12 09 05 AURORA at 12 14 05_Book2_Adj Bench DR 3 for Initial Briefs (Electric) 4" xfId="10565"/>
    <cellStyle name="_Value Copy 11 30 05 gas 12 09 05 AURORA at 12 14 05_Book2_Adj Bench DR 3 for Initial Briefs (Electric)_DEM-WP(C) ENERG10C--ctn Mid-C_042010 2010GRC" xfId="10566"/>
    <cellStyle name="_Value Copy 11 30 05 gas 12 09 05 AURORA at 12 14 05_Book2_Adj Bench DR 3 for Initial Briefs (Electric)_DEM-WP(C) ENERG10C--ctn Mid-C_042010 2010GRC 2" xfId="10567"/>
    <cellStyle name="_Value Copy 11 30 05 gas 12 09 05 AURORA at 12 14 05_Book2_DEM-WP(C) ENERG10C--ctn Mid-C_042010 2010GRC" xfId="10568"/>
    <cellStyle name="_Value Copy 11 30 05 gas 12 09 05 AURORA at 12 14 05_Book2_DEM-WP(C) ENERG10C--ctn Mid-C_042010 2010GRC 2" xfId="10569"/>
    <cellStyle name="_Value Copy 11 30 05 gas 12 09 05 AURORA at 12 14 05_Book2_Electric Rev Req Model (2009 GRC) Rebuttal" xfId="10570"/>
    <cellStyle name="_Value Copy 11 30 05 gas 12 09 05 AURORA at 12 14 05_Book2_Electric Rev Req Model (2009 GRC) Rebuttal 2" xfId="10571"/>
    <cellStyle name="_Value Copy 11 30 05 gas 12 09 05 AURORA at 12 14 05_Book2_Electric Rev Req Model (2009 GRC) Rebuttal 2 2" xfId="10572"/>
    <cellStyle name="_Value Copy 11 30 05 gas 12 09 05 AURORA at 12 14 05_Book2_Electric Rev Req Model (2009 GRC) Rebuttal 3" xfId="10573"/>
    <cellStyle name="_Value Copy 11 30 05 gas 12 09 05 AURORA at 12 14 05_Book2_Electric Rev Req Model (2009 GRC) Rebuttal REmoval of New  WH Solar AdjustMI" xfId="10574"/>
    <cellStyle name="_Value Copy 11 30 05 gas 12 09 05 AURORA at 12 14 05_Book2_Electric Rev Req Model (2009 GRC) Rebuttal REmoval of New  WH Solar AdjustMI 2" xfId="10575"/>
    <cellStyle name="_Value Copy 11 30 05 gas 12 09 05 AURORA at 12 14 05_Book2_Electric Rev Req Model (2009 GRC) Rebuttal REmoval of New  WH Solar AdjustMI 2 2" xfId="10576"/>
    <cellStyle name="_Value Copy 11 30 05 gas 12 09 05 AURORA at 12 14 05_Book2_Electric Rev Req Model (2009 GRC) Rebuttal REmoval of New  WH Solar AdjustMI 3" xfId="10577"/>
    <cellStyle name="_Value Copy 11 30 05 gas 12 09 05 AURORA at 12 14 05_Book2_Electric Rev Req Model (2009 GRC) Rebuttal REmoval of New  WH Solar AdjustMI 3 2" xfId="10578"/>
    <cellStyle name="_Value Copy 11 30 05 gas 12 09 05 AURORA at 12 14 05_Book2_Electric Rev Req Model (2009 GRC) Rebuttal REmoval of New  WH Solar AdjustMI 4" xfId="10579"/>
    <cellStyle name="_Value Copy 11 30 05 gas 12 09 05 AURORA at 12 14 05_Book2_Electric Rev Req Model (2009 GRC) Rebuttal REmoval of New  WH Solar AdjustMI_DEM-WP(C) ENERG10C--ctn Mid-C_042010 2010GRC" xfId="10580"/>
    <cellStyle name="_Value Copy 11 30 05 gas 12 09 05 AURORA at 12 14 05_Book2_Electric Rev Req Model (2009 GRC) Rebuttal REmoval of New  WH Solar AdjustMI_DEM-WP(C) ENERG10C--ctn Mid-C_042010 2010GRC 2" xfId="10581"/>
    <cellStyle name="_Value Copy 11 30 05 gas 12 09 05 AURORA at 12 14 05_Book2_Electric Rev Req Model (2009 GRC) Revised 01-18-2010" xfId="10582"/>
    <cellStyle name="_Value Copy 11 30 05 gas 12 09 05 AURORA at 12 14 05_Book2_Electric Rev Req Model (2009 GRC) Revised 01-18-2010 2" xfId="10583"/>
    <cellStyle name="_Value Copy 11 30 05 gas 12 09 05 AURORA at 12 14 05_Book2_Electric Rev Req Model (2009 GRC) Revised 01-18-2010 2 2" xfId="10584"/>
    <cellStyle name="_Value Copy 11 30 05 gas 12 09 05 AURORA at 12 14 05_Book2_Electric Rev Req Model (2009 GRC) Revised 01-18-2010 3" xfId="10585"/>
    <cellStyle name="_Value Copy 11 30 05 gas 12 09 05 AURORA at 12 14 05_Book2_Electric Rev Req Model (2009 GRC) Revised 01-18-2010 3 2" xfId="10586"/>
    <cellStyle name="_Value Copy 11 30 05 gas 12 09 05 AURORA at 12 14 05_Book2_Electric Rev Req Model (2009 GRC) Revised 01-18-2010 4" xfId="10587"/>
    <cellStyle name="_Value Copy 11 30 05 gas 12 09 05 AURORA at 12 14 05_Book2_Electric Rev Req Model (2009 GRC) Revised 01-18-2010_DEM-WP(C) ENERG10C--ctn Mid-C_042010 2010GRC" xfId="10588"/>
    <cellStyle name="_Value Copy 11 30 05 gas 12 09 05 AURORA at 12 14 05_Book2_Electric Rev Req Model (2009 GRC) Revised 01-18-2010_DEM-WP(C) ENERG10C--ctn Mid-C_042010 2010GRC 2" xfId="10589"/>
    <cellStyle name="_Value Copy 11 30 05 gas 12 09 05 AURORA at 12 14 05_Book2_Final Order Electric EXHIBIT A-1" xfId="10590"/>
    <cellStyle name="_Value Copy 11 30 05 gas 12 09 05 AURORA at 12 14 05_Book2_Final Order Electric EXHIBIT A-1 2" xfId="10591"/>
    <cellStyle name="_Value Copy 11 30 05 gas 12 09 05 AURORA at 12 14 05_Book2_Final Order Electric EXHIBIT A-1 2 2" xfId="10592"/>
    <cellStyle name="_Value Copy 11 30 05 gas 12 09 05 AURORA at 12 14 05_Book2_Final Order Electric EXHIBIT A-1 3" xfId="10593"/>
    <cellStyle name="_Value Copy 11 30 05 gas 12 09 05 AURORA at 12 14 05_Book4" xfId="10594"/>
    <cellStyle name="_Value Copy 11 30 05 gas 12 09 05 AURORA at 12 14 05_Book4 2" xfId="10595"/>
    <cellStyle name="_Value Copy 11 30 05 gas 12 09 05 AURORA at 12 14 05_Book4 2 2" xfId="10596"/>
    <cellStyle name="_Value Copy 11 30 05 gas 12 09 05 AURORA at 12 14 05_Book4 3" xfId="10597"/>
    <cellStyle name="_Value Copy 11 30 05 gas 12 09 05 AURORA at 12 14 05_Book4 3 2" xfId="10598"/>
    <cellStyle name="_Value Copy 11 30 05 gas 12 09 05 AURORA at 12 14 05_Book4 4" xfId="10599"/>
    <cellStyle name="_Value Copy 11 30 05 gas 12 09 05 AURORA at 12 14 05_Book4_DEM-WP(C) ENERG10C--ctn Mid-C_042010 2010GRC" xfId="10600"/>
    <cellStyle name="_Value Copy 11 30 05 gas 12 09 05 AURORA at 12 14 05_Book4_DEM-WP(C) ENERG10C--ctn Mid-C_042010 2010GRC 2" xfId="10601"/>
    <cellStyle name="_Value Copy 11 30 05 gas 12 09 05 AURORA at 12 14 05_Book9" xfId="10602"/>
    <cellStyle name="_Value Copy 11 30 05 gas 12 09 05 AURORA at 12 14 05_Book9 2" xfId="10603"/>
    <cellStyle name="_Value Copy 11 30 05 gas 12 09 05 AURORA at 12 14 05_Book9 2 2" xfId="10604"/>
    <cellStyle name="_Value Copy 11 30 05 gas 12 09 05 AURORA at 12 14 05_Book9 3" xfId="10605"/>
    <cellStyle name="_Value Copy 11 30 05 gas 12 09 05 AURORA at 12 14 05_Book9 3 2" xfId="10606"/>
    <cellStyle name="_Value Copy 11 30 05 gas 12 09 05 AURORA at 12 14 05_Book9 4" xfId="10607"/>
    <cellStyle name="_Value Copy 11 30 05 gas 12 09 05 AURORA at 12 14 05_Book9_DEM-WP(C) ENERG10C--ctn Mid-C_042010 2010GRC" xfId="10608"/>
    <cellStyle name="_Value Copy 11 30 05 gas 12 09 05 AURORA at 12 14 05_Book9_DEM-WP(C) ENERG10C--ctn Mid-C_042010 2010GRC 2" xfId="10609"/>
    <cellStyle name="_Value Copy 11 30 05 gas 12 09 05 AURORA at 12 14 05_Check the Interest Calculation" xfId="10610"/>
    <cellStyle name="_Value Copy 11 30 05 gas 12 09 05 AURORA at 12 14 05_Check the Interest Calculation 2" xfId="10611"/>
    <cellStyle name="_Value Copy 11 30 05 gas 12 09 05 AURORA at 12 14 05_Check the Interest Calculation_Scenario 1 REC vs PTC Offset" xfId="10612"/>
    <cellStyle name="_Value Copy 11 30 05 gas 12 09 05 AURORA at 12 14 05_Check the Interest Calculation_Scenario 1 REC vs PTC Offset 2" xfId="10613"/>
    <cellStyle name="_Value Copy 11 30 05 gas 12 09 05 AURORA at 12 14 05_Check the Interest Calculation_Scenario 3" xfId="10614"/>
    <cellStyle name="_Value Copy 11 30 05 gas 12 09 05 AURORA at 12 14 05_Check the Interest Calculation_Scenario 3 2" xfId="10615"/>
    <cellStyle name="_Value Copy 11 30 05 gas 12 09 05 AURORA at 12 14 05_Chelan PUD Power Costs (8-10)" xfId="10616"/>
    <cellStyle name="_Value Copy 11 30 05 gas 12 09 05 AURORA at 12 14 05_Chelan PUD Power Costs (8-10) 2" xfId="10617"/>
    <cellStyle name="_Value Copy 11 30 05 gas 12 09 05 AURORA at 12 14 05_DEM-WP(C) Chelan Power Costs" xfId="10618"/>
    <cellStyle name="_Value Copy 11 30 05 gas 12 09 05 AURORA at 12 14 05_DEM-WP(C) Chelan Power Costs 2" xfId="10619"/>
    <cellStyle name="_Value Copy 11 30 05 gas 12 09 05 AURORA at 12 14 05_DEM-WP(C) ENERG10C--ctn Mid-C_042010 2010GRC" xfId="10620"/>
    <cellStyle name="_Value Copy 11 30 05 gas 12 09 05 AURORA at 12 14 05_DEM-WP(C) ENERG10C--ctn Mid-C_042010 2010GRC 2" xfId="10621"/>
    <cellStyle name="_Value Copy 11 30 05 gas 12 09 05 AURORA at 12 14 05_DEM-WP(C) Gas Transport 2010GRC" xfId="10622"/>
    <cellStyle name="_Value Copy 11 30 05 gas 12 09 05 AURORA at 12 14 05_DEM-WP(C) Gas Transport 2010GRC 2" xfId="10623"/>
    <cellStyle name="_Value Copy 11 30 05 gas 12 09 05 AURORA at 12 14 05_Exh A-1 resulting from UE-112050 effective Jan 1 2012" xfId="10624"/>
    <cellStyle name="_Value Copy 11 30 05 gas 12 09 05 AURORA at 12 14 05_Exh A-1 resulting from UE-112050 effective Jan 1 2012 2" xfId="10625"/>
    <cellStyle name="_Value Copy 11 30 05 gas 12 09 05 AURORA at 12 14 05_Exhibit A-1 effective 4-1-11 fr S Free 12-11" xfId="10626"/>
    <cellStyle name="_Value Copy 11 30 05 gas 12 09 05 AURORA at 12 14 05_Exhibit A-1 effective 4-1-11 fr S Free 12-11 2" xfId="10627"/>
    <cellStyle name="_Value Copy 11 30 05 gas 12 09 05 AURORA at 12 14 05_Exhibit D fr R Gho 12-31-08" xfId="10628"/>
    <cellStyle name="_Value Copy 11 30 05 gas 12 09 05 AURORA at 12 14 05_Exhibit D fr R Gho 12-31-08 2" xfId="10629"/>
    <cellStyle name="_Value Copy 11 30 05 gas 12 09 05 AURORA at 12 14 05_Exhibit D fr R Gho 12-31-08 2 2" xfId="10630"/>
    <cellStyle name="_Value Copy 11 30 05 gas 12 09 05 AURORA at 12 14 05_Exhibit D fr R Gho 12-31-08 3" xfId="10631"/>
    <cellStyle name="_Value Copy 11 30 05 gas 12 09 05 AURORA at 12 14 05_Exhibit D fr R Gho 12-31-08 3 2" xfId="10632"/>
    <cellStyle name="_Value Copy 11 30 05 gas 12 09 05 AURORA at 12 14 05_Exhibit D fr R Gho 12-31-08 4" xfId="10633"/>
    <cellStyle name="_Value Copy 11 30 05 gas 12 09 05 AURORA at 12 14 05_Exhibit D fr R Gho 12-31-08 v2" xfId="10634"/>
    <cellStyle name="_Value Copy 11 30 05 gas 12 09 05 AURORA at 12 14 05_Exhibit D fr R Gho 12-31-08 v2 2" xfId="10635"/>
    <cellStyle name="_Value Copy 11 30 05 gas 12 09 05 AURORA at 12 14 05_Exhibit D fr R Gho 12-31-08 v2 2 2" xfId="10636"/>
    <cellStyle name="_Value Copy 11 30 05 gas 12 09 05 AURORA at 12 14 05_Exhibit D fr R Gho 12-31-08 v2 3" xfId="10637"/>
    <cellStyle name="_Value Copy 11 30 05 gas 12 09 05 AURORA at 12 14 05_Exhibit D fr R Gho 12-31-08 v2 3 2" xfId="10638"/>
    <cellStyle name="_Value Copy 11 30 05 gas 12 09 05 AURORA at 12 14 05_Exhibit D fr R Gho 12-31-08 v2 4" xfId="10639"/>
    <cellStyle name="_Value Copy 11 30 05 gas 12 09 05 AURORA at 12 14 05_Exhibit D fr R Gho 12-31-08 v2_DEM-WP(C) ENERG10C--ctn Mid-C_042010 2010GRC" xfId="10640"/>
    <cellStyle name="_Value Copy 11 30 05 gas 12 09 05 AURORA at 12 14 05_Exhibit D fr R Gho 12-31-08 v2_DEM-WP(C) ENERG10C--ctn Mid-C_042010 2010GRC 2" xfId="10641"/>
    <cellStyle name="_Value Copy 11 30 05 gas 12 09 05 AURORA at 12 14 05_Exhibit D fr R Gho 12-31-08 v2_NIM Summary" xfId="10642"/>
    <cellStyle name="_Value Copy 11 30 05 gas 12 09 05 AURORA at 12 14 05_Exhibit D fr R Gho 12-31-08 v2_NIM Summary 2" xfId="10643"/>
    <cellStyle name="_Value Copy 11 30 05 gas 12 09 05 AURORA at 12 14 05_Exhibit D fr R Gho 12-31-08 v2_NIM Summary 2 2" xfId="10644"/>
    <cellStyle name="_Value Copy 11 30 05 gas 12 09 05 AURORA at 12 14 05_Exhibit D fr R Gho 12-31-08 v2_NIM Summary 3" xfId="10645"/>
    <cellStyle name="_Value Copy 11 30 05 gas 12 09 05 AURORA at 12 14 05_Exhibit D fr R Gho 12-31-08 v2_NIM Summary 3 2" xfId="10646"/>
    <cellStyle name="_Value Copy 11 30 05 gas 12 09 05 AURORA at 12 14 05_Exhibit D fr R Gho 12-31-08 v2_NIM Summary 4" xfId="10647"/>
    <cellStyle name="_Value Copy 11 30 05 gas 12 09 05 AURORA at 12 14 05_Exhibit D fr R Gho 12-31-08 v2_NIM Summary_DEM-WP(C) ENERG10C--ctn Mid-C_042010 2010GRC" xfId="10648"/>
    <cellStyle name="_Value Copy 11 30 05 gas 12 09 05 AURORA at 12 14 05_Exhibit D fr R Gho 12-31-08 v2_NIM Summary_DEM-WP(C) ENERG10C--ctn Mid-C_042010 2010GRC 2" xfId="10649"/>
    <cellStyle name="_Value Copy 11 30 05 gas 12 09 05 AURORA at 12 14 05_Exhibit D fr R Gho 12-31-08_DEM-WP(C) ENERG10C--ctn Mid-C_042010 2010GRC" xfId="10650"/>
    <cellStyle name="_Value Copy 11 30 05 gas 12 09 05 AURORA at 12 14 05_Exhibit D fr R Gho 12-31-08_DEM-WP(C) ENERG10C--ctn Mid-C_042010 2010GRC 2" xfId="10651"/>
    <cellStyle name="_Value Copy 11 30 05 gas 12 09 05 AURORA at 12 14 05_Exhibit D fr R Gho 12-31-08_NIM Summary" xfId="10652"/>
    <cellStyle name="_Value Copy 11 30 05 gas 12 09 05 AURORA at 12 14 05_Exhibit D fr R Gho 12-31-08_NIM Summary 2" xfId="10653"/>
    <cellStyle name="_Value Copy 11 30 05 gas 12 09 05 AURORA at 12 14 05_Exhibit D fr R Gho 12-31-08_NIM Summary 2 2" xfId="10654"/>
    <cellStyle name="_Value Copy 11 30 05 gas 12 09 05 AURORA at 12 14 05_Exhibit D fr R Gho 12-31-08_NIM Summary 3" xfId="10655"/>
    <cellStyle name="_Value Copy 11 30 05 gas 12 09 05 AURORA at 12 14 05_Exhibit D fr R Gho 12-31-08_NIM Summary 3 2" xfId="10656"/>
    <cellStyle name="_Value Copy 11 30 05 gas 12 09 05 AURORA at 12 14 05_Exhibit D fr R Gho 12-31-08_NIM Summary 4" xfId="10657"/>
    <cellStyle name="_Value Copy 11 30 05 gas 12 09 05 AURORA at 12 14 05_Exhibit D fr R Gho 12-31-08_NIM Summary_DEM-WP(C) ENERG10C--ctn Mid-C_042010 2010GRC" xfId="10658"/>
    <cellStyle name="_Value Copy 11 30 05 gas 12 09 05 AURORA at 12 14 05_Exhibit D fr R Gho 12-31-08_NIM Summary_DEM-WP(C) ENERG10C--ctn Mid-C_042010 2010GRC 2" xfId="10659"/>
    <cellStyle name="_Value Copy 11 30 05 gas 12 09 05 AURORA at 12 14 05_Hopkins Ridge Prepaid Tran - Interest Earned RY 12ME Feb  '11" xfId="10660"/>
    <cellStyle name="_Value Copy 11 30 05 gas 12 09 05 AURORA at 12 14 05_Hopkins Ridge Prepaid Tran - Interest Earned RY 12ME Feb  '11 2" xfId="10661"/>
    <cellStyle name="_Value Copy 11 30 05 gas 12 09 05 AURORA at 12 14 05_Hopkins Ridge Prepaid Tran - Interest Earned RY 12ME Feb  '11 2 2" xfId="10662"/>
    <cellStyle name="_Value Copy 11 30 05 gas 12 09 05 AURORA at 12 14 05_Hopkins Ridge Prepaid Tran - Interest Earned RY 12ME Feb  '11 3" xfId="10663"/>
    <cellStyle name="_Value Copy 11 30 05 gas 12 09 05 AURORA at 12 14 05_Hopkins Ridge Prepaid Tran - Interest Earned RY 12ME Feb  '11 3 2" xfId="10664"/>
    <cellStyle name="_Value Copy 11 30 05 gas 12 09 05 AURORA at 12 14 05_Hopkins Ridge Prepaid Tran - Interest Earned RY 12ME Feb  '11 4" xfId="10665"/>
    <cellStyle name="_Value Copy 11 30 05 gas 12 09 05 AURORA at 12 14 05_Hopkins Ridge Prepaid Tran - Interest Earned RY 12ME Feb  '11_DEM-WP(C) ENERG10C--ctn Mid-C_042010 2010GRC" xfId="10666"/>
    <cellStyle name="_Value Copy 11 30 05 gas 12 09 05 AURORA at 12 14 05_Hopkins Ridge Prepaid Tran - Interest Earned RY 12ME Feb  '11_DEM-WP(C) ENERG10C--ctn Mid-C_042010 2010GRC 2" xfId="10667"/>
    <cellStyle name="_Value Copy 11 30 05 gas 12 09 05 AURORA at 12 14 05_Hopkins Ridge Prepaid Tran - Interest Earned RY 12ME Feb  '11_NIM Summary" xfId="10668"/>
    <cellStyle name="_Value Copy 11 30 05 gas 12 09 05 AURORA at 12 14 05_Hopkins Ridge Prepaid Tran - Interest Earned RY 12ME Feb  '11_NIM Summary 2" xfId="10669"/>
    <cellStyle name="_Value Copy 11 30 05 gas 12 09 05 AURORA at 12 14 05_Hopkins Ridge Prepaid Tran - Interest Earned RY 12ME Feb  '11_NIM Summary 2 2" xfId="10670"/>
    <cellStyle name="_Value Copy 11 30 05 gas 12 09 05 AURORA at 12 14 05_Hopkins Ridge Prepaid Tran - Interest Earned RY 12ME Feb  '11_NIM Summary 3" xfId="10671"/>
    <cellStyle name="_Value Copy 11 30 05 gas 12 09 05 AURORA at 12 14 05_Hopkins Ridge Prepaid Tran - Interest Earned RY 12ME Feb  '11_NIM Summary 3 2" xfId="10672"/>
    <cellStyle name="_Value Copy 11 30 05 gas 12 09 05 AURORA at 12 14 05_Hopkins Ridge Prepaid Tran - Interest Earned RY 12ME Feb  '11_NIM Summary 4" xfId="10673"/>
    <cellStyle name="_Value Copy 11 30 05 gas 12 09 05 AURORA at 12 14 05_Hopkins Ridge Prepaid Tran - Interest Earned RY 12ME Feb  '11_NIM Summary_DEM-WP(C) ENERG10C--ctn Mid-C_042010 2010GRC" xfId="10674"/>
    <cellStyle name="_Value Copy 11 30 05 gas 12 09 05 AURORA at 12 14 05_Hopkins Ridge Prepaid Tran - Interest Earned RY 12ME Feb  '11_NIM Summary_DEM-WP(C) ENERG10C--ctn Mid-C_042010 2010GRC 2" xfId="10675"/>
    <cellStyle name="_Value Copy 11 30 05 gas 12 09 05 AURORA at 12 14 05_Hopkins Ridge Prepaid Tran - Interest Earned RY 12ME Feb  '11_Transmission Workbook for May BOD" xfId="10676"/>
    <cellStyle name="_Value Copy 11 30 05 gas 12 09 05 AURORA at 12 14 05_Hopkins Ridge Prepaid Tran - Interest Earned RY 12ME Feb  '11_Transmission Workbook for May BOD 2" xfId="10677"/>
    <cellStyle name="_Value Copy 11 30 05 gas 12 09 05 AURORA at 12 14 05_Hopkins Ridge Prepaid Tran - Interest Earned RY 12ME Feb  '11_Transmission Workbook for May BOD 2 2" xfId="10678"/>
    <cellStyle name="_Value Copy 11 30 05 gas 12 09 05 AURORA at 12 14 05_Hopkins Ridge Prepaid Tran - Interest Earned RY 12ME Feb  '11_Transmission Workbook for May BOD 3" xfId="10679"/>
    <cellStyle name="_Value Copy 11 30 05 gas 12 09 05 AURORA at 12 14 05_Hopkins Ridge Prepaid Tran - Interest Earned RY 12ME Feb  '11_Transmission Workbook for May BOD 3 2" xfId="10680"/>
    <cellStyle name="_Value Copy 11 30 05 gas 12 09 05 AURORA at 12 14 05_Hopkins Ridge Prepaid Tran - Interest Earned RY 12ME Feb  '11_Transmission Workbook for May BOD 4" xfId="10681"/>
    <cellStyle name="_Value Copy 11 30 05 gas 12 09 05 AURORA at 12 14 05_Hopkins Ridge Prepaid Tran - Interest Earned RY 12ME Feb  '11_Transmission Workbook for May BOD_DEM-WP(C) ENERG10C--ctn Mid-C_042010 2010GRC" xfId="10682"/>
    <cellStyle name="_Value Copy 11 30 05 gas 12 09 05 AURORA at 12 14 05_Hopkins Ridge Prepaid Tran - Interest Earned RY 12ME Feb  '11_Transmission Workbook for May BOD_DEM-WP(C) ENERG10C--ctn Mid-C_042010 2010GRC 2" xfId="10683"/>
    <cellStyle name="_Value Copy 11 30 05 gas 12 09 05 AURORA at 12 14 05_Mint Farm Generation BPA" xfId="10684"/>
    <cellStyle name="_Value Copy 11 30 05 gas 12 09 05 AURORA at 12 14 05_NIM Summary" xfId="10685"/>
    <cellStyle name="_Value Copy 11 30 05 gas 12 09 05 AURORA at 12 14 05_NIM Summary 09GRC" xfId="10686"/>
    <cellStyle name="_Value Copy 11 30 05 gas 12 09 05 AURORA at 12 14 05_NIM Summary 09GRC 2" xfId="10687"/>
    <cellStyle name="_Value Copy 11 30 05 gas 12 09 05 AURORA at 12 14 05_NIM Summary 09GRC 2 2" xfId="10688"/>
    <cellStyle name="_Value Copy 11 30 05 gas 12 09 05 AURORA at 12 14 05_NIM Summary 09GRC 3" xfId="10689"/>
    <cellStyle name="_Value Copy 11 30 05 gas 12 09 05 AURORA at 12 14 05_NIM Summary 09GRC 3 2" xfId="10690"/>
    <cellStyle name="_Value Copy 11 30 05 gas 12 09 05 AURORA at 12 14 05_NIM Summary 09GRC 4" xfId="10691"/>
    <cellStyle name="_Value Copy 11 30 05 gas 12 09 05 AURORA at 12 14 05_NIM Summary 09GRC_DEM-WP(C) ENERG10C--ctn Mid-C_042010 2010GRC" xfId="10692"/>
    <cellStyle name="_Value Copy 11 30 05 gas 12 09 05 AURORA at 12 14 05_NIM Summary 09GRC_DEM-WP(C) ENERG10C--ctn Mid-C_042010 2010GRC 2" xfId="10693"/>
    <cellStyle name="_Value Copy 11 30 05 gas 12 09 05 AURORA at 12 14 05_NIM Summary 10" xfId="10694"/>
    <cellStyle name="_Value Copy 11 30 05 gas 12 09 05 AURORA at 12 14 05_NIM Summary 10 2" xfId="10695"/>
    <cellStyle name="_Value Copy 11 30 05 gas 12 09 05 AURORA at 12 14 05_NIM Summary 11" xfId="10696"/>
    <cellStyle name="_Value Copy 11 30 05 gas 12 09 05 AURORA at 12 14 05_NIM Summary 11 2" xfId="10697"/>
    <cellStyle name="_Value Copy 11 30 05 gas 12 09 05 AURORA at 12 14 05_NIM Summary 12" xfId="10698"/>
    <cellStyle name="_Value Copy 11 30 05 gas 12 09 05 AURORA at 12 14 05_NIM Summary 12 2" xfId="10699"/>
    <cellStyle name="_Value Copy 11 30 05 gas 12 09 05 AURORA at 12 14 05_NIM Summary 13" xfId="10700"/>
    <cellStyle name="_Value Copy 11 30 05 gas 12 09 05 AURORA at 12 14 05_NIM Summary 13 2" xfId="10701"/>
    <cellStyle name="_Value Copy 11 30 05 gas 12 09 05 AURORA at 12 14 05_NIM Summary 14" xfId="10702"/>
    <cellStyle name="_Value Copy 11 30 05 gas 12 09 05 AURORA at 12 14 05_NIM Summary 14 2" xfId="10703"/>
    <cellStyle name="_Value Copy 11 30 05 gas 12 09 05 AURORA at 12 14 05_NIM Summary 15" xfId="10704"/>
    <cellStyle name="_Value Copy 11 30 05 gas 12 09 05 AURORA at 12 14 05_NIM Summary 15 2" xfId="10705"/>
    <cellStyle name="_Value Copy 11 30 05 gas 12 09 05 AURORA at 12 14 05_NIM Summary 16" xfId="10706"/>
    <cellStyle name="_Value Copy 11 30 05 gas 12 09 05 AURORA at 12 14 05_NIM Summary 16 2" xfId="10707"/>
    <cellStyle name="_Value Copy 11 30 05 gas 12 09 05 AURORA at 12 14 05_NIM Summary 17" xfId="10708"/>
    <cellStyle name="_Value Copy 11 30 05 gas 12 09 05 AURORA at 12 14 05_NIM Summary 17 2" xfId="10709"/>
    <cellStyle name="_Value Copy 11 30 05 gas 12 09 05 AURORA at 12 14 05_NIM Summary 18" xfId="10710"/>
    <cellStyle name="_Value Copy 11 30 05 gas 12 09 05 AURORA at 12 14 05_NIM Summary 18 2" xfId="10711"/>
    <cellStyle name="_Value Copy 11 30 05 gas 12 09 05 AURORA at 12 14 05_NIM Summary 19" xfId="10712"/>
    <cellStyle name="_Value Copy 11 30 05 gas 12 09 05 AURORA at 12 14 05_NIM Summary 19 2" xfId="10713"/>
    <cellStyle name="_Value Copy 11 30 05 gas 12 09 05 AURORA at 12 14 05_NIM Summary 2" xfId="10714"/>
    <cellStyle name="_Value Copy 11 30 05 gas 12 09 05 AURORA at 12 14 05_NIM Summary 2 2" xfId="10715"/>
    <cellStyle name="_Value Copy 11 30 05 gas 12 09 05 AURORA at 12 14 05_NIM Summary 20" xfId="10716"/>
    <cellStyle name="_Value Copy 11 30 05 gas 12 09 05 AURORA at 12 14 05_NIM Summary 20 2" xfId="10717"/>
    <cellStyle name="_Value Copy 11 30 05 gas 12 09 05 AURORA at 12 14 05_NIM Summary 21" xfId="10718"/>
    <cellStyle name="_Value Copy 11 30 05 gas 12 09 05 AURORA at 12 14 05_NIM Summary 21 2" xfId="10719"/>
    <cellStyle name="_Value Copy 11 30 05 gas 12 09 05 AURORA at 12 14 05_NIM Summary 22" xfId="10720"/>
    <cellStyle name="_Value Copy 11 30 05 gas 12 09 05 AURORA at 12 14 05_NIM Summary 22 2" xfId="10721"/>
    <cellStyle name="_Value Copy 11 30 05 gas 12 09 05 AURORA at 12 14 05_NIM Summary 23" xfId="10722"/>
    <cellStyle name="_Value Copy 11 30 05 gas 12 09 05 AURORA at 12 14 05_NIM Summary 23 2" xfId="10723"/>
    <cellStyle name="_Value Copy 11 30 05 gas 12 09 05 AURORA at 12 14 05_NIM Summary 24" xfId="10724"/>
    <cellStyle name="_Value Copy 11 30 05 gas 12 09 05 AURORA at 12 14 05_NIM Summary 24 2" xfId="10725"/>
    <cellStyle name="_Value Copy 11 30 05 gas 12 09 05 AURORA at 12 14 05_NIM Summary 25" xfId="10726"/>
    <cellStyle name="_Value Copy 11 30 05 gas 12 09 05 AURORA at 12 14 05_NIM Summary 25 2" xfId="10727"/>
    <cellStyle name="_Value Copy 11 30 05 gas 12 09 05 AURORA at 12 14 05_NIM Summary 26" xfId="10728"/>
    <cellStyle name="_Value Copy 11 30 05 gas 12 09 05 AURORA at 12 14 05_NIM Summary 26 2" xfId="10729"/>
    <cellStyle name="_Value Copy 11 30 05 gas 12 09 05 AURORA at 12 14 05_NIM Summary 27" xfId="10730"/>
    <cellStyle name="_Value Copy 11 30 05 gas 12 09 05 AURORA at 12 14 05_NIM Summary 27 2" xfId="10731"/>
    <cellStyle name="_Value Copy 11 30 05 gas 12 09 05 AURORA at 12 14 05_NIM Summary 28" xfId="10732"/>
    <cellStyle name="_Value Copy 11 30 05 gas 12 09 05 AURORA at 12 14 05_NIM Summary 28 2" xfId="10733"/>
    <cellStyle name="_Value Copy 11 30 05 gas 12 09 05 AURORA at 12 14 05_NIM Summary 29" xfId="10734"/>
    <cellStyle name="_Value Copy 11 30 05 gas 12 09 05 AURORA at 12 14 05_NIM Summary 29 2" xfId="10735"/>
    <cellStyle name="_Value Copy 11 30 05 gas 12 09 05 AURORA at 12 14 05_NIM Summary 3" xfId="10736"/>
    <cellStyle name="_Value Copy 11 30 05 gas 12 09 05 AURORA at 12 14 05_NIM Summary 3 2" xfId="10737"/>
    <cellStyle name="_Value Copy 11 30 05 gas 12 09 05 AURORA at 12 14 05_NIM Summary 30" xfId="10738"/>
    <cellStyle name="_Value Copy 11 30 05 gas 12 09 05 AURORA at 12 14 05_NIM Summary 30 2" xfId="10739"/>
    <cellStyle name="_Value Copy 11 30 05 gas 12 09 05 AURORA at 12 14 05_NIM Summary 31" xfId="10740"/>
    <cellStyle name="_Value Copy 11 30 05 gas 12 09 05 AURORA at 12 14 05_NIM Summary 31 2" xfId="10741"/>
    <cellStyle name="_Value Copy 11 30 05 gas 12 09 05 AURORA at 12 14 05_NIM Summary 32" xfId="10742"/>
    <cellStyle name="_Value Copy 11 30 05 gas 12 09 05 AURORA at 12 14 05_NIM Summary 32 2" xfId="10743"/>
    <cellStyle name="_Value Copy 11 30 05 gas 12 09 05 AURORA at 12 14 05_NIM Summary 33" xfId="10744"/>
    <cellStyle name="_Value Copy 11 30 05 gas 12 09 05 AURORA at 12 14 05_NIM Summary 33 2" xfId="10745"/>
    <cellStyle name="_Value Copy 11 30 05 gas 12 09 05 AURORA at 12 14 05_NIM Summary 34" xfId="10746"/>
    <cellStyle name="_Value Copy 11 30 05 gas 12 09 05 AURORA at 12 14 05_NIM Summary 34 2" xfId="10747"/>
    <cellStyle name="_Value Copy 11 30 05 gas 12 09 05 AURORA at 12 14 05_NIM Summary 35" xfId="10748"/>
    <cellStyle name="_Value Copy 11 30 05 gas 12 09 05 AURORA at 12 14 05_NIM Summary 35 2" xfId="10749"/>
    <cellStyle name="_Value Copy 11 30 05 gas 12 09 05 AURORA at 12 14 05_NIM Summary 36" xfId="10750"/>
    <cellStyle name="_Value Copy 11 30 05 gas 12 09 05 AURORA at 12 14 05_NIM Summary 36 2" xfId="10751"/>
    <cellStyle name="_Value Copy 11 30 05 gas 12 09 05 AURORA at 12 14 05_NIM Summary 37" xfId="10752"/>
    <cellStyle name="_Value Copy 11 30 05 gas 12 09 05 AURORA at 12 14 05_NIM Summary 37 2" xfId="10753"/>
    <cellStyle name="_Value Copy 11 30 05 gas 12 09 05 AURORA at 12 14 05_NIM Summary 38" xfId="10754"/>
    <cellStyle name="_Value Copy 11 30 05 gas 12 09 05 AURORA at 12 14 05_NIM Summary 38 2" xfId="10755"/>
    <cellStyle name="_Value Copy 11 30 05 gas 12 09 05 AURORA at 12 14 05_NIM Summary 39" xfId="10756"/>
    <cellStyle name="_Value Copy 11 30 05 gas 12 09 05 AURORA at 12 14 05_NIM Summary 39 2" xfId="10757"/>
    <cellStyle name="_Value Copy 11 30 05 gas 12 09 05 AURORA at 12 14 05_NIM Summary 4" xfId="10758"/>
    <cellStyle name="_Value Copy 11 30 05 gas 12 09 05 AURORA at 12 14 05_NIM Summary 4 2" xfId="10759"/>
    <cellStyle name="_Value Copy 11 30 05 gas 12 09 05 AURORA at 12 14 05_NIM Summary 40" xfId="10760"/>
    <cellStyle name="_Value Copy 11 30 05 gas 12 09 05 AURORA at 12 14 05_NIM Summary 40 2" xfId="10761"/>
    <cellStyle name="_Value Copy 11 30 05 gas 12 09 05 AURORA at 12 14 05_NIM Summary 41" xfId="10762"/>
    <cellStyle name="_Value Copy 11 30 05 gas 12 09 05 AURORA at 12 14 05_NIM Summary 41 2" xfId="10763"/>
    <cellStyle name="_Value Copy 11 30 05 gas 12 09 05 AURORA at 12 14 05_NIM Summary 42" xfId="10764"/>
    <cellStyle name="_Value Copy 11 30 05 gas 12 09 05 AURORA at 12 14 05_NIM Summary 42 2" xfId="10765"/>
    <cellStyle name="_Value Copy 11 30 05 gas 12 09 05 AURORA at 12 14 05_NIM Summary 43" xfId="10766"/>
    <cellStyle name="_Value Copy 11 30 05 gas 12 09 05 AURORA at 12 14 05_NIM Summary 43 2" xfId="10767"/>
    <cellStyle name="_Value Copy 11 30 05 gas 12 09 05 AURORA at 12 14 05_NIM Summary 44" xfId="10768"/>
    <cellStyle name="_Value Copy 11 30 05 gas 12 09 05 AURORA at 12 14 05_NIM Summary 44 2" xfId="10769"/>
    <cellStyle name="_Value Copy 11 30 05 gas 12 09 05 AURORA at 12 14 05_NIM Summary 45" xfId="10770"/>
    <cellStyle name="_Value Copy 11 30 05 gas 12 09 05 AURORA at 12 14 05_NIM Summary 45 2" xfId="10771"/>
    <cellStyle name="_Value Copy 11 30 05 gas 12 09 05 AURORA at 12 14 05_NIM Summary 46" xfId="10772"/>
    <cellStyle name="_Value Copy 11 30 05 gas 12 09 05 AURORA at 12 14 05_NIM Summary 46 2" xfId="10773"/>
    <cellStyle name="_Value Copy 11 30 05 gas 12 09 05 AURORA at 12 14 05_NIM Summary 47" xfId="10774"/>
    <cellStyle name="_Value Copy 11 30 05 gas 12 09 05 AURORA at 12 14 05_NIM Summary 47 2" xfId="10775"/>
    <cellStyle name="_Value Copy 11 30 05 gas 12 09 05 AURORA at 12 14 05_NIM Summary 48" xfId="10776"/>
    <cellStyle name="_Value Copy 11 30 05 gas 12 09 05 AURORA at 12 14 05_NIM Summary 49" xfId="10777"/>
    <cellStyle name="_Value Copy 11 30 05 gas 12 09 05 AURORA at 12 14 05_NIM Summary 5" xfId="10778"/>
    <cellStyle name="_Value Copy 11 30 05 gas 12 09 05 AURORA at 12 14 05_NIM Summary 5 2" xfId="10779"/>
    <cellStyle name="_Value Copy 11 30 05 gas 12 09 05 AURORA at 12 14 05_NIM Summary 50" xfId="10780"/>
    <cellStyle name="_Value Copy 11 30 05 gas 12 09 05 AURORA at 12 14 05_NIM Summary 51" xfId="10781"/>
    <cellStyle name="_Value Copy 11 30 05 gas 12 09 05 AURORA at 12 14 05_NIM Summary 52" xfId="10782"/>
    <cellStyle name="_Value Copy 11 30 05 gas 12 09 05 AURORA at 12 14 05_NIM Summary 6" xfId="10783"/>
    <cellStyle name="_Value Copy 11 30 05 gas 12 09 05 AURORA at 12 14 05_NIM Summary 6 2" xfId="10784"/>
    <cellStyle name="_Value Copy 11 30 05 gas 12 09 05 AURORA at 12 14 05_NIM Summary 7" xfId="10785"/>
    <cellStyle name="_Value Copy 11 30 05 gas 12 09 05 AURORA at 12 14 05_NIM Summary 7 2" xfId="10786"/>
    <cellStyle name="_Value Copy 11 30 05 gas 12 09 05 AURORA at 12 14 05_NIM Summary 8" xfId="10787"/>
    <cellStyle name="_Value Copy 11 30 05 gas 12 09 05 AURORA at 12 14 05_NIM Summary 8 2" xfId="10788"/>
    <cellStyle name="_Value Copy 11 30 05 gas 12 09 05 AURORA at 12 14 05_NIM Summary 9" xfId="10789"/>
    <cellStyle name="_Value Copy 11 30 05 gas 12 09 05 AURORA at 12 14 05_NIM Summary 9 2" xfId="10790"/>
    <cellStyle name="_Value Copy 11 30 05 gas 12 09 05 AURORA at 12 14 05_NIM Summary_DEM-WP(C) ENERG10C--ctn Mid-C_042010 2010GRC" xfId="10791"/>
    <cellStyle name="_Value Copy 11 30 05 gas 12 09 05 AURORA at 12 14 05_NIM Summary_DEM-WP(C) ENERG10C--ctn Mid-C_042010 2010GRC 2" xfId="10792"/>
    <cellStyle name="_Value Copy 11 30 05 gas 12 09 05 AURORA at 12 14 05_PCA 10 -  Exhibit D Dec 2011" xfId="10793"/>
    <cellStyle name="_Value Copy 11 30 05 gas 12 09 05 AURORA at 12 14 05_PCA 10 -  Exhibit D Dec 2011 2" xfId="10794"/>
    <cellStyle name="_Value Copy 11 30 05 gas 12 09 05 AURORA at 12 14 05_PCA 10 -  Exhibit D from A Kellogg Jan 2011" xfId="10795"/>
    <cellStyle name="_Value Copy 11 30 05 gas 12 09 05 AURORA at 12 14 05_PCA 10 -  Exhibit D from A Kellogg Jan 2011 2" xfId="10796"/>
    <cellStyle name="_Value Copy 11 30 05 gas 12 09 05 AURORA at 12 14 05_PCA 10 -  Exhibit D from A Kellogg July 2011" xfId="10797"/>
    <cellStyle name="_Value Copy 11 30 05 gas 12 09 05 AURORA at 12 14 05_PCA 10 -  Exhibit D from A Kellogg July 2011 2" xfId="10798"/>
    <cellStyle name="_Value Copy 11 30 05 gas 12 09 05 AURORA at 12 14 05_PCA 10 -  Exhibit D from S Free Rcv'd 12-11" xfId="10799"/>
    <cellStyle name="_Value Copy 11 30 05 gas 12 09 05 AURORA at 12 14 05_PCA 10 -  Exhibit D from S Free Rcv'd 12-11 2" xfId="10800"/>
    <cellStyle name="_Value Copy 11 30 05 gas 12 09 05 AURORA at 12 14 05_PCA 11 -  Exhibit D Jan 2012 fr A Kellogg" xfId="10801"/>
    <cellStyle name="_Value Copy 11 30 05 gas 12 09 05 AURORA at 12 14 05_PCA 11 -  Exhibit D Jan 2012 fr A Kellogg 2" xfId="10802"/>
    <cellStyle name="_Value Copy 11 30 05 gas 12 09 05 AURORA at 12 14 05_PCA 11 -  Exhibit D Jan 2012 WF" xfId="10803"/>
    <cellStyle name="_Value Copy 11 30 05 gas 12 09 05 AURORA at 12 14 05_PCA 11 -  Exhibit D Jan 2012 WF 2" xfId="10804"/>
    <cellStyle name="_Value Copy 11 30 05 gas 12 09 05 AURORA at 12 14 05_PCA 7 - Exhibit D update 11_30_08 (2)" xfId="10805"/>
    <cellStyle name="_Value Copy 11 30 05 gas 12 09 05 AURORA at 12 14 05_PCA 7 - Exhibit D update 11_30_08 (2) 2" xfId="10806"/>
    <cellStyle name="_Value Copy 11 30 05 gas 12 09 05 AURORA at 12 14 05_PCA 7 - Exhibit D update 11_30_08 (2) 2 2" xfId="10807"/>
    <cellStyle name="_Value Copy 11 30 05 gas 12 09 05 AURORA at 12 14 05_PCA 7 - Exhibit D update 11_30_08 (2) 2 2 2" xfId="10808"/>
    <cellStyle name="_Value Copy 11 30 05 gas 12 09 05 AURORA at 12 14 05_PCA 7 - Exhibit D update 11_30_08 (2) 2 3" xfId="10809"/>
    <cellStyle name="_Value Copy 11 30 05 gas 12 09 05 AURORA at 12 14 05_PCA 7 - Exhibit D update 11_30_08 (2) 3" xfId="10810"/>
    <cellStyle name="_Value Copy 11 30 05 gas 12 09 05 AURORA at 12 14 05_PCA 7 - Exhibit D update 11_30_08 (2) 3 2" xfId="10811"/>
    <cellStyle name="_Value Copy 11 30 05 gas 12 09 05 AURORA at 12 14 05_PCA 7 - Exhibit D update 11_30_08 (2) 4" xfId="10812"/>
    <cellStyle name="_Value Copy 11 30 05 gas 12 09 05 AURORA at 12 14 05_PCA 7 - Exhibit D update 11_30_08 (2) 4 2" xfId="10813"/>
    <cellStyle name="_Value Copy 11 30 05 gas 12 09 05 AURORA at 12 14 05_PCA 7 - Exhibit D update 11_30_08 (2) 5" xfId="10814"/>
    <cellStyle name="_Value Copy 11 30 05 gas 12 09 05 AURORA at 12 14 05_PCA 7 - Exhibit D update 11_30_08 (2)_DEM-WP(C) ENERG10C--ctn Mid-C_042010 2010GRC" xfId="10815"/>
    <cellStyle name="_Value Copy 11 30 05 gas 12 09 05 AURORA at 12 14 05_PCA 7 - Exhibit D update 11_30_08 (2)_DEM-WP(C) ENERG10C--ctn Mid-C_042010 2010GRC 2" xfId="10816"/>
    <cellStyle name="_Value Copy 11 30 05 gas 12 09 05 AURORA at 12 14 05_PCA 7 - Exhibit D update 11_30_08 (2)_NIM Summary" xfId="10817"/>
    <cellStyle name="_Value Copy 11 30 05 gas 12 09 05 AURORA at 12 14 05_PCA 7 - Exhibit D update 11_30_08 (2)_NIM Summary 2" xfId="10818"/>
    <cellStyle name="_Value Copy 11 30 05 gas 12 09 05 AURORA at 12 14 05_PCA 7 - Exhibit D update 11_30_08 (2)_NIM Summary 2 2" xfId="10819"/>
    <cellStyle name="_Value Copy 11 30 05 gas 12 09 05 AURORA at 12 14 05_PCA 7 - Exhibit D update 11_30_08 (2)_NIM Summary 3" xfId="10820"/>
    <cellStyle name="_Value Copy 11 30 05 gas 12 09 05 AURORA at 12 14 05_PCA 7 - Exhibit D update 11_30_08 (2)_NIM Summary 3 2" xfId="10821"/>
    <cellStyle name="_Value Copy 11 30 05 gas 12 09 05 AURORA at 12 14 05_PCA 7 - Exhibit D update 11_30_08 (2)_NIM Summary 4" xfId="10822"/>
    <cellStyle name="_Value Copy 11 30 05 gas 12 09 05 AURORA at 12 14 05_PCA 7 - Exhibit D update 11_30_08 (2)_NIM Summary_DEM-WP(C) ENERG10C--ctn Mid-C_042010 2010GRC" xfId="10823"/>
    <cellStyle name="_Value Copy 11 30 05 gas 12 09 05 AURORA at 12 14 05_PCA 7 - Exhibit D update 11_30_08 (2)_NIM Summary_DEM-WP(C) ENERG10C--ctn Mid-C_042010 2010GRC 2" xfId="10824"/>
    <cellStyle name="_Value Copy 11 30 05 gas 12 09 05 AURORA at 12 14 05_PCA 8 - Exhibit D update 12_31_09" xfId="10825"/>
    <cellStyle name="_Value Copy 11 30 05 gas 12 09 05 AURORA at 12 14 05_PCA 8 - Exhibit D update 12_31_09 2" xfId="10826"/>
    <cellStyle name="_Value Copy 11 30 05 gas 12 09 05 AURORA at 12 14 05_PCA 8 - Exhibit D update 12_31_09 2 2" xfId="10827"/>
    <cellStyle name="_Value Copy 11 30 05 gas 12 09 05 AURORA at 12 14 05_PCA 8 - Exhibit D update 12_31_09 3" xfId="10828"/>
    <cellStyle name="_Value Copy 11 30 05 gas 12 09 05 AURORA at 12 14 05_PCA 9 -  Exhibit D April 2010" xfId="10829"/>
    <cellStyle name="_Value Copy 11 30 05 gas 12 09 05 AURORA at 12 14 05_PCA 9 -  Exhibit D April 2010 (3)" xfId="10830"/>
    <cellStyle name="_Value Copy 11 30 05 gas 12 09 05 AURORA at 12 14 05_PCA 9 -  Exhibit D April 2010 (3) 2" xfId="10831"/>
    <cellStyle name="_Value Copy 11 30 05 gas 12 09 05 AURORA at 12 14 05_PCA 9 -  Exhibit D April 2010 (3) 2 2" xfId="10832"/>
    <cellStyle name="_Value Copy 11 30 05 gas 12 09 05 AURORA at 12 14 05_PCA 9 -  Exhibit D April 2010 (3) 3" xfId="10833"/>
    <cellStyle name="_Value Copy 11 30 05 gas 12 09 05 AURORA at 12 14 05_PCA 9 -  Exhibit D April 2010 (3) 3 2" xfId="10834"/>
    <cellStyle name="_Value Copy 11 30 05 gas 12 09 05 AURORA at 12 14 05_PCA 9 -  Exhibit D April 2010 (3) 4" xfId="10835"/>
    <cellStyle name="_Value Copy 11 30 05 gas 12 09 05 AURORA at 12 14 05_PCA 9 -  Exhibit D April 2010 (3)_DEM-WP(C) ENERG10C--ctn Mid-C_042010 2010GRC" xfId="10836"/>
    <cellStyle name="_Value Copy 11 30 05 gas 12 09 05 AURORA at 12 14 05_PCA 9 -  Exhibit D April 2010 (3)_DEM-WP(C) ENERG10C--ctn Mid-C_042010 2010GRC 2" xfId="10837"/>
    <cellStyle name="_Value Copy 11 30 05 gas 12 09 05 AURORA at 12 14 05_PCA 9 -  Exhibit D April 2010 2" xfId="10838"/>
    <cellStyle name="_Value Copy 11 30 05 gas 12 09 05 AURORA at 12 14 05_PCA 9 -  Exhibit D April 2010 2 2" xfId="10839"/>
    <cellStyle name="_Value Copy 11 30 05 gas 12 09 05 AURORA at 12 14 05_PCA 9 -  Exhibit D April 2010 3" xfId="10840"/>
    <cellStyle name="_Value Copy 11 30 05 gas 12 09 05 AURORA at 12 14 05_PCA 9 -  Exhibit D April 2010 3 2" xfId="10841"/>
    <cellStyle name="_Value Copy 11 30 05 gas 12 09 05 AURORA at 12 14 05_PCA 9 -  Exhibit D April 2010 4" xfId="10842"/>
    <cellStyle name="_Value Copy 11 30 05 gas 12 09 05 AURORA at 12 14 05_PCA 9 -  Exhibit D April 2010 4 2" xfId="10843"/>
    <cellStyle name="_Value Copy 11 30 05 gas 12 09 05 AURORA at 12 14 05_PCA 9 -  Exhibit D April 2010 5" xfId="10844"/>
    <cellStyle name="_Value Copy 11 30 05 gas 12 09 05 AURORA at 12 14 05_PCA 9 -  Exhibit D April 2010 5 2" xfId="10845"/>
    <cellStyle name="_Value Copy 11 30 05 gas 12 09 05 AURORA at 12 14 05_PCA 9 -  Exhibit D April 2010 6" xfId="10846"/>
    <cellStyle name="_Value Copy 11 30 05 gas 12 09 05 AURORA at 12 14 05_PCA 9 -  Exhibit D April 2010 6 2" xfId="10847"/>
    <cellStyle name="_Value Copy 11 30 05 gas 12 09 05 AURORA at 12 14 05_PCA 9 -  Exhibit D April 2010 7" xfId="10848"/>
    <cellStyle name="_Value Copy 11 30 05 gas 12 09 05 AURORA at 12 14 05_PCA 9 -  Exhibit D Feb 2010" xfId="10849"/>
    <cellStyle name="_Value Copy 11 30 05 gas 12 09 05 AURORA at 12 14 05_PCA 9 -  Exhibit D Feb 2010 2" xfId="10850"/>
    <cellStyle name="_Value Copy 11 30 05 gas 12 09 05 AURORA at 12 14 05_PCA 9 -  Exhibit D Feb 2010 2 2" xfId="10851"/>
    <cellStyle name="_Value Copy 11 30 05 gas 12 09 05 AURORA at 12 14 05_PCA 9 -  Exhibit D Feb 2010 3" xfId="10852"/>
    <cellStyle name="_Value Copy 11 30 05 gas 12 09 05 AURORA at 12 14 05_PCA 9 -  Exhibit D Feb 2010 v2" xfId="10853"/>
    <cellStyle name="_Value Copy 11 30 05 gas 12 09 05 AURORA at 12 14 05_PCA 9 -  Exhibit D Feb 2010 v2 2" xfId="10854"/>
    <cellStyle name="_Value Copy 11 30 05 gas 12 09 05 AURORA at 12 14 05_PCA 9 -  Exhibit D Feb 2010 v2 2 2" xfId="10855"/>
    <cellStyle name="_Value Copy 11 30 05 gas 12 09 05 AURORA at 12 14 05_PCA 9 -  Exhibit D Feb 2010 v2 3" xfId="10856"/>
    <cellStyle name="_Value Copy 11 30 05 gas 12 09 05 AURORA at 12 14 05_PCA 9 -  Exhibit D Feb 2010 WF" xfId="10857"/>
    <cellStyle name="_Value Copy 11 30 05 gas 12 09 05 AURORA at 12 14 05_PCA 9 -  Exhibit D Feb 2010 WF 2" xfId="10858"/>
    <cellStyle name="_Value Copy 11 30 05 gas 12 09 05 AURORA at 12 14 05_PCA 9 -  Exhibit D Feb 2010 WF 2 2" xfId="10859"/>
    <cellStyle name="_Value Copy 11 30 05 gas 12 09 05 AURORA at 12 14 05_PCA 9 -  Exhibit D Feb 2010 WF 3" xfId="10860"/>
    <cellStyle name="_Value Copy 11 30 05 gas 12 09 05 AURORA at 12 14 05_PCA 9 -  Exhibit D Jan 2010" xfId="10861"/>
    <cellStyle name="_Value Copy 11 30 05 gas 12 09 05 AURORA at 12 14 05_PCA 9 -  Exhibit D Jan 2010 2" xfId="10862"/>
    <cellStyle name="_Value Copy 11 30 05 gas 12 09 05 AURORA at 12 14 05_PCA 9 -  Exhibit D Jan 2010 2 2" xfId="10863"/>
    <cellStyle name="_Value Copy 11 30 05 gas 12 09 05 AURORA at 12 14 05_PCA 9 -  Exhibit D Jan 2010 3" xfId="10864"/>
    <cellStyle name="_Value Copy 11 30 05 gas 12 09 05 AURORA at 12 14 05_PCA 9 -  Exhibit D March 2010 (2)" xfId="10865"/>
    <cellStyle name="_Value Copy 11 30 05 gas 12 09 05 AURORA at 12 14 05_PCA 9 -  Exhibit D March 2010 (2) 2" xfId="10866"/>
    <cellStyle name="_Value Copy 11 30 05 gas 12 09 05 AURORA at 12 14 05_PCA 9 -  Exhibit D March 2010 (2) 2 2" xfId="10867"/>
    <cellStyle name="_Value Copy 11 30 05 gas 12 09 05 AURORA at 12 14 05_PCA 9 -  Exhibit D March 2010 (2) 3" xfId="10868"/>
    <cellStyle name="_Value Copy 11 30 05 gas 12 09 05 AURORA at 12 14 05_PCA 9 -  Exhibit D Nov 2010" xfId="10869"/>
    <cellStyle name="_Value Copy 11 30 05 gas 12 09 05 AURORA at 12 14 05_PCA 9 -  Exhibit D Nov 2010 2" xfId="10870"/>
    <cellStyle name="_Value Copy 11 30 05 gas 12 09 05 AURORA at 12 14 05_PCA 9 -  Exhibit D Nov 2010 2 2" xfId="10871"/>
    <cellStyle name="_Value Copy 11 30 05 gas 12 09 05 AURORA at 12 14 05_PCA 9 -  Exhibit D Nov 2010 3" xfId="10872"/>
    <cellStyle name="_Value Copy 11 30 05 gas 12 09 05 AURORA at 12 14 05_PCA 9 - Exhibit D at August 2010" xfId="10873"/>
    <cellStyle name="_Value Copy 11 30 05 gas 12 09 05 AURORA at 12 14 05_PCA 9 - Exhibit D at August 2010 2" xfId="10874"/>
    <cellStyle name="_Value Copy 11 30 05 gas 12 09 05 AURORA at 12 14 05_PCA 9 - Exhibit D at August 2010 2 2" xfId="10875"/>
    <cellStyle name="_Value Copy 11 30 05 gas 12 09 05 AURORA at 12 14 05_PCA 9 - Exhibit D at August 2010 3" xfId="10876"/>
    <cellStyle name="_Value Copy 11 30 05 gas 12 09 05 AURORA at 12 14 05_PCA 9 - Exhibit D June 2010 GRC" xfId="10877"/>
    <cellStyle name="_Value Copy 11 30 05 gas 12 09 05 AURORA at 12 14 05_PCA 9 - Exhibit D June 2010 GRC 2" xfId="10878"/>
    <cellStyle name="_Value Copy 11 30 05 gas 12 09 05 AURORA at 12 14 05_PCA 9 - Exhibit D June 2010 GRC 2 2" xfId="10879"/>
    <cellStyle name="_Value Copy 11 30 05 gas 12 09 05 AURORA at 12 14 05_PCA 9 - Exhibit D June 2010 GRC 3" xfId="10880"/>
    <cellStyle name="_Value Copy 11 30 05 gas 12 09 05 AURORA at 12 14 05_Power Costs - Comparison bx Rbtl-Staff-Jt-PC" xfId="10881"/>
    <cellStyle name="_Value Copy 11 30 05 gas 12 09 05 AURORA at 12 14 05_Power Costs - Comparison bx Rbtl-Staff-Jt-PC 2" xfId="10882"/>
    <cellStyle name="_Value Copy 11 30 05 gas 12 09 05 AURORA at 12 14 05_Power Costs - Comparison bx Rbtl-Staff-Jt-PC 2 2" xfId="10883"/>
    <cellStyle name="_Value Copy 11 30 05 gas 12 09 05 AURORA at 12 14 05_Power Costs - Comparison bx Rbtl-Staff-Jt-PC 3" xfId="10884"/>
    <cellStyle name="_Value Copy 11 30 05 gas 12 09 05 AURORA at 12 14 05_Power Costs - Comparison bx Rbtl-Staff-Jt-PC 3 2" xfId="10885"/>
    <cellStyle name="_Value Copy 11 30 05 gas 12 09 05 AURORA at 12 14 05_Power Costs - Comparison bx Rbtl-Staff-Jt-PC 4" xfId="10886"/>
    <cellStyle name="_Value Copy 11 30 05 gas 12 09 05 AURORA at 12 14 05_Power Costs - Comparison bx Rbtl-Staff-Jt-PC_Adj Bench DR 3 for Initial Briefs (Electric)" xfId="10887"/>
    <cellStyle name="_Value Copy 11 30 05 gas 12 09 05 AURORA at 12 14 05_Power Costs - Comparison bx Rbtl-Staff-Jt-PC_Adj Bench DR 3 for Initial Briefs (Electric) 2" xfId="10888"/>
    <cellStyle name="_Value Copy 11 30 05 gas 12 09 05 AURORA at 12 14 05_Power Costs - Comparison bx Rbtl-Staff-Jt-PC_Adj Bench DR 3 for Initial Briefs (Electric) 2 2" xfId="10889"/>
    <cellStyle name="_Value Copy 11 30 05 gas 12 09 05 AURORA at 12 14 05_Power Costs - Comparison bx Rbtl-Staff-Jt-PC_Adj Bench DR 3 for Initial Briefs (Electric) 3" xfId="10890"/>
    <cellStyle name="_Value Copy 11 30 05 gas 12 09 05 AURORA at 12 14 05_Power Costs - Comparison bx Rbtl-Staff-Jt-PC_Adj Bench DR 3 for Initial Briefs (Electric) 3 2" xfId="10891"/>
    <cellStyle name="_Value Copy 11 30 05 gas 12 09 05 AURORA at 12 14 05_Power Costs - Comparison bx Rbtl-Staff-Jt-PC_Adj Bench DR 3 for Initial Briefs (Electric) 4" xfId="10892"/>
    <cellStyle name="_Value Copy 11 30 05 gas 12 09 05 AURORA at 12 14 05_Power Costs - Comparison bx Rbtl-Staff-Jt-PC_Adj Bench DR 3 for Initial Briefs (Electric)_DEM-WP(C) ENERG10C--ctn Mid-C_042010 2010GRC" xfId="10893"/>
    <cellStyle name="_Value Copy 11 30 05 gas 12 09 05 AURORA at 12 14 05_Power Costs - Comparison bx Rbtl-Staff-Jt-PC_Adj Bench DR 3 for Initial Briefs (Electric)_DEM-WP(C) ENERG10C--ctn Mid-C_042010 2010GRC 2" xfId="10894"/>
    <cellStyle name="_Value Copy 11 30 05 gas 12 09 05 AURORA at 12 14 05_Power Costs - Comparison bx Rbtl-Staff-Jt-PC_DEM-WP(C) ENERG10C--ctn Mid-C_042010 2010GRC" xfId="10895"/>
    <cellStyle name="_Value Copy 11 30 05 gas 12 09 05 AURORA at 12 14 05_Power Costs - Comparison bx Rbtl-Staff-Jt-PC_DEM-WP(C) ENERG10C--ctn Mid-C_042010 2010GRC 2" xfId="10896"/>
    <cellStyle name="_Value Copy 11 30 05 gas 12 09 05 AURORA at 12 14 05_Power Costs - Comparison bx Rbtl-Staff-Jt-PC_Electric Rev Req Model (2009 GRC) Rebuttal" xfId="10897"/>
    <cellStyle name="_Value Copy 11 30 05 gas 12 09 05 AURORA at 12 14 05_Power Costs - Comparison bx Rbtl-Staff-Jt-PC_Electric Rev Req Model (2009 GRC) Rebuttal 2" xfId="10898"/>
    <cellStyle name="_Value Copy 11 30 05 gas 12 09 05 AURORA at 12 14 05_Power Costs - Comparison bx Rbtl-Staff-Jt-PC_Electric Rev Req Model (2009 GRC) Rebuttal 2 2" xfId="10899"/>
    <cellStyle name="_Value Copy 11 30 05 gas 12 09 05 AURORA at 12 14 05_Power Costs - Comparison bx Rbtl-Staff-Jt-PC_Electric Rev Req Model (2009 GRC) Rebuttal 3" xfId="10900"/>
    <cellStyle name="_Value Copy 11 30 05 gas 12 09 05 AURORA at 12 14 05_Power Costs - Comparison bx Rbtl-Staff-Jt-PC_Electric Rev Req Model (2009 GRC) Rebuttal REmoval of New  WH Solar AdjustMI" xfId="10901"/>
    <cellStyle name="_Value Copy 11 30 05 gas 12 09 05 AURORA at 12 14 05_Power Costs - Comparison bx Rbtl-Staff-Jt-PC_Electric Rev Req Model (2009 GRC) Rebuttal REmoval of New  WH Solar AdjustMI 2" xfId="10902"/>
    <cellStyle name="_Value Copy 11 30 05 gas 12 09 05 AURORA at 12 14 05_Power Costs - Comparison bx Rbtl-Staff-Jt-PC_Electric Rev Req Model (2009 GRC) Rebuttal REmoval of New  WH Solar AdjustMI 2 2" xfId="10903"/>
    <cellStyle name="_Value Copy 11 30 05 gas 12 09 05 AURORA at 12 14 05_Power Costs - Comparison bx Rbtl-Staff-Jt-PC_Electric Rev Req Model (2009 GRC) Rebuttal REmoval of New  WH Solar AdjustMI 3" xfId="10904"/>
    <cellStyle name="_Value Copy 11 30 05 gas 12 09 05 AURORA at 12 14 05_Power Costs - Comparison bx Rbtl-Staff-Jt-PC_Electric Rev Req Model (2009 GRC) Rebuttal REmoval of New  WH Solar AdjustMI 3 2" xfId="10905"/>
    <cellStyle name="_Value Copy 11 30 05 gas 12 09 05 AURORA at 12 14 05_Power Costs - Comparison bx Rbtl-Staff-Jt-PC_Electric Rev Req Model (2009 GRC) Rebuttal REmoval of New  WH Solar AdjustMI 4" xfId="10906"/>
    <cellStyle name="_Value Copy 11 30 05 gas 12 09 05 AURORA at 12 14 05_Power Costs - Comparison bx Rbtl-Staff-Jt-PC_Electric Rev Req Model (2009 GRC) Rebuttal REmoval of New  WH Solar AdjustMI_DEM-WP(C) ENERG10C--ctn Mid-C_042010 2010GRC" xfId="10907"/>
    <cellStyle name="_Value Copy 11 30 05 gas 12 09 05 AURORA at 12 14 05_Power Costs - Comparison bx Rbtl-Staff-Jt-PC_Electric Rev Req Model (2009 GRC) Rebuttal REmoval of New  WH Solar AdjustMI_DEM-WP(C) ENERG10C--ctn Mid-C_042010 2010GRC 2" xfId="10908"/>
    <cellStyle name="_Value Copy 11 30 05 gas 12 09 05 AURORA at 12 14 05_Power Costs - Comparison bx Rbtl-Staff-Jt-PC_Electric Rev Req Model (2009 GRC) Revised 01-18-2010" xfId="10909"/>
    <cellStyle name="_Value Copy 11 30 05 gas 12 09 05 AURORA at 12 14 05_Power Costs - Comparison bx Rbtl-Staff-Jt-PC_Electric Rev Req Model (2009 GRC) Revised 01-18-2010 2" xfId="10910"/>
    <cellStyle name="_Value Copy 11 30 05 gas 12 09 05 AURORA at 12 14 05_Power Costs - Comparison bx Rbtl-Staff-Jt-PC_Electric Rev Req Model (2009 GRC) Revised 01-18-2010 2 2" xfId="10911"/>
    <cellStyle name="_Value Copy 11 30 05 gas 12 09 05 AURORA at 12 14 05_Power Costs - Comparison bx Rbtl-Staff-Jt-PC_Electric Rev Req Model (2009 GRC) Revised 01-18-2010 3" xfId="10912"/>
    <cellStyle name="_Value Copy 11 30 05 gas 12 09 05 AURORA at 12 14 05_Power Costs - Comparison bx Rbtl-Staff-Jt-PC_Electric Rev Req Model (2009 GRC) Revised 01-18-2010 3 2" xfId="10913"/>
    <cellStyle name="_Value Copy 11 30 05 gas 12 09 05 AURORA at 12 14 05_Power Costs - Comparison bx Rbtl-Staff-Jt-PC_Electric Rev Req Model (2009 GRC) Revised 01-18-2010 4" xfId="10914"/>
    <cellStyle name="_Value Copy 11 30 05 gas 12 09 05 AURORA at 12 14 05_Power Costs - Comparison bx Rbtl-Staff-Jt-PC_Electric Rev Req Model (2009 GRC) Revised 01-18-2010_DEM-WP(C) ENERG10C--ctn Mid-C_042010 2010GRC" xfId="10915"/>
    <cellStyle name="_Value Copy 11 30 05 gas 12 09 05 AURORA at 12 14 05_Power Costs - Comparison bx Rbtl-Staff-Jt-PC_Electric Rev Req Model (2009 GRC) Revised 01-18-2010_DEM-WP(C) ENERG10C--ctn Mid-C_042010 2010GRC 2" xfId="10916"/>
    <cellStyle name="_Value Copy 11 30 05 gas 12 09 05 AURORA at 12 14 05_Power Costs - Comparison bx Rbtl-Staff-Jt-PC_Final Order Electric EXHIBIT A-1" xfId="10917"/>
    <cellStyle name="_Value Copy 11 30 05 gas 12 09 05 AURORA at 12 14 05_Power Costs - Comparison bx Rbtl-Staff-Jt-PC_Final Order Electric EXHIBIT A-1 2" xfId="10918"/>
    <cellStyle name="_Value Copy 11 30 05 gas 12 09 05 AURORA at 12 14 05_Power Costs - Comparison bx Rbtl-Staff-Jt-PC_Final Order Electric EXHIBIT A-1 2 2" xfId="10919"/>
    <cellStyle name="_Value Copy 11 30 05 gas 12 09 05 AURORA at 12 14 05_Power Costs - Comparison bx Rbtl-Staff-Jt-PC_Final Order Electric EXHIBIT A-1 3" xfId="10920"/>
    <cellStyle name="_Value Copy 11 30 05 gas 12 09 05 AURORA at 12 14 05_Production Adj 4.37" xfId="21280"/>
    <cellStyle name="_Value Copy 11 30 05 gas 12 09 05 AURORA at 12 14 05_Purchased Power Adj 4.03" xfId="21281"/>
    <cellStyle name="_Value Copy 11 30 05 gas 12 09 05 AURORA at 12 14 05_Rebuttal Power Costs" xfId="10921"/>
    <cellStyle name="_Value Copy 11 30 05 gas 12 09 05 AURORA at 12 14 05_Rebuttal Power Costs 2" xfId="10922"/>
    <cellStyle name="_Value Copy 11 30 05 gas 12 09 05 AURORA at 12 14 05_Rebuttal Power Costs 2 2" xfId="10923"/>
    <cellStyle name="_Value Copy 11 30 05 gas 12 09 05 AURORA at 12 14 05_Rebuttal Power Costs 3" xfId="10924"/>
    <cellStyle name="_Value Copy 11 30 05 gas 12 09 05 AURORA at 12 14 05_Rebuttal Power Costs 3 2" xfId="10925"/>
    <cellStyle name="_Value Copy 11 30 05 gas 12 09 05 AURORA at 12 14 05_Rebuttal Power Costs 4" xfId="10926"/>
    <cellStyle name="_Value Copy 11 30 05 gas 12 09 05 AURORA at 12 14 05_Rebuttal Power Costs_Adj Bench DR 3 for Initial Briefs (Electric)" xfId="10927"/>
    <cellStyle name="_Value Copy 11 30 05 gas 12 09 05 AURORA at 12 14 05_Rebuttal Power Costs_Adj Bench DR 3 for Initial Briefs (Electric) 2" xfId="10928"/>
    <cellStyle name="_Value Copy 11 30 05 gas 12 09 05 AURORA at 12 14 05_Rebuttal Power Costs_Adj Bench DR 3 for Initial Briefs (Electric) 2 2" xfId="10929"/>
    <cellStyle name="_Value Copy 11 30 05 gas 12 09 05 AURORA at 12 14 05_Rebuttal Power Costs_Adj Bench DR 3 for Initial Briefs (Electric) 3" xfId="10930"/>
    <cellStyle name="_Value Copy 11 30 05 gas 12 09 05 AURORA at 12 14 05_Rebuttal Power Costs_Adj Bench DR 3 for Initial Briefs (Electric) 3 2" xfId="10931"/>
    <cellStyle name="_Value Copy 11 30 05 gas 12 09 05 AURORA at 12 14 05_Rebuttal Power Costs_Adj Bench DR 3 for Initial Briefs (Electric) 4" xfId="10932"/>
    <cellStyle name="_Value Copy 11 30 05 gas 12 09 05 AURORA at 12 14 05_Rebuttal Power Costs_Adj Bench DR 3 for Initial Briefs (Electric)_DEM-WP(C) ENERG10C--ctn Mid-C_042010 2010GRC" xfId="10933"/>
    <cellStyle name="_Value Copy 11 30 05 gas 12 09 05 AURORA at 12 14 05_Rebuttal Power Costs_Adj Bench DR 3 for Initial Briefs (Electric)_DEM-WP(C) ENERG10C--ctn Mid-C_042010 2010GRC 2" xfId="10934"/>
    <cellStyle name="_Value Copy 11 30 05 gas 12 09 05 AURORA at 12 14 05_Rebuttal Power Costs_DEM-WP(C) ENERG10C--ctn Mid-C_042010 2010GRC" xfId="10935"/>
    <cellStyle name="_Value Copy 11 30 05 gas 12 09 05 AURORA at 12 14 05_Rebuttal Power Costs_DEM-WP(C) ENERG10C--ctn Mid-C_042010 2010GRC 2" xfId="10936"/>
    <cellStyle name="_Value Copy 11 30 05 gas 12 09 05 AURORA at 12 14 05_Rebuttal Power Costs_Electric Rev Req Model (2009 GRC) Rebuttal" xfId="10937"/>
    <cellStyle name="_Value Copy 11 30 05 gas 12 09 05 AURORA at 12 14 05_Rebuttal Power Costs_Electric Rev Req Model (2009 GRC) Rebuttal 2" xfId="10938"/>
    <cellStyle name="_Value Copy 11 30 05 gas 12 09 05 AURORA at 12 14 05_Rebuttal Power Costs_Electric Rev Req Model (2009 GRC) Rebuttal 2 2" xfId="10939"/>
    <cellStyle name="_Value Copy 11 30 05 gas 12 09 05 AURORA at 12 14 05_Rebuttal Power Costs_Electric Rev Req Model (2009 GRC) Rebuttal 3" xfId="10940"/>
    <cellStyle name="_Value Copy 11 30 05 gas 12 09 05 AURORA at 12 14 05_Rebuttal Power Costs_Electric Rev Req Model (2009 GRC) Rebuttal REmoval of New  WH Solar AdjustMI" xfId="10941"/>
    <cellStyle name="_Value Copy 11 30 05 gas 12 09 05 AURORA at 12 14 05_Rebuttal Power Costs_Electric Rev Req Model (2009 GRC) Rebuttal REmoval of New  WH Solar AdjustMI 2" xfId="10942"/>
    <cellStyle name="_Value Copy 11 30 05 gas 12 09 05 AURORA at 12 14 05_Rebuttal Power Costs_Electric Rev Req Model (2009 GRC) Rebuttal REmoval of New  WH Solar AdjustMI 2 2" xfId="10943"/>
    <cellStyle name="_Value Copy 11 30 05 gas 12 09 05 AURORA at 12 14 05_Rebuttal Power Costs_Electric Rev Req Model (2009 GRC) Rebuttal REmoval of New  WH Solar AdjustMI 3" xfId="10944"/>
    <cellStyle name="_Value Copy 11 30 05 gas 12 09 05 AURORA at 12 14 05_Rebuttal Power Costs_Electric Rev Req Model (2009 GRC) Rebuttal REmoval of New  WH Solar AdjustMI 3 2" xfId="10945"/>
    <cellStyle name="_Value Copy 11 30 05 gas 12 09 05 AURORA at 12 14 05_Rebuttal Power Costs_Electric Rev Req Model (2009 GRC) Rebuttal REmoval of New  WH Solar AdjustMI 4" xfId="10946"/>
    <cellStyle name="_Value Copy 11 30 05 gas 12 09 05 AURORA at 12 14 05_Rebuttal Power Costs_Electric Rev Req Model (2009 GRC) Rebuttal REmoval of New  WH Solar AdjustMI_DEM-WP(C) ENERG10C--ctn Mid-C_042010 2010GRC" xfId="10947"/>
    <cellStyle name="_Value Copy 11 30 05 gas 12 09 05 AURORA at 12 14 05_Rebuttal Power Costs_Electric Rev Req Model (2009 GRC) Rebuttal REmoval of New  WH Solar AdjustMI_DEM-WP(C) ENERG10C--ctn Mid-C_042010 2010GRC 2" xfId="10948"/>
    <cellStyle name="_Value Copy 11 30 05 gas 12 09 05 AURORA at 12 14 05_Rebuttal Power Costs_Electric Rev Req Model (2009 GRC) Revised 01-18-2010" xfId="10949"/>
    <cellStyle name="_Value Copy 11 30 05 gas 12 09 05 AURORA at 12 14 05_Rebuttal Power Costs_Electric Rev Req Model (2009 GRC) Revised 01-18-2010 2" xfId="10950"/>
    <cellStyle name="_Value Copy 11 30 05 gas 12 09 05 AURORA at 12 14 05_Rebuttal Power Costs_Electric Rev Req Model (2009 GRC) Revised 01-18-2010 2 2" xfId="10951"/>
    <cellStyle name="_Value Copy 11 30 05 gas 12 09 05 AURORA at 12 14 05_Rebuttal Power Costs_Electric Rev Req Model (2009 GRC) Revised 01-18-2010 3" xfId="10952"/>
    <cellStyle name="_Value Copy 11 30 05 gas 12 09 05 AURORA at 12 14 05_Rebuttal Power Costs_Electric Rev Req Model (2009 GRC) Revised 01-18-2010 3 2" xfId="10953"/>
    <cellStyle name="_Value Copy 11 30 05 gas 12 09 05 AURORA at 12 14 05_Rebuttal Power Costs_Electric Rev Req Model (2009 GRC) Revised 01-18-2010 4" xfId="10954"/>
    <cellStyle name="_Value Copy 11 30 05 gas 12 09 05 AURORA at 12 14 05_Rebuttal Power Costs_Electric Rev Req Model (2009 GRC) Revised 01-18-2010_DEM-WP(C) ENERG10C--ctn Mid-C_042010 2010GRC" xfId="10955"/>
    <cellStyle name="_Value Copy 11 30 05 gas 12 09 05 AURORA at 12 14 05_Rebuttal Power Costs_Electric Rev Req Model (2009 GRC) Revised 01-18-2010_DEM-WP(C) ENERG10C--ctn Mid-C_042010 2010GRC 2" xfId="10956"/>
    <cellStyle name="_Value Copy 11 30 05 gas 12 09 05 AURORA at 12 14 05_Rebuttal Power Costs_Final Order Electric EXHIBIT A-1" xfId="10957"/>
    <cellStyle name="_Value Copy 11 30 05 gas 12 09 05 AURORA at 12 14 05_Rebuttal Power Costs_Final Order Electric EXHIBIT A-1 2" xfId="10958"/>
    <cellStyle name="_Value Copy 11 30 05 gas 12 09 05 AURORA at 12 14 05_Rebuttal Power Costs_Final Order Electric EXHIBIT A-1 2 2" xfId="10959"/>
    <cellStyle name="_Value Copy 11 30 05 gas 12 09 05 AURORA at 12 14 05_Rebuttal Power Costs_Final Order Electric EXHIBIT A-1 3" xfId="10960"/>
    <cellStyle name="_Value Copy 11 30 05 gas 12 09 05 AURORA at 12 14 05_ROR 5.02" xfId="21282"/>
    <cellStyle name="_Value Copy 11 30 05 gas 12 09 05 AURORA at 12 14 05_Sch 40 Interim Energy Rates " xfId="18250"/>
    <cellStyle name="_Value Copy 11 30 05 gas 12 09 05 AURORA at 12 14 05_Transmission Workbook for May BOD" xfId="10961"/>
    <cellStyle name="_Value Copy 11 30 05 gas 12 09 05 AURORA at 12 14 05_Transmission Workbook for May BOD 2" xfId="10962"/>
    <cellStyle name="_Value Copy 11 30 05 gas 12 09 05 AURORA at 12 14 05_Transmission Workbook for May BOD 2 2" xfId="10963"/>
    <cellStyle name="_Value Copy 11 30 05 gas 12 09 05 AURORA at 12 14 05_Transmission Workbook for May BOD 3" xfId="10964"/>
    <cellStyle name="_Value Copy 11 30 05 gas 12 09 05 AURORA at 12 14 05_Transmission Workbook for May BOD 3 2" xfId="10965"/>
    <cellStyle name="_Value Copy 11 30 05 gas 12 09 05 AURORA at 12 14 05_Transmission Workbook for May BOD 4" xfId="10966"/>
    <cellStyle name="_Value Copy 11 30 05 gas 12 09 05 AURORA at 12 14 05_Transmission Workbook for May BOD_DEM-WP(C) ENERG10C--ctn Mid-C_042010 2010GRC" xfId="10967"/>
    <cellStyle name="_Value Copy 11 30 05 gas 12 09 05 AURORA at 12 14 05_Transmission Workbook for May BOD_DEM-WP(C) ENERG10C--ctn Mid-C_042010 2010GRC 2" xfId="10968"/>
    <cellStyle name="_Value Copy 11 30 05 gas 12 09 05 AURORA at 12 14 05_Wind Integration 10GRC" xfId="10969"/>
    <cellStyle name="_Value Copy 11 30 05 gas 12 09 05 AURORA at 12 14 05_Wind Integration 10GRC 2" xfId="10970"/>
    <cellStyle name="_Value Copy 11 30 05 gas 12 09 05 AURORA at 12 14 05_Wind Integration 10GRC 2 2" xfId="10971"/>
    <cellStyle name="_Value Copy 11 30 05 gas 12 09 05 AURORA at 12 14 05_Wind Integration 10GRC 3" xfId="10972"/>
    <cellStyle name="_Value Copy 11 30 05 gas 12 09 05 AURORA at 12 14 05_Wind Integration 10GRC 3 2" xfId="10973"/>
    <cellStyle name="_Value Copy 11 30 05 gas 12 09 05 AURORA at 12 14 05_Wind Integration 10GRC 4" xfId="10974"/>
    <cellStyle name="_Value Copy 11 30 05 gas 12 09 05 AURORA at 12 14 05_Wind Integration 10GRC_DEM-WP(C) ENERG10C--ctn Mid-C_042010 2010GRC" xfId="10975"/>
    <cellStyle name="_Value Copy 11 30 05 gas 12 09 05 AURORA at 12 14 05_Wind Integration 10GRC_DEM-WP(C) ENERG10C--ctn Mid-C_042010 2010GRC 2" xfId="10976"/>
    <cellStyle name="_VC 2007GRC PC 10312007" xfId="10977"/>
    <cellStyle name="_VC 2007GRC PC 10312007 2" xfId="10978"/>
    <cellStyle name="_VC 6.15.06 update on 06GRC power costs.xls Chart 1" xfId="10979"/>
    <cellStyle name="_VC 6.15.06 update on 06GRC power costs.xls Chart 1 2" xfId="10980"/>
    <cellStyle name="_VC 6.15.06 update on 06GRC power costs.xls Chart 1 2 2" xfId="10981"/>
    <cellStyle name="_VC 6.15.06 update on 06GRC power costs.xls Chart 1 2 2 2" xfId="10982"/>
    <cellStyle name="_VC 6.15.06 update on 06GRC power costs.xls Chart 1 2 3" xfId="10983"/>
    <cellStyle name="_VC 6.15.06 update on 06GRC power costs.xls Chart 1 2 3 2" xfId="10984"/>
    <cellStyle name="_VC 6.15.06 update on 06GRC power costs.xls Chart 1 2 4" xfId="10985"/>
    <cellStyle name="_VC 6.15.06 update on 06GRC power costs.xls Chart 1 3" xfId="10986"/>
    <cellStyle name="_VC 6.15.06 update on 06GRC power costs.xls Chart 1 3 2" xfId="10987"/>
    <cellStyle name="_VC 6.15.06 update on 06GRC power costs.xls Chart 1 4" xfId="10988"/>
    <cellStyle name="_VC 6.15.06 update on 06GRC power costs.xls Chart 1 4 2" xfId="10989"/>
    <cellStyle name="_VC 6.15.06 update on 06GRC power costs.xls Chart 1 4 2 2" xfId="10990"/>
    <cellStyle name="_VC 6.15.06 update on 06GRC power costs.xls Chart 1 4 3" xfId="10991"/>
    <cellStyle name="_VC 6.15.06 update on 06GRC power costs.xls Chart 1 5" xfId="10992"/>
    <cellStyle name="_VC 6.15.06 update on 06GRC power costs.xls Chart 1 5 2" xfId="10993"/>
    <cellStyle name="_VC 6.15.06 update on 06GRC power costs.xls Chart 1 6" xfId="10994"/>
    <cellStyle name="_VC 6.15.06 update on 06GRC power costs.xls Chart 1 6 2" xfId="10995"/>
    <cellStyle name="_VC 6.15.06 update on 06GRC power costs.xls Chart 1 6 2 2" xfId="10996"/>
    <cellStyle name="_VC 6.15.06 update on 06GRC power costs.xls Chart 1 6 3" xfId="10997"/>
    <cellStyle name="_VC 6.15.06 update on 06GRC power costs.xls Chart 1 7" xfId="10998"/>
    <cellStyle name="_VC 6.15.06 update on 06GRC power costs.xls Chart 1 7 2" xfId="10999"/>
    <cellStyle name="_VC 6.15.06 update on 06GRC power costs.xls Chart 1 7 2 2" xfId="11000"/>
    <cellStyle name="_VC 6.15.06 update on 06GRC power costs.xls Chart 1 7 3" xfId="11001"/>
    <cellStyle name="_VC 6.15.06 update on 06GRC power costs.xls Chart 1 8" xfId="11002"/>
    <cellStyle name="_VC 6.15.06 update on 06GRC power costs.xls Chart 1_04 07E Wild Horse Wind Expansion (C) (2)" xfId="11003"/>
    <cellStyle name="_VC 6.15.06 update on 06GRC power costs.xls Chart 1_04 07E Wild Horse Wind Expansion (C) (2) 2" xfId="11004"/>
    <cellStyle name="_VC 6.15.06 update on 06GRC power costs.xls Chart 1_04 07E Wild Horse Wind Expansion (C) (2) 2 2" xfId="11005"/>
    <cellStyle name="_VC 6.15.06 update on 06GRC power costs.xls Chart 1_04 07E Wild Horse Wind Expansion (C) (2) 3" xfId="11006"/>
    <cellStyle name="_VC 6.15.06 update on 06GRC power costs.xls Chart 1_04 07E Wild Horse Wind Expansion (C) (2) 3 2" xfId="11007"/>
    <cellStyle name="_VC 6.15.06 update on 06GRC power costs.xls Chart 1_04 07E Wild Horse Wind Expansion (C) (2) 4" xfId="11008"/>
    <cellStyle name="_VC 6.15.06 update on 06GRC power costs.xls Chart 1_04 07E Wild Horse Wind Expansion (C) (2)_Adj Bench DR 3 for Initial Briefs (Electric)" xfId="11009"/>
    <cellStyle name="_VC 6.15.06 update on 06GRC power costs.xls Chart 1_04 07E Wild Horse Wind Expansion (C) (2)_Adj Bench DR 3 for Initial Briefs (Electric) 2" xfId="11010"/>
    <cellStyle name="_VC 6.15.06 update on 06GRC power costs.xls Chart 1_04 07E Wild Horse Wind Expansion (C) (2)_Adj Bench DR 3 for Initial Briefs (Electric) 2 2" xfId="11011"/>
    <cellStyle name="_VC 6.15.06 update on 06GRC power costs.xls Chart 1_04 07E Wild Horse Wind Expansion (C) (2)_Adj Bench DR 3 for Initial Briefs (Electric) 3" xfId="11012"/>
    <cellStyle name="_VC 6.15.06 update on 06GRC power costs.xls Chart 1_04 07E Wild Horse Wind Expansion (C) (2)_Adj Bench DR 3 for Initial Briefs (Electric) 3 2" xfId="11013"/>
    <cellStyle name="_VC 6.15.06 update on 06GRC power costs.xls Chart 1_04 07E Wild Horse Wind Expansion (C) (2)_Adj Bench DR 3 for Initial Briefs (Electric) 4" xfId="11014"/>
    <cellStyle name="_VC 6.15.06 update on 06GRC power costs.xls Chart 1_04 07E Wild Horse Wind Expansion (C) (2)_Adj Bench DR 3 for Initial Briefs (Electric)_DEM-WP(C) ENERG10C--ctn Mid-C_042010 2010GRC" xfId="11015"/>
    <cellStyle name="_VC 6.15.06 update on 06GRC power costs.xls Chart 1_04 07E Wild Horse Wind Expansion (C) (2)_Adj Bench DR 3 for Initial Briefs (Electric)_DEM-WP(C) ENERG10C--ctn Mid-C_042010 2010GRC 2" xfId="11016"/>
    <cellStyle name="_VC 6.15.06 update on 06GRC power costs.xls Chart 1_04 07E Wild Horse Wind Expansion (C) (2)_Book1" xfId="11017"/>
    <cellStyle name="_VC 6.15.06 update on 06GRC power costs.xls Chart 1_04 07E Wild Horse Wind Expansion (C) (2)_Book1 2" xfId="11018"/>
    <cellStyle name="_VC 6.15.06 update on 06GRC power costs.xls Chart 1_04 07E Wild Horse Wind Expansion (C) (2)_DEM-WP(C) ENERG10C--ctn Mid-C_042010 2010GRC" xfId="11019"/>
    <cellStyle name="_VC 6.15.06 update on 06GRC power costs.xls Chart 1_04 07E Wild Horse Wind Expansion (C) (2)_DEM-WP(C) ENERG10C--ctn Mid-C_042010 2010GRC 2" xfId="11020"/>
    <cellStyle name="_VC 6.15.06 update on 06GRC power costs.xls Chart 1_04 07E Wild Horse Wind Expansion (C) (2)_Electric Rev Req Model (2009 GRC) " xfId="11021"/>
    <cellStyle name="_VC 6.15.06 update on 06GRC power costs.xls Chart 1_04 07E Wild Horse Wind Expansion (C) (2)_Electric Rev Req Model (2009 GRC)  2" xfId="11022"/>
    <cellStyle name="_VC 6.15.06 update on 06GRC power costs.xls Chart 1_04 07E Wild Horse Wind Expansion (C) (2)_Electric Rev Req Model (2009 GRC)  2 2" xfId="11023"/>
    <cellStyle name="_VC 6.15.06 update on 06GRC power costs.xls Chart 1_04 07E Wild Horse Wind Expansion (C) (2)_Electric Rev Req Model (2009 GRC)  3" xfId="11024"/>
    <cellStyle name="_VC 6.15.06 update on 06GRC power costs.xls Chart 1_04 07E Wild Horse Wind Expansion (C) (2)_Electric Rev Req Model (2009 GRC)  3 2" xfId="11025"/>
    <cellStyle name="_VC 6.15.06 update on 06GRC power costs.xls Chart 1_04 07E Wild Horse Wind Expansion (C) (2)_Electric Rev Req Model (2009 GRC)  4" xfId="11026"/>
    <cellStyle name="_VC 6.15.06 update on 06GRC power costs.xls Chart 1_04 07E Wild Horse Wind Expansion (C) (2)_Electric Rev Req Model (2009 GRC) _DEM-WP(C) ENERG10C--ctn Mid-C_042010 2010GRC" xfId="11027"/>
    <cellStyle name="_VC 6.15.06 update on 06GRC power costs.xls Chart 1_04 07E Wild Horse Wind Expansion (C) (2)_Electric Rev Req Model (2009 GRC) _DEM-WP(C) ENERG10C--ctn Mid-C_042010 2010GRC 2" xfId="11028"/>
    <cellStyle name="_VC 6.15.06 update on 06GRC power costs.xls Chart 1_04 07E Wild Horse Wind Expansion (C) (2)_Electric Rev Req Model (2009 GRC) Rebuttal" xfId="11029"/>
    <cellStyle name="_VC 6.15.06 update on 06GRC power costs.xls Chart 1_04 07E Wild Horse Wind Expansion (C) (2)_Electric Rev Req Model (2009 GRC) Rebuttal 2" xfId="11030"/>
    <cellStyle name="_VC 6.15.06 update on 06GRC power costs.xls Chart 1_04 07E Wild Horse Wind Expansion (C) (2)_Electric Rev Req Model (2009 GRC) Rebuttal 2 2" xfId="11031"/>
    <cellStyle name="_VC 6.15.06 update on 06GRC power costs.xls Chart 1_04 07E Wild Horse Wind Expansion (C) (2)_Electric Rev Req Model (2009 GRC) Rebuttal 3" xfId="11032"/>
    <cellStyle name="_VC 6.15.06 update on 06GRC power costs.xls Chart 1_04 07E Wild Horse Wind Expansion (C) (2)_Electric Rev Req Model (2009 GRC) Rebuttal REmoval of New  WH Solar AdjustMI" xfId="11033"/>
    <cellStyle name="_VC 6.15.06 update on 06GRC power costs.xls Chart 1_04 07E Wild Horse Wind Expansion (C) (2)_Electric Rev Req Model (2009 GRC) Rebuttal REmoval of New  WH Solar AdjustMI 2" xfId="11034"/>
    <cellStyle name="_VC 6.15.06 update on 06GRC power costs.xls Chart 1_04 07E Wild Horse Wind Expansion (C) (2)_Electric Rev Req Model (2009 GRC) Rebuttal REmoval of New  WH Solar AdjustMI 2 2" xfId="11035"/>
    <cellStyle name="_VC 6.15.06 update on 06GRC power costs.xls Chart 1_04 07E Wild Horse Wind Expansion (C) (2)_Electric Rev Req Model (2009 GRC) Rebuttal REmoval of New  WH Solar AdjustMI 3" xfId="11036"/>
    <cellStyle name="_VC 6.15.06 update on 06GRC power costs.xls Chart 1_04 07E Wild Horse Wind Expansion (C) (2)_Electric Rev Req Model (2009 GRC) Rebuttal REmoval of New  WH Solar AdjustMI 3 2" xfId="11037"/>
    <cellStyle name="_VC 6.15.06 update on 06GRC power costs.xls Chart 1_04 07E Wild Horse Wind Expansion (C) (2)_Electric Rev Req Model (2009 GRC) Rebuttal REmoval of New  WH Solar AdjustMI 4" xfId="11038"/>
    <cellStyle name="_VC 6.15.06 update on 06GRC power costs.xls Chart 1_04 07E Wild Horse Wind Expansion (C) (2)_Electric Rev Req Model (2009 GRC) Rebuttal REmoval of New  WH Solar AdjustMI_DEM-WP(C) ENERG10C--ctn Mid-C_042010 2010GRC" xfId="11039"/>
    <cellStyle name="_VC 6.15.06 update on 06GRC power costs.xls Chart 1_04 07E Wild Horse Wind Expansion (C) (2)_Electric Rev Req Model (2009 GRC) Rebuttal REmoval of New  WH Solar AdjustMI_DEM-WP(C) ENERG10C--ctn Mid-C_042010 2010GRC 2" xfId="11040"/>
    <cellStyle name="_VC 6.15.06 update on 06GRC power costs.xls Chart 1_04 07E Wild Horse Wind Expansion (C) (2)_Electric Rev Req Model (2009 GRC) Revised 01-18-2010" xfId="11041"/>
    <cellStyle name="_VC 6.15.06 update on 06GRC power costs.xls Chart 1_04 07E Wild Horse Wind Expansion (C) (2)_Electric Rev Req Model (2009 GRC) Revised 01-18-2010 2" xfId="11042"/>
    <cellStyle name="_VC 6.15.06 update on 06GRC power costs.xls Chart 1_04 07E Wild Horse Wind Expansion (C) (2)_Electric Rev Req Model (2009 GRC) Revised 01-18-2010 2 2" xfId="11043"/>
    <cellStyle name="_VC 6.15.06 update on 06GRC power costs.xls Chart 1_04 07E Wild Horse Wind Expansion (C) (2)_Electric Rev Req Model (2009 GRC) Revised 01-18-2010 3" xfId="11044"/>
    <cellStyle name="_VC 6.15.06 update on 06GRC power costs.xls Chart 1_04 07E Wild Horse Wind Expansion (C) (2)_Electric Rev Req Model (2009 GRC) Revised 01-18-2010 3 2" xfId="11045"/>
    <cellStyle name="_VC 6.15.06 update on 06GRC power costs.xls Chart 1_04 07E Wild Horse Wind Expansion (C) (2)_Electric Rev Req Model (2009 GRC) Revised 01-18-2010 4" xfId="11046"/>
    <cellStyle name="_VC 6.15.06 update on 06GRC power costs.xls Chart 1_04 07E Wild Horse Wind Expansion (C) (2)_Electric Rev Req Model (2009 GRC) Revised 01-18-2010_DEM-WP(C) ENERG10C--ctn Mid-C_042010 2010GRC" xfId="11047"/>
    <cellStyle name="_VC 6.15.06 update on 06GRC power costs.xls Chart 1_04 07E Wild Horse Wind Expansion (C) (2)_Electric Rev Req Model (2009 GRC) Revised 01-18-2010_DEM-WP(C) ENERG10C--ctn Mid-C_042010 2010GRC 2" xfId="11048"/>
    <cellStyle name="_VC 6.15.06 update on 06GRC power costs.xls Chart 1_04 07E Wild Horse Wind Expansion (C) (2)_Electric Rev Req Model (2010 GRC)" xfId="11049"/>
    <cellStyle name="_VC 6.15.06 update on 06GRC power costs.xls Chart 1_04 07E Wild Horse Wind Expansion (C) (2)_Electric Rev Req Model (2010 GRC) 2" xfId="11050"/>
    <cellStyle name="_VC 6.15.06 update on 06GRC power costs.xls Chart 1_04 07E Wild Horse Wind Expansion (C) (2)_Electric Rev Req Model (2010 GRC) SF" xfId="11051"/>
    <cellStyle name="_VC 6.15.06 update on 06GRC power costs.xls Chart 1_04 07E Wild Horse Wind Expansion (C) (2)_Electric Rev Req Model (2010 GRC) SF 2" xfId="11052"/>
    <cellStyle name="_VC 6.15.06 update on 06GRC power costs.xls Chart 1_04 07E Wild Horse Wind Expansion (C) (2)_Final Order Electric EXHIBIT A-1" xfId="11053"/>
    <cellStyle name="_VC 6.15.06 update on 06GRC power costs.xls Chart 1_04 07E Wild Horse Wind Expansion (C) (2)_Final Order Electric EXHIBIT A-1 2" xfId="11054"/>
    <cellStyle name="_VC 6.15.06 update on 06GRC power costs.xls Chart 1_04 07E Wild Horse Wind Expansion (C) (2)_Final Order Electric EXHIBIT A-1 2 2" xfId="11055"/>
    <cellStyle name="_VC 6.15.06 update on 06GRC power costs.xls Chart 1_04 07E Wild Horse Wind Expansion (C) (2)_Final Order Electric EXHIBIT A-1 3" xfId="11056"/>
    <cellStyle name="_VC 6.15.06 update on 06GRC power costs.xls Chart 1_04 07E Wild Horse Wind Expansion (C) (2)_TENASKA REGULATORY ASSET" xfId="11057"/>
    <cellStyle name="_VC 6.15.06 update on 06GRC power costs.xls Chart 1_04 07E Wild Horse Wind Expansion (C) (2)_TENASKA REGULATORY ASSET 2" xfId="11058"/>
    <cellStyle name="_VC 6.15.06 update on 06GRC power costs.xls Chart 1_04 07E Wild Horse Wind Expansion (C) (2)_TENASKA REGULATORY ASSET 2 2" xfId="11059"/>
    <cellStyle name="_VC 6.15.06 update on 06GRC power costs.xls Chart 1_04 07E Wild Horse Wind Expansion (C) (2)_TENASKA REGULATORY ASSET 3" xfId="11060"/>
    <cellStyle name="_VC 6.15.06 update on 06GRC power costs.xls Chart 1_16.37E Wild Horse Expansion DeferralRevwrkingfile SF" xfId="11061"/>
    <cellStyle name="_VC 6.15.06 update on 06GRC power costs.xls Chart 1_16.37E Wild Horse Expansion DeferralRevwrkingfile SF 2" xfId="11062"/>
    <cellStyle name="_VC 6.15.06 update on 06GRC power costs.xls Chart 1_16.37E Wild Horse Expansion DeferralRevwrkingfile SF 2 2" xfId="11063"/>
    <cellStyle name="_VC 6.15.06 update on 06GRC power costs.xls Chart 1_16.37E Wild Horse Expansion DeferralRevwrkingfile SF 3" xfId="11064"/>
    <cellStyle name="_VC 6.15.06 update on 06GRC power costs.xls Chart 1_16.37E Wild Horse Expansion DeferralRevwrkingfile SF 3 2" xfId="11065"/>
    <cellStyle name="_VC 6.15.06 update on 06GRC power costs.xls Chart 1_16.37E Wild Horse Expansion DeferralRevwrkingfile SF 4" xfId="11066"/>
    <cellStyle name="_VC 6.15.06 update on 06GRC power costs.xls Chart 1_16.37E Wild Horse Expansion DeferralRevwrkingfile SF_DEM-WP(C) ENERG10C--ctn Mid-C_042010 2010GRC" xfId="11067"/>
    <cellStyle name="_VC 6.15.06 update on 06GRC power costs.xls Chart 1_16.37E Wild Horse Expansion DeferralRevwrkingfile SF_DEM-WP(C) ENERG10C--ctn Mid-C_042010 2010GRC 2" xfId="11068"/>
    <cellStyle name="_VC 6.15.06 update on 06GRC power costs.xls Chart 1_2009 Compliance Filing PCA Exhibits for GRC" xfId="11069"/>
    <cellStyle name="_VC 6.15.06 update on 06GRC power costs.xls Chart 1_2009 Compliance Filing PCA Exhibits for GRC 2" xfId="11070"/>
    <cellStyle name="_VC 6.15.06 update on 06GRC power costs.xls Chart 1_2009 Compliance Filing PCA Exhibits for GRC 2 2" xfId="11071"/>
    <cellStyle name="_VC 6.15.06 update on 06GRC power costs.xls Chart 1_2009 Compliance Filing PCA Exhibits for GRC 3" xfId="11072"/>
    <cellStyle name="_VC 6.15.06 update on 06GRC power costs.xls Chart 1_2009 GRC Compl Filing - Exhibit D" xfId="11073"/>
    <cellStyle name="_VC 6.15.06 update on 06GRC power costs.xls Chart 1_2009 GRC Compl Filing - Exhibit D 2" xfId="11074"/>
    <cellStyle name="_VC 6.15.06 update on 06GRC power costs.xls Chart 1_2009 GRC Compl Filing - Exhibit D 2 2" xfId="11075"/>
    <cellStyle name="_VC 6.15.06 update on 06GRC power costs.xls Chart 1_2009 GRC Compl Filing - Exhibit D 3" xfId="11076"/>
    <cellStyle name="_VC 6.15.06 update on 06GRC power costs.xls Chart 1_2009 GRC Compl Filing - Exhibit D 3 2" xfId="11077"/>
    <cellStyle name="_VC 6.15.06 update on 06GRC power costs.xls Chart 1_2009 GRC Compl Filing - Exhibit D 4" xfId="11078"/>
    <cellStyle name="_VC 6.15.06 update on 06GRC power costs.xls Chart 1_2009 GRC Compl Filing - Exhibit D_DEM-WP(C) ENERG10C--ctn Mid-C_042010 2010GRC" xfId="11079"/>
    <cellStyle name="_VC 6.15.06 update on 06GRC power costs.xls Chart 1_2009 GRC Compl Filing - Exhibit D_DEM-WP(C) ENERG10C--ctn Mid-C_042010 2010GRC 2" xfId="11080"/>
    <cellStyle name="_VC 6.15.06 update on 06GRC power costs.xls Chart 1_3.01 Income Statement" xfId="11081"/>
    <cellStyle name="_VC 6.15.06 update on 06GRC power costs.xls Chart 1_4 31 Regulatory Assets and Liabilities  7 06- Exhibit D" xfId="11082"/>
    <cellStyle name="_VC 6.15.06 update on 06GRC power costs.xls Chart 1_4 31 Regulatory Assets and Liabilities  7 06- Exhibit D 2" xfId="11083"/>
    <cellStyle name="_VC 6.15.06 update on 06GRC power costs.xls Chart 1_4 31 Regulatory Assets and Liabilities  7 06- Exhibit D 2 2" xfId="11084"/>
    <cellStyle name="_VC 6.15.06 update on 06GRC power costs.xls Chart 1_4 31 Regulatory Assets and Liabilities  7 06- Exhibit D 3" xfId="11085"/>
    <cellStyle name="_VC 6.15.06 update on 06GRC power costs.xls Chart 1_4 31 Regulatory Assets and Liabilities  7 06- Exhibit D 3 2" xfId="11086"/>
    <cellStyle name="_VC 6.15.06 update on 06GRC power costs.xls Chart 1_4 31 Regulatory Assets and Liabilities  7 06- Exhibit D 4" xfId="11087"/>
    <cellStyle name="_VC 6.15.06 update on 06GRC power costs.xls Chart 1_4 31 Regulatory Assets and Liabilities  7 06- Exhibit D_DEM-WP(C) ENERG10C--ctn Mid-C_042010 2010GRC" xfId="11088"/>
    <cellStyle name="_VC 6.15.06 update on 06GRC power costs.xls Chart 1_4 31 Regulatory Assets and Liabilities  7 06- Exhibit D_DEM-WP(C) ENERG10C--ctn Mid-C_042010 2010GRC 2" xfId="11089"/>
    <cellStyle name="_VC 6.15.06 update on 06GRC power costs.xls Chart 1_4 31 Regulatory Assets and Liabilities  7 06- Exhibit D_NIM Summary" xfId="11090"/>
    <cellStyle name="_VC 6.15.06 update on 06GRC power costs.xls Chart 1_4 31 Regulatory Assets and Liabilities  7 06- Exhibit D_NIM Summary 2" xfId="11091"/>
    <cellStyle name="_VC 6.15.06 update on 06GRC power costs.xls Chart 1_4 31 Regulatory Assets and Liabilities  7 06- Exhibit D_NIM Summary 2 2" xfId="11092"/>
    <cellStyle name="_VC 6.15.06 update on 06GRC power costs.xls Chart 1_4 31 Regulatory Assets and Liabilities  7 06- Exhibit D_NIM Summary 3" xfId="11093"/>
    <cellStyle name="_VC 6.15.06 update on 06GRC power costs.xls Chart 1_4 31 Regulatory Assets and Liabilities  7 06- Exhibit D_NIM Summary 3 2" xfId="11094"/>
    <cellStyle name="_VC 6.15.06 update on 06GRC power costs.xls Chart 1_4 31 Regulatory Assets and Liabilities  7 06- Exhibit D_NIM Summary 4" xfId="11095"/>
    <cellStyle name="_VC 6.15.06 update on 06GRC power costs.xls Chart 1_4 31 Regulatory Assets and Liabilities  7 06- Exhibit D_NIM Summary_DEM-WP(C) ENERG10C--ctn Mid-C_042010 2010GRC" xfId="11096"/>
    <cellStyle name="_VC 6.15.06 update on 06GRC power costs.xls Chart 1_4 31 Regulatory Assets and Liabilities  7 06- Exhibit D_NIM Summary_DEM-WP(C) ENERG10C--ctn Mid-C_042010 2010GRC 2" xfId="11097"/>
    <cellStyle name="_VC 6.15.06 update on 06GRC power costs.xls Chart 1_4 31E Reg Asset  Liab and EXH D" xfId="11098"/>
    <cellStyle name="_VC 6.15.06 update on 06GRC power costs.xls Chart 1_4 31E Reg Asset  Liab and EXH D _ Aug 10 Filing (2)" xfId="11099"/>
    <cellStyle name="_VC 6.15.06 update on 06GRC power costs.xls Chart 1_4 31E Reg Asset  Liab and EXH D _ Aug 10 Filing (2) 2" xfId="11100"/>
    <cellStyle name="_VC 6.15.06 update on 06GRC power costs.xls Chart 1_4 31E Reg Asset  Liab and EXH D 2" xfId="11101"/>
    <cellStyle name="_VC 6.15.06 update on 06GRC power costs.xls Chart 1_4 31E Reg Asset  Liab and EXH D 3" xfId="11102"/>
    <cellStyle name="_VC 6.15.06 update on 06GRC power costs.xls Chart 1_4 32 Regulatory Assets and Liabilities  7 06- Exhibit D" xfId="11103"/>
    <cellStyle name="_VC 6.15.06 update on 06GRC power costs.xls Chart 1_4 32 Regulatory Assets and Liabilities  7 06- Exhibit D 2" xfId="11104"/>
    <cellStyle name="_VC 6.15.06 update on 06GRC power costs.xls Chart 1_4 32 Regulatory Assets and Liabilities  7 06- Exhibit D 2 2" xfId="11105"/>
    <cellStyle name="_VC 6.15.06 update on 06GRC power costs.xls Chart 1_4 32 Regulatory Assets and Liabilities  7 06- Exhibit D 3" xfId="11106"/>
    <cellStyle name="_VC 6.15.06 update on 06GRC power costs.xls Chart 1_4 32 Regulatory Assets and Liabilities  7 06- Exhibit D 3 2" xfId="11107"/>
    <cellStyle name="_VC 6.15.06 update on 06GRC power costs.xls Chart 1_4 32 Regulatory Assets and Liabilities  7 06- Exhibit D 4" xfId="11108"/>
    <cellStyle name="_VC 6.15.06 update on 06GRC power costs.xls Chart 1_4 32 Regulatory Assets and Liabilities  7 06- Exhibit D_DEM-WP(C) ENERG10C--ctn Mid-C_042010 2010GRC" xfId="11109"/>
    <cellStyle name="_VC 6.15.06 update on 06GRC power costs.xls Chart 1_4 32 Regulatory Assets and Liabilities  7 06- Exhibit D_DEM-WP(C) ENERG10C--ctn Mid-C_042010 2010GRC 2" xfId="11110"/>
    <cellStyle name="_VC 6.15.06 update on 06GRC power costs.xls Chart 1_4 32 Regulatory Assets and Liabilities  7 06- Exhibit D_NIM Summary" xfId="11111"/>
    <cellStyle name="_VC 6.15.06 update on 06GRC power costs.xls Chart 1_4 32 Regulatory Assets and Liabilities  7 06- Exhibit D_NIM Summary 2" xfId="11112"/>
    <cellStyle name="_VC 6.15.06 update on 06GRC power costs.xls Chart 1_4 32 Regulatory Assets and Liabilities  7 06- Exhibit D_NIM Summary 2 2" xfId="11113"/>
    <cellStyle name="_VC 6.15.06 update on 06GRC power costs.xls Chart 1_4 32 Regulatory Assets and Liabilities  7 06- Exhibit D_NIM Summary 3" xfId="11114"/>
    <cellStyle name="_VC 6.15.06 update on 06GRC power costs.xls Chart 1_4 32 Regulatory Assets and Liabilities  7 06- Exhibit D_NIM Summary 3 2" xfId="11115"/>
    <cellStyle name="_VC 6.15.06 update on 06GRC power costs.xls Chart 1_4 32 Regulatory Assets and Liabilities  7 06- Exhibit D_NIM Summary 4" xfId="11116"/>
    <cellStyle name="_VC 6.15.06 update on 06GRC power costs.xls Chart 1_4 32 Regulatory Assets and Liabilities  7 06- Exhibit D_NIM Summary_DEM-WP(C) ENERG10C--ctn Mid-C_042010 2010GRC" xfId="11117"/>
    <cellStyle name="_VC 6.15.06 update on 06GRC power costs.xls Chart 1_4 32 Regulatory Assets and Liabilities  7 06- Exhibit D_NIM Summary_DEM-WP(C) ENERG10C--ctn Mid-C_042010 2010GRC 2" xfId="11118"/>
    <cellStyle name="_VC 6.15.06 update on 06GRC power costs.xls Chart 1_AURORA Total New" xfId="11119"/>
    <cellStyle name="_VC 6.15.06 update on 06GRC power costs.xls Chart 1_AURORA Total New 2" xfId="11120"/>
    <cellStyle name="_VC 6.15.06 update on 06GRC power costs.xls Chart 1_AURORA Total New 2 2" xfId="11121"/>
    <cellStyle name="_VC 6.15.06 update on 06GRC power costs.xls Chart 1_AURORA Total New 3" xfId="11122"/>
    <cellStyle name="_VC 6.15.06 update on 06GRC power costs.xls Chart 1_Book2" xfId="11123"/>
    <cellStyle name="_VC 6.15.06 update on 06GRC power costs.xls Chart 1_Book2 2" xfId="11124"/>
    <cellStyle name="_VC 6.15.06 update on 06GRC power costs.xls Chart 1_Book2 2 2" xfId="11125"/>
    <cellStyle name="_VC 6.15.06 update on 06GRC power costs.xls Chart 1_Book2 3" xfId="11126"/>
    <cellStyle name="_VC 6.15.06 update on 06GRC power costs.xls Chart 1_Book2 3 2" xfId="11127"/>
    <cellStyle name="_VC 6.15.06 update on 06GRC power costs.xls Chart 1_Book2 4" xfId="11128"/>
    <cellStyle name="_VC 6.15.06 update on 06GRC power costs.xls Chart 1_Book2_Adj Bench DR 3 for Initial Briefs (Electric)" xfId="11129"/>
    <cellStyle name="_VC 6.15.06 update on 06GRC power costs.xls Chart 1_Book2_Adj Bench DR 3 for Initial Briefs (Electric) 2" xfId="11130"/>
    <cellStyle name="_VC 6.15.06 update on 06GRC power costs.xls Chart 1_Book2_Adj Bench DR 3 for Initial Briefs (Electric) 2 2" xfId="11131"/>
    <cellStyle name="_VC 6.15.06 update on 06GRC power costs.xls Chart 1_Book2_Adj Bench DR 3 for Initial Briefs (Electric) 3" xfId="11132"/>
    <cellStyle name="_VC 6.15.06 update on 06GRC power costs.xls Chart 1_Book2_Adj Bench DR 3 for Initial Briefs (Electric) 3 2" xfId="11133"/>
    <cellStyle name="_VC 6.15.06 update on 06GRC power costs.xls Chart 1_Book2_Adj Bench DR 3 for Initial Briefs (Electric) 4" xfId="11134"/>
    <cellStyle name="_VC 6.15.06 update on 06GRC power costs.xls Chart 1_Book2_Adj Bench DR 3 for Initial Briefs (Electric)_DEM-WP(C) ENERG10C--ctn Mid-C_042010 2010GRC" xfId="11135"/>
    <cellStyle name="_VC 6.15.06 update on 06GRC power costs.xls Chart 1_Book2_Adj Bench DR 3 for Initial Briefs (Electric)_DEM-WP(C) ENERG10C--ctn Mid-C_042010 2010GRC 2" xfId="11136"/>
    <cellStyle name="_VC 6.15.06 update on 06GRC power costs.xls Chart 1_Book2_DEM-WP(C) ENERG10C--ctn Mid-C_042010 2010GRC" xfId="11137"/>
    <cellStyle name="_VC 6.15.06 update on 06GRC power costs.xls Chart 1_Book2_DEM-WP(C) ENERG10C--ctn Mid-C_042010 2010GRC 2" xfId="11138"/>
    <cellStyle name="_VC 6.15.06 update on 06GRC power costs.xls Chart 1_Book2_Electric Rev Req Model (2009 GRC) Rebuttal" xfId="11139"/>
    <cellStyle name="_VC 6.15.06 update on 06GRC power costs.xls Chart 1_Book2_Electric Rev Req Model (2009 GRC) Rebuttal 2" xfId="11140"/>
    <cellStyle name="_VC 6.15.06 update on 06GRC power costs.xls Chart 1_Book2_Electric Rev Req Model (2009 GRC) Rebuttal 2 2" xfId="11141"/>
    <cellStyle name="_VC 6.15.06 update on 06GRC power costs.xls Chart 1_Book2_Electric Rev Req Model (2009 GRC) Rebuttal 3" xfId="11142"/>
    <cellStyle name="_VC 6.15.06 update on 06GRC power costs.xls Chart 1_Book2_Electric Rev Req Model (2009 GRC) Rebuttal REmoval of New  WH Solar AdjustMI" xfId="11143"/>
    <cellStyle name="_VC 6.15.06 update on 06GRC power costs.xls Chart 1_Book2_Electric Rev Req Model (2009 GRC) Rebuttal REmoval of New  WH Solar AdjustMI 2" xfId="11144"/>
    <cellStyle name="_VC 6.15.06 update on 06GRC power costs.xls Chart 1_Book2_Electric Rev Req Model (2009 GRC) Rebuttal REmoval of New  WH Solar AdjustMI 2 2" xfId="11145"/>
    <cellStyle name="_VC 6.15.06 update on 06GRC power costs.xls Chart 1_Book2_Electric Rev Req Model (2009 GRC) Rebuttal REmoval of New  WH Solar AdjustMI 3" xfId="11146"/>
    <cellStyle name="_VC 6.15.06 update on 06GRC power costs.xls Chart 1_Book2_Electric Rev Req Model (2009 GRC) Rebuttal REmoval of New  WH Solar AdjustMI 3 2" xfId="11147"/>
    <cellStyle name="_VC 6.15.06 update on 06GRC power costs.xls Chart 1_Book2_Electric Rev Req Model (2009 GRC) Rebuttal REmoval of New  WH Solar AdjustMI 4" xfId="11148"/>
    <cellStyle name="_VC 6.15.06 update on 06GRC power costs.xls Chart 1_Book2_Electric Rev Req Model (2009 GRC) Rebuttal REmoval of New  WH Solar AdjustMI_DEM-WP(C) ENERG10C--ctn Mid-C_042010 2010GRC" xfId="11149"/>
    <cellStyle name="_VC 6.15.06 update on 06GRC power costs.xls Chart 1_Book2_Electric Rev Req Model (2009 GRC) Rebuttal REmoval of New  WH Solar AdjustMI_DEM-WP(C) ENERG10C--ctn Mid-C_042010 2010GRC 2" xfId="11150"/>
    <cellStyle name="_VC 6.15.06 update on 06GRC power costs.xls Chart 1_Book2_Electric Rev Req Model (2009 GRC) Revised 01-18-2010" xfId="11151"/>
    <cellStyle name="_VC 6.15.06 update on 06GRC power costs.xls Chart 1_Book2_Electric Rev Req Model (2009 GRC) Revised 01-18-2010 2" xfId="11152"/>
    <cellStyle name="_VC 6.15.06 update on 06GRC power costs.xls Chart 1_Book2_Electric Rev Req Model (2009 GRC) Revised 01-18-2010 2 2" xfId="11153"/>
    <cellStyle name="_VC 6.15.06 update on 06GRC power costs.xls Chart 1_Book2_Electric Rev Req Model (2009 GRC) Revised 01-18-2010 3" xfId="11154"/>
    <cellStyle name="_VC 6.15.06 update on 06GRC power costs.xls Chart 1_Book2_Electric Rev Req Model (2009 GRC) Revised 01-18-2010 3 2" xfId="11155"/>
    <cellStyle name="_VC 6.15.06 update on 06GRC power costs.xls Chart 1_Book2_Electric Rev Req Model (2009 GRC) Revised 01-18-2010 4" xfId="11156"/>
    <cellStyle name="_VC 6.15.06 update on 06GRC power costs.xls Chart 1_Book2_Electric Rev Req Model (2009 GRC) Revised 01-18-2010_DEM-WP(C) ENERG10C--ctn Mid-C_042010 2010GRC" xfId="11157"/>
    <cellStyle name="_VC 6.15.06 update on 06GRC power costs.xls Chart 1_Book2_Electric Rev Req Model (2009 GRC) Revised 01-18-2010_DEM-WP(C) ENERG10C--ctn Mid-C_042010 2010GRC 2" xfId="11158"/>
    <cellStyle name="_VC 6.15.06 update on 06GRC power costs.xls Chart 1_Book2_Final Order Electric EXHIBIT A-1" xfId="11159"/>
    <cellStyle name="_VC 6.15.06 update on 06GRC power costs.xls Chart 1_Book2_Final Order Electric EXHIBIT A-1 2" xfId="11160"/>
    <cellStyle name="_VC 6.15.06 update on 06GRC power costs.xls Chart 1_Book2_Final Order Electric EXHIBIT A-1 2 2" xfId="11161"/>
    <cellStyle name="_VC 6.15.06 update on 06GRC power costs.xls Chart 1_Book2_Final Order Electric EXHIBIT A-1 3" xfId="11162"/>
    <cellStyle name="_VC 6.15.06 update on 06GRC power costs.xls Chart 1_Book4" xfId="11163"/>
    <cellStyle name="_VC 6.15.06 update on 06GRC power costs.xls Chart 1_Book4 2" xfId="11164"/>
    <cellStyle name="_VC 6.15.06 update on 06GRC power costs.xls Chart 1_Book4 2 2" xfId="11165"/>
    <cellStyle name="_VC 6.15.06 update on 06GRC power costs.xls Chart 1_Book4 3" xfId="11166"/>
    <cellStyle name="_VC 6.15.06 update on 06GRC power costs.xls Chart 1_Book4 3 2" xfId="11167"/>
    <cellStyle name="_VC 6.15.06 update on 06GRC power costs.xls Chart 1_Book4 4" xfId="11168"/>
    <cellStyle name="_VC 6.15.06 update on 06GRC power costs.xls Chart 1_Book4_DEM-WP(C) ENERG10C--ctn Mid-C_042010 2010GRC" xfId="11169"/>
    <cellStyle name="_VC 6.15.06 update on 06GRC power costs.xls Chart 1_Book4_DEM-WP(C) ENERG10C--ctn Mid-C_042010 2010GRC 2" xfId="11170"/>
    <cellStyle name="_VC 6.15.06 update on 06GRC power costs.xls Chart 1_Book9" xfId="11171"/>
    <cellStyle name="_VC 6.15.06 update on 06GRC power costs.xls Chart 1_Book9 2" xfId="11172"/>
    <cellStyle name="_VC 6.15.06 update on 06GRC power costs.xls Chart 1_Book9 2 2" xfId="11173"/>
    <cellStyle name="_VC 6.15.06 update on 06GRC power costs.xls Chart 1_Book9 3" xfId="11174"/>
    <cellStyle name="_VC 6.15.06 update on 06GRC power costs.xls Chart 1_Book9 3 2" xfId="11175"/>
    <cellStyle name="_VC 6.15.06 update on 06GRC power costs.xls Chart 1_Book9 4" xfId="11176"/>
    <cellStyle name="_VC 6.15.06 update on 06GRC power costs.xls Chart 1_Book9_DEM-WP(C) ENERG10C--ctn Mid-C_042010 2010GRC" xfId="11177"/>
    <cellStyle name="_VC 6.15.06 update on 06GRC power costs.xls Chart 1_Book9_DEM-WP(C) ENERG10C--ctn Mid-C_042010 2010GRC 2" xfId="11178"/>
    <cellStyle name="_VC 6.15.06 update on 06GRC power costs.xls Chart 1_Chelan PUD Power Costs (8-10)" xfId="11179"/>
    <cellStyle name="_VC 6.15.06 update on 06GRC power costs.xls Chart 1_Chelan PUD Power Costs (8-10) 2" xfId="11180"/>
    <cellStyle name="_VC 6.15.06 update on 06GRC power costs.xls Chart 1_DEM-WP(C) Chelan Power Costs" xfId="11181"/>
    <cellStyle name="_VC 6.15.06 update on 06GRC power costs.xls Chart 1_DEM-WP(C) Chelan Power Costs 2" xfId="11182"/>
    <cellStyle name="_VC 6.15.06 update on 06GRC power costs.xls Chart 1_DEM-WP(C) ENERG10C--ctn Mid-C_042010 2010GRC" xfId="11183"/>
    <cellStyle name="_VC 6.15.06 update on 06GRC power costs.xls Chart 1_DEM-WP(C) ENERG10C--ctn Mid-C_042010 2010GRC 2" xfId="11184"/>
    <cellStyle name="_VC 6.15.06 update on 06GRC power costs.xls Chart 1_DEM-WP(C) Gas Transport 2010GRC" xfId="11185"/>
    <cellStyle name="_VC 6.15.06 update on 06GRC power costs.xls Chart 1_DEM-WP(C) Gas Transport 2010GRC 2" xfId="11186"/>
    <cellStyle name="_VC 6.15.06 update on 06GRC power costs.xls Chart 1_Exh A-1 resulting from UE-112050 effective Jan 1 2012" xfId="11187"/>
    <cellStyle name="_VC 6.15.06 update on 06GRC power costs.xls Chart 1_Exh A-1 resulting from UE-112050 effective Jan 1 2012 2" xfId="11188"/>
    <cellStyle name="_VC 6.15.06 update on 06GRC power costs.xls Chart 1_Exhibit A-1 effective 4-1-11 fr S Free 12-11" xfId="11189"/>
    <cellStyle name="_VC 6.15.06 update on 06GRC power costs.xls Chart 1_Exhibit A-1 effective 4-1-11 fr S Free 12-11 2" xfId="11190"/>
    <cellStyle name="_VC 6.15.06 update on 06GRC power costs.xls Chart 1_Mint Farm Generation BPA" xfId="11191"/>
    <cellStyle name="_VC 6.15.06 update on 06GRC power costs.xls Chart 1_NIM Summary" xfId="11192"/>
    <cellStyle name="_VC 6.15.06 update on 06GRC power costs.xls Chart 1_NIM Summary 09GRC" xfId="11193"/>
    <cellStyle name="_VC 6.15.06 update on 06GRC power costs.xls Chart 1_NIM Summary 09GRC 2" xfId="11194"/>
    <cellStyle name="_VC 6.15.06 update on 06GRC power costs.xls Chart 1_NIM Summary 09GRC 2 2" xfId="11195"/>
    <cellStyle name="_VC 6.15.06 update on 06GRC power costs.xls Chart 1_NIM Summary 09GRC 3" xfId="11196"/>
    <cellStyle name="_VC 6.15.06 update on 06GRC power costs.xls Chart 1_NIM Summary 09GRC 3 2" xfId="11197"/>
    <cellStyle name="_VC 6.15.06 update on 06GRC power costs.xls Chart 1_NIM Summary 09GRC 4" xfId="11198"/>
    <cellStyle name="_VC 6.15.06 update on 06GRC power costs.xls Chart 1_NIM Summary 09GRC_DEM-WP(C) ENERG10C--ctn Mid-C_042010 2010GRC" xfId="11199"/>
    <cellStyle name="_VC 6.15.06 update on 06GRC power costs.xls Chart 1_NIM Summary 09GRC_DEM-WP(C) ENERG10C--ctn Mid-C_042010 2010GRC 2" xfId="11200"/>
    <cellStyle name="_VC 6.15.06 update on 06GRC power costs.xls Chart 1_NIM Summary 10" xfId="11201"/>
    <cellStyle name="_VC 6.15.06 update on 06GRC power costs.xls Chart 1_NIM Summary 10 2" xfId="11202"/>
    <cellStyle name="_VC 6.15.06 update on 06GRC power costs.xls Chart 1_NIM Summary 11" xfId="11203"/>
    <cellStyle name="_VC 6.15.06 update on 06GRC power costs.xls Chart 1_NIM Summary 11 2" xfId="11204"/>
    <cellStyle name="_VC 6.15.06 update on 06GRC power costs.xls Chart 1_NIM Summary 12" xfId="11205"/>
    <cellStyle name="_VC 6.15.06 update on 06GRC power costs.xls Chart 1_NIM Summary 12 2" xfId="11206"/>
    <cellStyle name="_VC 6.15.06 update on 06GRC power costs.xls Chart 1_NIM Summary 13" xfId="11207"/>
    <cellStyle name="_VC 6.15.06 update on 06GRC power costs.xls Chart 1_NIM Summary 13 2" xfId="11208"/>
    <cellStyle name="_VC 6.15.06 update on 06GRC power costs.xls Chart 1_NIM Summary 14" xfId="11209"/>
    <cellStyle name="_VC 6.15.06 update on 06GRC power costs.xls Chart 1_NIM Summary 14 2" xfId="11210"/>
    <cellStyle name="_VC 6.15.06 update on 06GRC power costs.xls Chart 1_NIM Summary 15" xfId="11211"/>
    <cellStyle name="_VC 6.15.06 update on 06GRC power costs.xls Chart 1_NIM Summary 15 2" xfId="11212"/>
    <cellStyle name="_VC 6.15.06 update on 06GRC power costs.xls Chart 1_NIM Summary 16" xfId="11213"/>
    <cellStyle name="_VC 6.15.06 update on 06GRC power costs.xls Chart 1_NIM Summary 16 2" xfId="11214"/>
    <cellStyle name="_VC 6.15.06 update on 06GRC power costs.xls Chart 1_NIM Summary 17" xfId="11215"/>
    <cellStyle name="_VC 6.15.06 update on 06GRC power costs.xls Chart 1_NIM Summary 17 2" xfId="11216"/>
    <cellStyle name="_VC 6.15.06 update on 06GRC power costs.xls Chart 1_NIM Summary 18" xfId="11217"/>
    <cellStyle name="_VC 6.15.06 update on 06GRC power costs.xls Chart 1_NIM Summary 18 2" xfId="11218"/>
    <cellStyle name="_VC 6.15.06 update on 06GRC power costs.xls Chart 1_NIM Summary 19" xfId="11219"/>
    <cellStyle name="_VC 6.15.06 update on 06GRC power costs.xls Chart 1_NIM Summary 19 2" xfId="11220"/>
    <cellStyle name="_VC 6.15.06 update on 06GRC power costs.xls Chart 1_NIM Summary 2" xfId="11221"/>
    <cellStyle name="_VC 6.15.06 update on 06GRC power costs.xls Chart 1_NIM Summary 2 2" xfId="11222"/>
    <cellStyle name="_VC 6.15.06 update on 06GRC power costs.xls Chart 1_NIM Summary 20" xfId="11223"/>
    <cellStyle name="_VC 6.15.06 update on 06GRC power costs.xls Chart 1_NIM Summary 20 2" xfId="11224"/>
    <cellStyle name="_VC 6.15.06 update on 06GRC power costs.xls Chart 1_NIM Summary 21" xfId="11225"/>
    <cellStyle name="_VC 6.15.06 update on 06GRC power costs.xls Chart 1_NIM Summary 21 2" xfId="11226"/>
    <cellStyle name="_VC 6.15.06 update on 06GRC power costs.xls Chart 1_NIM Summary 22" xfId="11227"/>
    <cellStyle name="_VC 6.15.06 update on 06GRC power costs.xls Chart 1_NIM Summary 22 2" xfId="11228"/>
    <cellStyle name="_VC 6.15.06 update on 06GRC power costs.xls Chart 1_NIM Summary 23" xfId="11229"/>
    <cellStyle name="_VC 6.15.06 update on 06GRC power costs.xls Chart 1_NIM Summary 23 2" xfId="11230"/>
    <cellStyle name="_VC 6.15.06 update on 06GRC power costs.xls Chart 1_NIM Summary 24" xfId="11231"/>
    <cellStyle name="_VC 6.15.06 update on 06GRC power costs.xls Chart 1_NIM Summary 24 2" xfId="11232"/>
    <cellStyle name="_VC 6.15.06 update on 06GRC power costs.xls Chart 1_NIM Summary 25" xfId="11233"/>
    <cellStyle name="_VC 6.15.06 update on 06GRC power costs.xls Chart 1_NIM Summary 25 2" xfId="11234"/>
    <cellStyle name="_VC 6.15.06 update on 06GRC power costs.xls Chart 1_NIM Summary 26" xfId="11235"/>
    <cellStyle name="_VC 6.15.06 update on 06GRC power costs.xls Chart 1_NIM Summary 26 2" xfId="11236"/>
    <cellStyle name="_VC 6.15.06 update on 06GRC power costs.xls Chart 1_NIM Summary 27" xfId="11237"/>
    <cellStyle name="_VC 6.15.06 update on 06GRC power costs.xls Chart 1_NIM Summary 27 2" xfId="11238"/>
    <cellStyle name="_VC 6.15.06 update on 06GRC power costs.xls Chart 1_NIM Summary 28" xfId="11239"/>
    <cellStyle name="_VC 6.15.06 update on 06GRC power costs.xls Chart 1_NIM Summary 28 2" xfId="11240"/>
    <cellStyle name="_VC 6.15.06 update on 06GRC power costs.xls Chart 1_NIM Summary 29" xfId="11241"/>
    <cellStyle name="_VC 6.15.06 update on 06GRC power costs.xls Chart 1_NIM Summary 29 2" xfId="11242"/>
    <cellStyle name="_VC 6.15.06 update on 06GRC power costs.xls Chart 1_NIM Summary 3" xfId="11243"/>
    <cellStyle name="_VC 6.15.06 update on 06GRC power costs.xls Chart 1_NIM Summary 3 2" xfId="11244"/>
    <cellStyle name="_VC 6.15.06 update on 06GRC power costs.xls Chart 1_NIM Summary 30" xfId="11245"/>
    <cellStyle name="_VC 6.15.06 update on 06GRC power costs.xls Chart 1_NIM Summary 30 2" xfId="11246"/>
    <cellStyle name="_VC 6.15.06 update on 06GRC power costs.xls Chart 1_NIM Summary 31" xfId="11247"/>
    <cellStyle name="_VC 6.15.06 update on 06GRC power costs.xls Chart 1_NIM Summary 31 2" xfId="11248"/>
    <cellStyle name="_VC 6.15.06 update on 06GRC power costs.xls Chart 1_NIM Summary 32" xfId="11249"/>
    <cellStyle name="_VC 6.15.06 update on 06GRC power costs.xls Chart 1_NIM Summary 32 2" xfId="11250"/>
    <cellStyle name="_VC 6.15.06 update on 06GRC power costs.xls Chart 1_NIM Summary 33" xfId="11251"/>
    <cellStyle name="_VC 6.15.06 update on 06GRC power costs.xls Chart 1_NIM Summary 33 2" xfId="11252"/>
    <cellStyle name="_VC 6.15.06 update on 06GRC power costs.xls Chart 1_NIM Summary 34" xfId="11253"/>
    <cellStyle name="_VC 6.15.06 update on 06GRC power costs.xls Chart 1_NIM Summary 34 2" xfId="11254"/>
    <cellStyle name="_VC 6.15.06 update on 06GRC power costs.xls Chart 1_NIM Summary 35" xfId="11255"/>
    <cellStyle name="_VC 6.15.06 update on 06GRC power costs.xls Chart 1_NIM Summary 35 2" xfId="11256"/>
    <cellStyle name="_VC 6.15.06 update on 06GRC power costs.xls Chart 1_NIM Summary 36" xfId="11257"/>
    <cellStyle name="_VC 6.15.06 update on 06GRC power costs.xls Chart 1_NIM Summary 36 2" xfId="11258"/>
    <cellStyle name="_VC 6.15.06 update on 06GRC power costs.xls Chart 1_NIM Summary 37" xfId="11259"/>
    <cellStyle name="_VC 6.15.06 update on 06GRC power costs.xls Chart 1_NIM Summary 37 2" xfId="11260"/>
    <cellStyle name="_VC 6.15.06 update on 06GRC power costs.xls Chart 1_NIM Summary 38" xfId="11261"/>
    <cellStyle name="_VC 6.15.06 update on 06GRC power costs.xls Chart 1_NIM Summary 38 2" xfId="11262"/>
    <cellStyle name="_VC 6.15.06 update on 06GRC power costs.xls Chart 1_NIM Summary 39" xfId="11263"/>
    <cellStyle name="_VC 6.15.06 update on 06GRC power costs.xls Chart 1_NIM Summary 39 2" xfId="11264"/>
    <cellStyle name="_VC 6.15.06 update on 06GRC power costs.xls Chart 1_NIM Summary 4" xfId="11265"/>
    <cellStyle name="_VC 6.15.06 update on 06GRC power costs.xls Chart 1_NIM Summary 4 2" xfId="11266"/>
    <cellStyle name="_VC 6.15.06 update on 06GRC power costs.xls Chart 1_NIM Summary 40" xfId="11267"/>
    <cellStyle name="_VC 6.15.06 update on 06GRC power costs.xls Chart 1_NIM Summary 40 2" xfId="11268"/>
    <cellStyle name="_VC 6.15.06 update on 06GRC power costs.xls Chart 1_NIM Summary 41" xfId="11269"/>
    <cellStyle name="_VC 6.15.06 update on 06GRC power costs.xls Chart 1_NIM Summary 41 2" xfId="11270"/>
    <cellStyle name="_VC 6.15.06 update on 06GRC power costs.xls Chart 1_NIM Summary 42" xfId="11271"/>
    <cellStyle name="_VC 6.15.06 update on 06GRC power costs.xls Chart 1_NIM Summary 42 2" xfId="11272"/>
    <cellStyle name="_VC 6.15.06 update on 06GRC power costs.xls Chart 1_NIM Summary 43" xfId="11273"/>
    <cellStyle name="_VC 6.15.06 update on 06GRC power costs.xls Chart 1_NIM Summary 43 2" xfId="11274"/>
    <cellStyle name="_VC 6.15.06 update on 06GRC power costs.xls Chart 1_NIM Summary 44" xfId="11275"/>
    <cellStyle name="_VC 6.15.06 update on 06GRC power costs.xls Chart 1_NIM Summary 44 2" xfId="11276"/>
    <cellStyle name="_VC 6.15.06 update on 06GRC power costs.xls Chart 1_NIM Summary 45" xfId="11277"/>
    <cellStyle name="_VC 6.15.06 update on 06GRC power costs.xls Chart 1_NIM Summary 45 2" xfId="11278"/>
    <cellStyle name="_VC 6.15.06 update on 06GRC power costs.xls Chart 1_NIM Summary 46" xfId="11279"/>
    <cellStyle name="_VC 6.15.06 update on 06GRC power costs.xls Chart 1_NIM Summary 46 2" xfId="11280"/>
    <cellStyle name="_VC 6.15.06 update on 06GRC power costs.xls Chart 1_NIM Summary 47" xfId="11281"/>
    <cellStyle name="_VC 6.15.06 update on 06GRC power costs.xls Chart 1_NIM Summary 47 2" xfId="11282"/>
    <cellStyle name="_VC 6.15.06 update on 06GRC power costs.xls Chart 1_NIM Summary 48" xfId="11283"/>
    <cellStyle name="_VC 6.15.06 update on 06GRC power costs.xls Chart 1_NIM Summary 49" xfId="11284"/>
    <cellStyle name="_VC 6.15.06 update on 06GRC power costs.xls Chart 1_NIM Summary 5" xfId="11285"/>
    <cellStyle name="_VC 6.15.06 update on 06GRC power costs.xls Chart 1_NIM Summary 5 2" xfId="11286"/>
    <cellStyle name="_VC 6.15.06 update on 06GRC power costs.xls Chart 1_NIM Summary 50" xfId="11287"/>
    <cellStyle name="_VC 6.15.06 update on 06GRC power costs.xls Chart 1_NIM Summary 51" xfId="11288"/>
    <cellStyle name="_VC 6.15.06 update on 06GRC power costs.xls Chart 1_NIM Summary 52" xfId="11289"/>
    <cellStyle name="_VC 6.15.06 update on 06GRC power costs.xls Chart 1_NIM Summary 6" xfId="11290"/>
    <cellStyle name="_VC 6.15.06 update on 06GRC power costs.xls Chart 1_NIM Summary 6 2" xfId="11291"/>
    <cellStyle name="_VC 6.15.06 update on 06GRC power costs.xls Chart 1_NIM Summary 7" xfId="11292"/>
    <cellStyle name="_VC 6.15.06 update on 06GRC power costs.xls Chart 1_NIM Summary 7 2" xfId="11293"/>
    <cellStyle name="_VC 6.15.06 update on 06GRC power costs.xls Chart 1_NIM Summary 8" xfId="11294"/>
    <cellStyle name="_VC 6.15.06 update on 06GRC power costs.xls Chart 1_NIM Summary 8 2" xfId="11295"/>
    <cellStyle name="_VC 6.15.06 update on 06GRC power costs.xls Chart 1_NIM Summary 9" xfId="11296"/>
    <cellStyle name="_VC 6.15.06 update on 06GRC power costs.xls Chart 1_NIM Summary 9 2" xfId="11297"/>
    <cellStyle name="_VC 6.15.06 update on 06GRC power costs.xls Chart 1_NIM Summary_DEM-WP(C) ENERG10C--ctn Mid-C_042010 2010GRC" xfId="11298"/>
    <cellStyle name="_VC 6.15.06 update on 06GRC power costs.xls Chart 1_NIM Summary_DEM-WP(C) ENERG10C--ctn Mid-C_042010 2010GRC 2" xfId="11299"/>
    <cellStyle name="_VC 6.15.06 update on 06GRC power costs.xls Chart 1_PCA 10 -  Exhibit D Dec 2011" xfId="11300"/>
    <cellStyle name="_VC 6.15.06 update on 06GRC power costs.xls Chart 1_PCA 10 -  Exhibit D Dec 2011 2" xfId="11301"/>
    <cellStyle name="_VC 6.15.06 update on 06GRC power costs.xls Chart 1_PCA 10 -  Exhibit D from A Kellogg Jan 2011" xfId="11302"/>
    <cellStyle name="_VC 6.15.06 update on 06GRC power costs.xls Chart 1_PCA 10 -  Exhibit D from A Kellogg Jan 2011 2" xfId="11303"/>
    <cellStyle name="_VC 6.15.06 update on 06GRC power costs.xls Chart 1_PCA 10 -  Exhibit D from A Kellogg July 2011" xfId="11304"/>
    <cellStyle name="_VC 6.15.06 update on 06GRC power costs.xls Chart 1_PCA 10 -  Exhibit D from A Kellogg July 2011 2" xfId="11305"/>
    <cellStyle name="_VC 6.15.06 update on 06GRC power costs.xls Chart 1_PCA 10 -  Exhibit D from S Free Rcv'd 12-11" xfId="11306"/>
    <cellStyle name="_VC 6.15.06 update on 06GRC power costs.xls Chart 1_PCA 10 -  Exhibit D from S Free Rcv'd 12-11 2" xfId="11307"/>
    <cellStyle name="_VC 6.15.06 update on 06GRC power costs.xls Chart 1_PCA 11 -  Exhibit D Jan 2012 fr A Kellogg" xfId="11308"/>
    <cellStyle name="_VC 6.15.06 update on 06GRC power costs.xls Chart 1_PCA 11 -  Exhibit D Jan 2012 fr A Kellogg 2" xfId="11309"/>
    <cellStyle name="_VC 6.15.06 update on 06GRC power costs.xls Chart 1_PCA 11 -  Exhibit D Jan 2012 WF" xfId="11310"/>
    <cellStyle name="_VC 6.15.06 update on 06GRC power costs.xls Chart 1_PCA 11 -  Exhibit D Jan 2012 WF 2" xfId="11311"/>
    <cellStyle name="_VC 6.15.06 update on 06GRC power costs.xls Chart 1_PCA 9 -  Exhibit D April 2010" xfId="11312"/>
    <cellStyle name="_VC 6.15.06 update on 06GRC power costs.xls Chart 1_PCA 9 -  Exhibit D April 2010 (3)" xfId="11313"/>
    <cellStyle name="_VC 6.15.06 update on 06GRC power costs.xls Chart 1_PCA 9 -  Exhibit D April 2010 (3) 2" xfId="11314"/>
    <cellStyle name="_VC 6.15.06 update on 06GRC power costs.xls Chart 1_PCA 9 -  Exhibit D April 2010 (3) 2 2" xfId="11315"/>
    <cellStyle name="_VC 6.15.06 update on 06GRC power costs.xls Chart 1_PCA 9 -  Exhibit D April 2010 (3) 3" xfId="11316"/>
    <cellStyle name="_VC 6.15.06 update on 06GRC power costs.xls Chart 1_PCA 9 -  Exhibit D April 2010 (3) 3 2" xfId="11317"/>
    <cellStyle name="_VC 6.15.06 update on 06GRC power costs.xls Chart 1_PCA 9 -  Exhibit D April 2010 (3) 4" xfId="11318"/>
    <cellStyle name="_VC 6.15.06 update on 06GRC power costs.xls Chart 1_PCA 9 -  Exhibit D April 2010 (3)_DEM-WP(C) ENERG10C--ctn Mid-C_042010 2010GRC" xfId="11319"/>
    <cellStyle name="_VC 6.15.06 update on 06GRC power costs.xls Chart 1_PCA 9 -  Exhibit D April 2010 (3)_DEM-WP(C) ENERG10C--ctn Mid-C_042010 2010GRC 2" xfId="11320"/>
    <cellStyle name="_VC 6.15.06 update on 06GRC power costs.xls Chart 1_PCA 9 -  Exhibit D April 2010 2" xfId="11321"/>
    <cellStyle name="_VC 6.15.06 update on 06GRC power costs.xls Chart 1_PCA 9 -  Exhibit D April 2010 2 2" xfId="11322"/>
    <cellStyle name="_VC 6.15.06 update on 06GRC power costs.xls Chart 1_PCA 9 -  Exhibit D April 2010 3" xfId="11323"/>
    <cellStyle name="_VC 6.15.06 update on 06GRC power costs.xls Chart 1_PCA 9 -  Exhibit D April 2010 3 2" xfId="11324"/>
    <cellStyle name="_VC 6.15.06 update on 06GRC power costs.xls Chart 1_PCA 9 -  Exhibit D April 2010 4" xfId="11325"/>
    <cellStyle name="_VC 6.15.06 update on 06GRC power costs.xls Chart 1_PCA 9 -  Exhibit D April 2010 4 2" xfId="11326"/>
    <cellStyle name="_VC 6.15.06 update on 06GRC power costs.xls Chart 1_PCA 9 -  Exhibit D April 2010 5" xfId="11327"/>
    <cellStyle name="_VC 6.15.06 update on 06GRC power costs.xls Chart 1_PCA 9 -  Exhibit D April 2010 5 2" xfId="11328"/>
    <cellStyle name="_VC 6.15.06 update on 06GRC power costs.xls Chart 1_PCA 9 -  Exhibit D April 2010 6" xfId="11329"/>
    <cellStyle name="_VC 6.15.06 update on 06GRC power costs.xls Chart 1_PCA 9 -  Exhibit D April 2010 6 2" xfId="11330"/>
    <cellStyle name="_VC 6.15.06 update on 06GRC power costs.xls Chart 1_PCA 9 -  Exhibit D April 2010 7" xfId="11331"/>
    <cellStyle name="_VC 6.15.06 update on 06GRC power costs.xls Chart 1_PCA 9 -  Exhibit D Nov 2010" xfId="11332"/>
    <cellStyle name="_VC 6.15.06 update on 06GRC power costs.xls Chart 1_PCA 9 -  Exhibit D Nov 2010 2" xfId="11333"/>
    <cellStyle name="_VC 6.15.06 update on 06GRC power costs.xls Chart 1_PCA 9 -  Exhibit D Nov 2010 2 2" xfId="11334"/>
    <cellStyle name="_VC 6.15.06 update on 06GRC power costs.xls Chart 1_PCA 9 -  Exhibit D Nov 2010 3" xfId="11335"/>
    <cellStyle name="_VC 6.15.06 update on 06GRC power costs.xls Chart 1_PCA 9 - Exhibit D at August 2010" xfId="11336"/>
    <cellStyle name="_VC 6.15.06 update on 06GRC power costs.xls Chart 1_PCA 9 - Exhibit D at August 2010 2" xfId="11337"/>
    <cellStyle name="_VC 6.15.06 update on 06GRC power costs.xls Chart 1_PCA 9 - Exhibit D at August 2010 2 2" xfId="11338"/>
    <cellStyle name="_VC 6.15.06 update on 06GRC power costs.xls Chart 1_PCA 9 - Exhibit D at August 2010 3" xfId="11339"/>
    <cellStyle name="_VC 6.15.06 update on 06GRC power costs.xls Chart 1_PCA 9 - Exhibit D June 2010 GRC" xfId="11340"/>
    <cellStyle name="_VC 6.15.06 update on 06GRC power costs.xls Chart 1_PCA 9 - Exhibit D June 2010 GRC 2" xfId="11341"/>
    <cellStyle name="_VC 6.15.06 update on 06GRC power costs.xls Chart 1_PCA 9 - Exhibit D June 2010 GRC 2 2" xfId="11342"/>
    <cellStyle name="_VC 6.15.06 update on 06GRC power costs.xls Chart 1_PCA 9 - Exhibit D June 2010 GRC 3" xfId="11343"/>
    <cellStyle name="_VC 6.15.06 update on 06GRC power costs.xls Chart 1_Power Costs - Comparison bx Rbtl-Staff-Jt-PC" xfId="11344"/>
    <cellStyle name="_VC 6.15.06 update on 06GRC power costs.xls Chart 1_Power Costs - Comparison bx Rbtl-Staff-Jt-PC 2" xfId="11345"/>
    <cellStyle name="_VC 6.15.06 update on 06GRC power costs.xls Chart 1_Power Costs - Comparison bx Rbtl-Staff-Jt-PC 2 2" xfId="11346"/>
    <cellStyle name="_VC 6.15.06 update on 06GRC power costs.xls Chart 1_Power Costs - Comparison bx Rbtl-Staff-Jt-PC 3" xfId="11347"/>
    <cellStyle name="_VC 6.15.06 update on 06GRC power costs.xls Chart 1_Power Costs - Comparison bx Rbtl-Staff-Jt-PC 3 2" xfId="11348"/>
    <cellStyle name="_VC 6.15.06 update on 06GRC power costs.xls Chart 1_Power Costs - Comparison bx Rbtl-Staff-Jt-PC 4" xfId="11349"/>
    <cellStyle name="_VC 6.15.06 update on 06GRC power costs.xls Chart 1_Power Costs - Comparison bx Rbtl-Staff-Jt-PC_Adj Bench DR 3 for Initial Briefs (Electric)" xfId="11350"/>
    <cellStyle name="_VC 6.15.06 update on 06GRC power costs.xls Chart 1_Power Costs - Comparison bx Rbtl-Staff-Jt-PC_Adj Bench DR 3 for Initial Briefs (Electric) 2" xfId="11351"/>
    <cellStyle name="_VC 6.15.06 update on 06GRC power costs.xls Chart 1_Power Costs - Comparison bx Rbtl-Staff-Jt-PC_Adj Bench DR 3 for Initial Briefs (Electric) 2 2" xfId="11352"/>
    <cellStyle name="_VC 6.15.06 update on 06GRC power costs.xls Chart 1_Power Costs - Comparison bx Rbtl-Staff-Jt-PC_Adj Bench DR 3 for Initial Briefs (Electric) 3" xfId="11353"/>
    <cellStyle name="_VC 6.15.06 update on 06GRC power costs.xls Chart 1_Power Costs - Comparison bx Rbtl-Staff-Jt-PC_Adj Bench DR 3 for Initial Briefs (Electric) 3 2" xfId="11354"/>
    <cellStyle name="_VC 6.15.06 update on 06GRC power costs.xls Chart 1_Power Costs - Comparison bx Rbtl-Staff-Jt-PC_Adj Bench DR 3 for Initial Briefs (Electric) 4" xfId="11355"/>
    <cellStyle name="_VC 6.15.06 update on 06GRC power costs.xls Chart 1_Power Costs - Comparison bx Rbtl-Staff-Jt-PC_Adj Bench DR 3 for Initial Briefs (Electric)_DEM-WP(C) ENERG10C--ctn Mid-C_042010 2010GRC" xfId="11356"/>
    <cellStyle name="_VC 6.15.06 update on 06GRC power costs.xls Chart 1_Power Costs - Comparison bx Rbtl-Staff-Jt-PC_Adj Bench DR 3 for Initial Briefs (Electric)_DEM-WP(C) ENERG10C--ctn Mid-C_042010 2010GRC 2" xfId="11357"/>
    <cellStyle name="_VC 6.15.06 update on 06GRC power costs.xls Chart 1_Power Costs - Comparison bx Rbtl-Staff-Jt-PC_DEM-WP(C) ENERG10C--ctn Mid-C_042010 2010GRC" xfId="11358"/>
    <cellStyle name="_VC 6.15.06 update on 06GRC power costs.xls Chart 1_Power Costs - Comparison bx Rbtl-Staff-Jt-PC_DEM-WP(C) ENERG10C--ctn Mid-C_042010 2010GRC 2" xfId="11359"/>
    <cellStyle name="_VC 6.15.06 update on 06GRC power costs.xls Chart 1_Power Costs - Comparison bx Rbtl-Staff-Jt-PC_Electric Rev Req Model (2009 GRC) Rebuttal" xfId="11360"/>
    <cellStyle name="_VC 6.15.06 update on 06GRC power costs.xls Chart 1_Power Costs - Comparison bx Rbtl-Staff-Jt-PC_Electric Rev Req Model (2009 GRC) Rebuttal 2" xfId="11361"/>
    <cellStyle name="_VC 6.15.06 update on 06GRC power costs.xls Chart 1_Power Costs - Comparison bx Rbtl-Staff-Jt-PC_Electric Rev Req Model (2009 GRC) Rebuttal 2 2" xfId="11362"/>
    <cellStyle name="_VC 6.15.06 update on 06GRC power costs.xls Chart 1_Power Costs - Comparison bx Rbtl-Staff-Jt-PC_Electric Rev Req Model (2009 GRC) Rebuttal 3" xfId="11363"/>
    <cellStyle name="_VC 6.15.06 update on 06GRC power costs.xls Chart 1_Power Costs - Comparison bx Rbtl-Staff-Jt-PC_Electric Rev Req Model (2009 GRC) Rebuttal REmoval of New  WH Solar AdjustMI" xfId="11364"/>
    <cellStyle name="_VC 6.15.06 update on 06GRC power costs.xls Chart 1_Power Costs - Comparison bx Rbtl-Staff-Jt-PC_Electric Rev Req Model (2009 GRC) Rebuttal REmoval of New  WH Solar AdjustMI 2" xfId="11365"/>
    <cellStyle name="_VC 6.15.06 update on 06GRC power costs.xls Chart 1_Power Costs - Comparison bx Rbtl-Staff-Jt-PC_Electric Rev Req Model (2009 GRC) Rebuttal REmoval of New  WH Solar AdjustMI 2 2" xfId="11366"/>
    <cellStyle name="_VC 6.15.06 update on 06GRC power costs.xls Chart 1_Power Costs - Comparison bx Rbtl-Staff-Jt-PC_Electric Rev Req Model (2009 GRC) Rebuttal REmoval of New  WH Solar AdjustMI 3" xfId="11367"/>
    <cellStyle name="_VC 6.15.06 update on 06GRC power costs.xls Chart 1_Power Costs - Comparison bx Rbtl-Staff-Jt-PC_Electric Rev Req Model (2009 GRC) Rebuttal REmoval of New  WH Solar AdjustMI 3 2" xfId="11368"/>
    <cellStyle name="_VC 6.15.06 update on 06GRC power costs.xls Chart 1_Power Costs - Comparison bx Rbtl-Staff-Jt-PC_Electric Rev Req Model (2009 GRC) Rebuttal REmoval of New  WH Solar AdjustMI 4" xfId="11369"/>
    <cellStyle name="_VC 6.15.06 update on 06GRC power costs.xls Chart 1_Power Costs - Comparison bx Rbtl-Staff-Jt-PC_Electric Rev Req Model (2009 GRC) Rebuttal REmoval of New  WH Solar AdjustMI_DEM-WP(C) ENERG10C--ctn Mid-C_042010 2010GRC" xfId="11370"/>
    <cellStyle name="_VC 6.15.06 update on 06GRC power costs.xls Chart 1_Power Costs - Comparison bx Rbtl-Staff-Jt-PC_Electric Rev Req Model (2009 GRC) Rebuttal REmoval of New  WH Solar AdjustMI_DEM-WP(C) ENERG10C--ctn Mid-C_042010 2010GRC 2" xfId="11371"/>
    <cellStyle name="_VC 6.15.06 update on 06GRC power costs.xls Chart 1_Power Costs - Comparison bx Rbtl-Staff-Jt-PC_Electric Rev Req Model (2009 GRC) Revised 01-18-2010" xfId="11372"/>
    <cellStyle name="_VC 6.15.06 update on 06GRC power costs.xls Chart 1_Power Costs - Comparison bx Rbtl-Staff-Jt-PC_Electric Rev Req Model (2009 GRC) Revised 01-18-2010 2" xfId="11373"/>
    <cellStyle name="_VC 6.15.06 update on 06GRC power costs.xls Chart 1_Power Costs - Comparison bx Rbtl-Staff-Jt-PC_Electric Rev Req Model (2009 GRC) Revised 01-18-2010 2 2" xfId="11374"/>
    <cellStyle name="_VC 6.15.06 update on 06GRC power costs.xls Chart 1_Power Costs - Comparison bx Rbtl-Staff-Jt-PC_Electric Rev Req Model (2009 GRC) Revised 01-18-2010 3" xfId="11375"/>
    <cellStyle name="_VC 6.15.06 update on 06GRC power costs.xls Chart 1_Power Costs - Comparison bx Rbtl-Staff-Jt-PC_Electric Rev Req Model (2009 GRC) Revised 01-18-2010 3 2" xfId="11376"/>
    <cellStyle name="_VC 6.15.06 update on 06GRC power costs.xls Chart 1_Power Costs - Comparison bx Rbtl-Staff-Jt-PC_Electric Rev Req Model (2009 GRC) Revised 01-18-2010 4" xfId="11377"/>
    <cellStyle name="_VC 6.15.06 update on 06GRC power costs.xls Chart 1_Power Costs - Comparison bx Rbtl-Staff-Jt-PC_Electric Rev Req Model (2009 GRC) Revised 01-18-2010_DEM-WP(C) ENERG10C--ctn Mid-C_042010 2010GRC" xfId="11378"/>
    <cellStyle name="_VC 6.15.06 update on 06GRC power costs.xls Chart 1_Power Costs - Comparison bx Rbtl-Staff-Jt-PC_Electric Rev Req Model (2009 GRC) Revised 01-18-2010_DEM-WP(C) ENERG10C--ctn Mid-C_042010 2010GRC 2" xfId="11379"/>
    <cellStyle name="_VC 6.15.06 update on 06GRC power costs.xls Chart 1_Power Costs - Comparison bx Rbtl-Staff-Jt-PC_Final Order Electric EXHIBIT A-1" xfId="11380"/>
    <cellStyle name="_VC 6.15.06 update on 06GRC power costs.xls Chart 1_Power Costs - Comparison bx Rbtl-Staff-Jt-PC_Final Order Electric EXHIBIT A-1 2" xfId="11381"/>
    <cellStyle name="_VC 6.15.06 update on 06GRC power costs.xls Chart 1_Power Costs - Comparison bx Rbtl-Staff-Jt-PC_Final Order Electric EXHIBIT A-1 2 2" xfId="11382"/>
    <cellStyle name="_VC 6.15.06 update on 06GRC power costs.xls Chart 1_Power Costs - Comparison bx Rbtl-Staff-Jt-PC_Final Order Electric EXHIBIT A-1 3" xfId="11383"/>
    <cellStyle name="_VC 6.15.06 update on 06GRC power costs.xls Chart 1_Production Adj 4.37" xfId="21283"/>
    <cellStyle name="_VC 6.15.06 update on 06GRC power costs.xls Chart 1_Purchased Power Adj 4.03" xfId="21284"/>
    <cellStyle name="_VC 6.15.06 update on 06GRC power costs.xls Chart 1_Rebuttal Power Costs" xfId="11384"/>
    <cellStyle name="_VC 6.15.06 update on 06GRC power costs.xls Chart 1_Rebuttal Power Costs 2" xfId="11385"/>
    <cellStyle name="_VC 6.15.06 update on 06GRC power costs.xls Chart 1_Rebuttal Power Costs 2 2" xfId="11386"/>
    <cellStyle name="_VC 6.15.06 update on 06GRC power costs.xls Chart 1_Rebuttal Power Costs 3" xfId="11387"/>
    <cellStyle name="_VC 6.15.06 update on 06GRC power costs.xls Chart 1_Rebuttal Power Costs 3 2" xfId="11388"/>
    <cellStyle name="_VC 6.15.06 update on 06GRC power costs.xls Chart 1_Rebuttal Power Costs 4" xfId="11389"/>
    <cellStyle name="_VC 6.15.06 update on 06GRC power costs.xls Chart 1_Rebuttal Power Costs_Adj Bench DR 3 for Initial Briefs (Electric)" xfId="11390"/>
    <cellStyle name="_VC 6.15.06 update on 06GRC power costs.xls Chart 1_Rebuttal Power Costs_Adj Bench DR 3 for Initial Briefs (Electric) 2" xfId="11391"/>
    <cellStyle name="_VC 6.15.06 update on 06GRC power costs.xls Chart 1_Rebuttal Power Costs_Adj Bench DR 3 for Initial Briefs (Electric) 2 2" xfId="11392"/>
    <cellStyle name="_VC 6.15.06 update on 06GRC power costs.xls Chart 1_Rebuttal Power Costs_Adj Bench DR 3 for Initial Briefs (Electric) 3" xfId="11393"/>
    <cellStyle name="_VC 6.15.06 update on 06GRC power costs.xls Chart 1_Rebuttal Power Costs_Adj Bench DR 3 for Initial Briefs (Electric) 3 2" xfId="11394"/>
    <cellStyle name="_VC 6.15.06 update on 06GRC power costs.xls Chart 1_Rebuttal Power Costs_Adj Bench DR 3 for Initial Briefs (Electric) 4" xfId="11395"/>
    <cellStyle name="_VC 6.15.06 update on 06GRC power costs.xls Chart 1_Rebuttal Power Costs_Adj Bench DR 3 for Initial Briefs (Electric)_DEM-WP(C) ENERG10C--ctn Mid-C_042010 2010GRC" xfId="11396"/>
    <cellStyle name="_VC 6.15.06 update on 06GRC power costs.xls Chart 1_Rebuttal Power Costs_Adj Bench DR 3 for Initial Briefs (Electric)_DEM-WP(C) ENERG10C--ctn Mid-C_042010 2010GRC 2" xfId="11397"/>
    <cellStyle name="_VC 6.15.06 update on 06GRC power costs.xls Chart 1_Rebuttal Power Costs_DEM-WP(C) ENERG10C--ctn Mid-C_042010 2010GRC" xfId="11398"/>
    <cellStyle name="_VC 6.15.06 update on 06GRC power costs.xls Chart 1_Rebuttal Power Costs_DEM-WP(C) ENERG10C--ctn Mid-C_042010 2010GRC 2" xfId="11399"/>
    <cellStyle name="_VC 6.15.06 update on 06GRC power costs.xls Chart 1_Rebuttal Power Costs_Electric Rev Req Model (2009 GRC) Rebuttal" xfId="11400"/>
    <cellStyle name="_VC 6.15.06 update on 06GRC power costs.xls Chart 1_Rebuttal Power Costs_Electric Rev Req Model (2009 GRC) Rebuttal 2" xfId="11401"/>
    <cellStyle name="_VC 6.15.06 update on 06GRC power costs.xls Chart 1_Rebuttal Power Costs_Electric Rev Req Model (2009 GRC) Rebuttal 2 2" xfId="11402"/>
    <cellStyle name="_VC 6.15.06 update on 06GRC power costs.xls Chart 1_Rebuttal Power Costs_Electric Rev Req Model (2009 GRC) Rebuttal 3" xfId="11403"/>
    <cellStyle name="_VC 6.15.06 update on 06GRC power costs.xls Chart 1_Rebuttal Power Costs_Electric Rev Req Model (2009 GRC) Rebuttal REmoval of New  WH Solar AdjustMI" xfId="11404"/>
    <cellStyle name="_VC 6.15.06 update on 06GRC power costs.xls Chart 1_Rebuttal Power Costs_Electric Rev Req Model (2009 GRC) Rebuttal REmoval of New  WH Solar AdjustMI 2" xfId="11405"/>
    <cellStyle name="_VC 6.15.06 update on 06GRC power costs.xls Chart 1_Rebuttal Power Costs_Electric Rev Req Model (2009 GRC) Rebuttal REmoval of New  WH Solar AdjustMI 2 2" xfId="11406"/>
    <cellStyle name="_VC 6.15.06 update on 06GRC power costs.xls Chart 1_Rebuttal Power Costs_Electric Rev Req Model (2009 GRC) Rebuttal REmoval of New  WH Solar AdjustMI 3" xfId="11407"/>
    <cellStyle name="_VC 6.15.06 update on 06GRC power costs.xls Chart 1_Rebuttal Power Costs_Electric Rev Req Model (2009 GRC) Rebuttal REmoval of New  WH Solar AdjustMI 3 2" xfId="11408"/>
    <cellStyle name="_VC 6.15.06 update on 06GRC power costs.xls Chart 1_Rebuttal Power Costs_Electric Rev Req Model (2009 GRC) Rebuttal REmoval of New  WH Solar AdjustMI 4" xfId="11409"/>
    <cellStyle name="_VC 6.15.06 update on 06GRC power costs.xls Chart 1_Rebuttal Power Costs_Electric Rev Req Model (2009 GRC) Rebuttal REmoval of New  WH Solar AdjustMI_DEM-WP(C) ENERG10C--ctn Mid-C_042010 2010GRC" xfId="11410"/>
    <cellStyle name="_VC 6.15.06 update on 06GRC power costs.xls Chart 1_Rebuttal Power Costs_Electric Rev Req Model (2009 GRC) Rebuttal REmoval of New  WH Solar AdjustMI_DEM-WP(C) ENERG10C--ctn Mid-C_042010 2010GRC 2" xfId="11411"/>
    <cellStyle name="_VC 6.15.06 update on 06GRC power costs.xls Chart 1_Rebuttal Power Costs_Electric Rev Req Model (2009 GRC) Revised 01-18-2010" xfId="11412"/>
    <cellStyle name="_VC 6.15.06 update on 06GRC power costs.xls Chart 1_Rebuttal Power Costs_Electric Rev Req Model (2009 GRC) Revised 01-18-2010 2" xfId="11413"/>
    <cellStyle name="_VC 6.15.06 update on 06GRC power costs.xls Chart 1_Rebuttal Power Costs_Electric Rev Req Model (2009 GRC) Revised 01-18-2010 2 2" xfId="11414"/>
    <cellStyle name="_VC 6.15.06 update on 06GRC power costs.xls Chart 1_Rebuttal Power Costs_Electric Rev Req Model (2009 GRC) Revised 01-18-2010 3" xfId="11415"/>
    <cellStyle name="_VC 6.15.06 update on 06GRC power costs.xls Chart 1_Rebuttal Power Costs_Electric Rev Req Model (2009 GRC) Revised 01-18-2010 3 2" xfId="11416"/>
    <cellStyle name="_VC 6.15.06 update on 06GRC power costs.xls Chart 1_Rebuttal Power Costs_Electric Rev Req Model (2009 GRC) Revised 01-18-2010 4" xfId="11417"/>
    <cellStyle name="_VC 6.15.06 update on 06GRC power costs.xls Chart 1_Rebuttal Power Costs_Electric Rev Req Model (2009 GRC) Revised 01-18-2010_DEM-WP(C) ENERG10C--ctn Mid-C_042010 2010GRC" xfId="11418"/>
    <cellStyle name="_VC 6.15.06 update on 06GRC power costs.xls Chart 1_Rebuttal Power Costs_Electric Rev Req Model (2009 GRC) Revised 01-18-2010_DEM-WP(C) ENERG10C--ctn Mid-C_042010 2010GRC 2" xfId="11419"/>
    <cellStyle name="_VC 6.15.06 update on 06GRC power costs.xls Chart 1_Rebuttal Power Costs_Final Order Electric EXHIBIT A-1" xfId="11420"/>
    <cellStyle name="_VC 6.15.06 update on 06GRC power costs.xls Chart 1_Rebuttal Power Costs_Final Order Electric EXHIBIT A-1 2" xfId="11421"/>
    <cellStyle name="_VC 6.15.06 update on 06GRC power costs.xls Chart 1_Rebuttal Power Costs_Final Order Electric EXHIBIT A-1 2 2" xfId="11422"/>
    <cellStyle name="_VC 6.15.06 update on 06GRC power costs.xls Chart 1_Rebuttal Power Costs_Final Order Electric EXHIBIT A-1 3" xfId="11423"/>
    <cellStyle name="_VC 6.15.06 update on 06GRC power costs.xls Chart 1_ROR 5.02" xfId="21285"/>
    <cellStyle name="_VC 6.15.06 update on 06GRC power costs.xls Chart 1_Wind Integration 10GRC" xfId="11424"/>
    <cellStyle name="_VC 6.15.06 update on 06GRC power costs.xls Chart 1_Wind Integration 10GRC 2" xfId="11425"/>
    <cellStyle name="_VC 6.15.06 update on 06GRC power costs.xls Chart 1_Wind Integration 10GRC 2 2" xfId="11426"/>
    <cellStyle name="_VC 6.15.06 update on 06GRC power costs.xls Chart 1_Wind Integration 10GRC 3" xfId="11427"/>
    <cellStyle name="_VC 6.15.06 update on 06GRC power costs.xls Chart 1_Wind Integration 10GRC 3 2" xfId="11428"/>
    <cellStyle name="_VC 6.15.06 update on 06GRC power costs.xls Chart 1_Wind Integration 10GRC 4" xfId="11429"/>
    <cellStyle name="_VC 6.15.06 update on 06GRC power costs.xls Chart 1_Wind Integration 10GRC_DEM-WP(C) ENERG10C--ctn Mid-C_042010 2010GRC" xfId="11430"/>
    <cellStyle name="_VC 6.15.06 update on 06GRC power costs.xls Chart 1_Wind Integration 10GRC_DEM-WP(C) ENERG10C--ctn Mid-C_042010 2010GRC 2" xfId="11431"/>
    <cellStyle name="_VC 6.15.06 update on 06GRC power costs.xls Chart 2" xfId="11432"/>
    <cellStyle name="_VC 6.15.06 update on 06GRC power costs.xls Chart 2 2" xfId="11433"/>
    <cellStyle name="_VC 6.15.06 update on 06GRC power costs.xls Chart 2 2 2" xfId="11434"/>
    <cellStyle name="_VC 6.15.06 update on 06GRC power costs.xls Chart 2 2 2 2" xfId="11435"/>
    <cellStyle name="_VC 6.15.06 update on 06GRC power costs.xls Chart 2 2 3" xfId="11436"/>
    <cellStyle name="_VC 6.15.06 update on 06GRC power costs.xls Chart 2 2 3 2" xfId="11437"/>
    <cellStyle name="_VC 6.15.06 update on 06GRC power costs.xls Chart 2 2 4" xfId="11438"/>
    <cellStyle name="_VC 6.15.06 update on 06GRC power costs.xls Chart 2 3" xfId="11439"/>
    <cellStyle name="_VC 6.15.06 update on 06GRC power costs.xls Chart 2 3 2" xfId="11440"/>
    <cellStyle name="_VC 6.15.06 update on 06GRC power costs.xls Chart 2 4" xfId="11441"/>
    <cellStyle name="_VC 6.15.06 update on 06GRC power costs.xls Chart 2 4 2" xfId="11442"/>
    <cellStyle name="_VC 6.15.06 update on 06GRC power costs.xls Chart 2 4 2 2" xfId="11443"/>
    <cellStyle name="_VC 6.15.06 update on 06GRC power costs.xls Chart 2 4 3" xfId="11444"/>
    <cellStyle name="_VC 6.15.06 update on 06GRC power costs.xls Chart 2 5" xfId="11445"/>
    <cellStyle name="_VC 6.15.06 update on 06GRC power costs.xls Chart 2 5 2" xfId="11446"/>
    <cellStyle name="_VC 6.15.06 update on 06GRC power costs.xls Chart 2 6" xfId="11447"/>
    <cellStyle name="_VC 6.15.06 update on 06GRC power costs.xls Chart 2 6 2" xfId="11448"/>
    <cellStyle name="_VC 6.15.06 update on 06GRC power costs.xls Chart 2 6 2 2" xfId="11449"/>
    <cellStyle name="_VC 6.15.06 update on 06GRC power costs.xls Chart 2 6 3" xfId="11450"/>
    <cellStyle name="_VC 6.15.06 update on 06GRC power costs.xls Chart 2 7" xfId="11451"/>
    <cellStyle name="_VC 6.15.06 update on 06GRC power costs.xls Chart 2 7 2" xfId="11452"/>
    <cellStyle name="_VC 6.15.06 update on 06GRC power costs.xls Chart 2 7 2 2" xfId="11453"/>
    <cellStyle name="_VC 6.15.06 update on 06GRC power costs.xls Chart 2 7 3" xfId="11454"/>
    <cellStyle name="_VC 6.15.06 update on 06GRC power costs.xls Chart 2 8" xfId="11455"/>
    <cellStyle name="_VC 6.15.06 update on 06GRC power costs.xls Chart 2_04 07E Wild Horse Wind Expansion (C) (2)" xfId="11456"/>
    <cellStyle name="_VC 6.15.06 update on 06GRC power costs.xls Chart 2_04 07E Wild Horse Wind Expansion (C) (2) 2" xfId="11457"/>
    <cellStyle name="_VC 6.15.06 update on 06GRC power costs.xls Chart 2_04 07E Wild Horse Wind Expansion (C) (2) 2 2" xfId="11458"/>
    <cellStyle name="_VC 6.15.06 update on 06GRC power costs.xls Chart 2_04 07E Wild Horse Wind Expansion (C) (2) 3" xfId="11459"/>
    <cellStyle name="_VC 6.15.06 update on 06GRC power costs.xls Chart 2_04 07E Wild Horse Wind Expansion (C) (2) 3 2" xfId="11460"/>
    <cellStyle name="_VC 6.15.06 update on 06GRC power costs.xls Chart 2_04 07E Wild Horse Wind Expansion (C) (2) 4" xfId="11461"/>
    <cellStyle name="_VC 6.15.06 update on 06GRC power costs.xls Chart 2_04 07E Wild Horse Wind Expansion (C) (2)_Adj Bench DR 3 for Initial Briefs (Electric)" xfId="11462"/>
    <cellStyle name="_VC 6.15.06 update on 06GRC power costs.xls Chart 2_04 07E Wild Horse Wind Expansion (C) (2)_Adj Bench DR 3 for Initial Briefs (Electric) 2" xfId="11463"/>
    <cellStyle name="_VC 6.15.06 update on 06GRC power costs.xls Chart 2_04 07E Wild Horse Wind Expansion (C) (2)_Adj Bench DR 3 for Initial Briefs (Electric) 2 2" xfId="11464"/>
    <cellStyle name="_VC 6.15.06 update on 06GRC power costs.xls Chart 2_04 07E Wild Horse Wind Expansion (C) (2)_Adj Bench DR 3 for Initial Briefs (Electric) 3" xfId="11465"/>
    <cellStyle name="_VC 6.15.06 update on 06GRC power costs.xls Chart 2_04 07E Wild Horse Wind Expansion (C) (2)_Adj Bench DR 3 for Initial Briefs (Electric) 3 2" xfId="11466"/>
    <cellStyle name="_VC 6.15.06 update on 06GRC power costs.xls Chart 2_04 07E Wild Horse Wind Expansion (C) (2)_Adj Bench DR 3 for Initial Briefs (Electric) 4" xfId="11467"/>
    <cellStyle name="_VC 6.15.06 update on 06GRC power costs.xls Chart 2_04 07E Wild Horse Wind Expansion (C) (2)_Adj Bench DR 3 for Initial Briefs (Electric)_DEM-WP(C) ENERG10C--ctn Mid-C_042010 2010GRC" xfId="11468"/>
    <cellStyle name="_VC 6.15.06 update on 06GRC power costs.xls Chart 2_04 07E Wild Horse Wind Expansion (C) (2)_Adj Bench DR 3 for Initial Briefs (Electric)_DEM-WP(C) ENERG10C--ctn Mid-C_042010 2010GRC 2" xfId="11469"/>
    <cellStyle name="_VC 6.15.06 update on 06GRC power costs.xls Chart 2_04 07E Wild Horse Wind Expansion (C) (2)_Book1" xfId="11470"/>
    <cellStyle name="_VC 6.15.06 update on 06GRC power costs.xls Chart 2_04 07E Wild Horse Wind Expansion (C) (2)_Book1 2" xfId="11471"/>
    <cellStyle name="_VC 6.15.06 update on 06GRC power costs.xls Chart 2_04 07E Wild Horse Wind Expansion (C) (2)_DEM-WP(C) ENERG10C--ctn Mid-C_042010 2010GRC" xfId="11472"/>
    <cellStyle name="_VC 6.15.06 update on 06GRC power costs.xls Chart 2_04 07E Wild Horse Wind Expansion (C) (2)_DEM-WP(C) ENERG10C--ctn Mid-C_042010 2010GRC 2" xfId="11473"/>
    <cellStyle name="_VC 6.15.06 update on 06GRC power costs.xls Chart 2_04 07E Wild Horse Wind Expansion (C) (2)_Electric Rev Req Model (2009 GRC) " xfId="11474"/>
    <cellStyle name="_VC 6.15.06 update on 06GRC power costs.xls Chart 2_04 07E Wild Horse Wind Expansion (C) (2)_Electric Rev Req Model (2009 GRC)  2" xfId="11475"/>
    <cellStyle name="_VC 6.15.06 update on 06GRC power costs.xls Chart 2_04 07E Wild Horse Wind Expansion (C) (2)_Electric Rev Req Model (2009 GRC)  2 2" xfId="11476"/>
    <cellStyle name="_VC 6.15.06 update on 06GRC power costs.xls Chart 2_04 07E Wild Horse Wind Expansion (C) (2)_Electric Rev Req Model (2009 GRC)  3" xfId="11477"/>
    <cellStyle name="_VC 6.15.06 update on 06GRC power costs.xls Chart 2_04 07E Wild Horse Wind Expansion (C) (2)_Electric Rev Req Model (2009 GRC)  3 2" xfId="11478"/>
    <cellStyle name="_VC 6.15.06 update on 06GRC power costs.xls Chart 2_04 07E Wild Horse Wind Expansion (C) (2)_Electric Rev Req Model (2009 GRC)  4" xfId="11479"/>
    <cellStyle name="_VC 6.15.06 update on 06GRC power costs.xls Chart 2_04 07E Wild Horse Wind Expansion (C) (2)_Electric Rev Req Model (2009 GRC) _DEM-WP(C) ENERG10C--ctn Mid-C_042010 2010GRC" xfId="11480"/>
    <cellStyle name="_VC 6.15.06 update on 06GRC power costs.xls Chart 2_04 07E Wild Horse Wind Expansion (C) (2)_Electric Rev Req Model (2009 GRC) _DEM-WP(C) ENERG10C--ctn Mid-C_042010 2010GRC 2" xfId="11481"/>
    <cellStyle name="_VC 6.15.06 update on 06GRC power costs.xls Chart 2_04 07E Wild Horse Wind Expansion (C) (2)_Electric Rev Req Model (2009 GRC) Rebuttal" xfId="11482"/>
    <cellStyle name="_VC 6.15.06 update on 06GRC power costs.xls Chart 2_04 07E Wild Horse Wind Expansion (C) (2)_Electric Rev Req Model (2009 GRC) Rebuttal 2" xfId="11483"/>
    <cellStyle name="_VC 6.15.06 update on 06GRC power costs.xls Chart 2_04 07E Wild Horse Wind Expansion (C) (2)_Electric Rev Req Model (2009 GRC) Rebuttal 2 2" xfId="11484"/>
    <cellStyle name="_VC 6.15.06 update on 06GRC power costs.xls Chart 2_04 07E Wild Horse Wind Expansion (C) (2)_Electric Rev Req Model (2009 GRC) Rebuttal 3" xfId="11485"/>
    <cellStyle name="_VC 6.15.06 update on 06GRC power costs.xls Chart 2_04 07E Wild Horse Wind Expansion (C) (2)_Electric Rev Req Model (2009 GRC) Rebuttal REmoval of New  WH Solar AdjustMI" xfId="11486"/>
    <cellStyle name="_VC 6.15.06 update on 06GRC power costs.xls Chart 2_04 07E Wild Horse Wind Expansion (C) (2)_Electric Rev Req Model (2009 GRC) Rebuttal REmoval of New  WH Solar AdjustMI 2" xfId="11487"/>
    <cellStyle name="_VC 6.15.06 update on 06GRC power costs.xls Chart 2_04 07E Wild Horse Wind Expansion (C) (2)_Electric Rev Req Model (2009 GRC) Rebuttal REmoval of New  WH Solar AdjustMI 2 2" xfId="11488"/>
    <cellStyle name="_VC 6.15.06 update on 06GRC power costs.xls Chart 2_04 07E Wild Horse Wind Expansion (C) (2)_Electric Rev Req Model (2009 GRC) Rebuttal REmoval of New  WH Solar AdjustMI 3" xfId="11489"/>
    <cellStyle name="_VC 6.15.06 update on 06GRC power costs.xls Chart 2_04 07E Wild Horse Wind Expansion (C) (2)_Electric Rev Req Model (2009 GRC) Rebuttal REmoval of New  WH Solar AdjustMI 3 2" xfId="11490"/>
    <cellStyle name="_VC 6.15.06 update on 06GRC power costs.xls Chart 2_04 07E Wild Horse Wind Expansion (C) (2)_Electric Rev Req Model (2009 GRC) Rebuttal REmoval of New  WH Solar AdjustMI 4" xfId="11491"/>
    <cellStyle name="_VC 6.15.06 update on 06GRC power costs.xls Chart 2_04 07E Wild Horse Wind Expansion (C) (2)_Electric Rev Req Model (2009 GRC) Rebuttal REmoval of New  WH Solar AdjustMI_DEM-WP(C) ENERG10C--ctn Mid-C_042010 2010GRC" xfId="11492"/>
    <cellStyle name="_VC 6.15.06 update on 06GRC power costs.xls Chart 2_04 07E Wild Horse Wind Expansion (C) (2)_Electric Rev Req Model (2009 GRC) Rebuttal REmoval of New  WH Solar AdjustMI_DEM-WP(C) ENERG10C--ctn Mid-C_042010 2010GRC 2" xfId="11493"/>
    <cellStyle name="_VC 6.15.06 update on 06GRC power costs.xls Chart 2_04 07E Wild Horse Wind Expansion (C) (2)_Electric Rev Req Model (2009 GRC) Revised 01-18-2010" xfId="11494"/>
    <cellStyle name="_VC 6.15.06 update on 06GRC power costs.xls Chart 2_04 07E Wild Horse Wind Expansion (C) (2)_Electric Rev Req Model (2009 GRC) Revised 01-18-2010 2" xfId="11495"/>
    <cellStyle name="_VC 6.15.06 update on 06GRC power costs.xls Chart 2_04 07E Wild Horse Wind Expansion (C) (2)_Electric Rev Req Model (2009 GRC) Revised 01-18-2010 2 2" xfId="11496"/>
    <cellStyle name="_VC 6.15.06 update on 06GRC power costs.xls Chart 2_04 07E Wild Horse Wind Expansion (C) (2)_Electric Rev Req Model (2009 GRC) Revised 01-18-2010 3" xfId="11497"/>
    <cellStyle name="_VC 6.15.06 update on 06GRC power costs.xls Chart 2_04 07E Wild Horse Wind Expansion (C) (2)_Electric Rev Req Model (2009 GRC) Revised 01-18-2010 3 2" xfId="11498"/>
    <cellStyle name="_VC 6.15.06 update on 06GRC power costs.xls Chart 2_04 07E Wild Horse Wind Expansion (C) (2)_Electric Rev Req Model (2009 GRC) Revised 01-18-2010 4" xfId="11499"/>
    <cellStyle name="_VC 6.15.06 update on 06GRC power costs.xls Chart 2_04 07E Wild Horse Wind Expansion (C) (2)_Electric Rev Req Model (2009 GRC) Revised 01-18-2010_DEM-WP(C) ENERG10C--ctn Mid-C_042010 2010GRC" xfId="11500"/>
    <cellStyle name="_VC 6.15.06 update on 06GRC power costs.xls Chart 2_04 07E Wild Horse Wind Expansion (C) (2)_Electric Rev Req Model (2009 GRC) Revised 01-18-2010_DEM-WP(C) ENERG10C--ctn Mid-C_042010 2010GRC 2" xfId="11501"/>
    <cellStyle name="_VC 6.15.06 update on 06GRC power costs.xls Chart 2_04 07E Wild Horse Wind Expansion (C) (2)_Electric Rev Req Model (2010 GRC)" xfId="11502"/>
    <cellStyle name="_VC 6.15.06 update on 06GRC power costs.xls Chart 2_04 07E Wild Horse Wind Expansion (C) (2)_Electric Rev Req Model (2010 GRC) 2" xfId="11503"/>
    <cellStyle name="_VC 6.15.06 update on 06GRC power costs.xls Chart 2_04 07E Wild Horse Wind Expansion (C) (2)_Electric Rev Req Model (2010 GRC) SF" xfId="11504"/>
    <cellStyle name="_VC 6.15.06 update on 06GRC power costs.xls Chart 2_04 07E Wild Horse Wind Expansion (C) (2)_Electric Rev Req Model (2010 GRC) SF 2" xfId="11505"/>
    <cellStyle name="_VC 6.15.06 update on 06GRC power costs.xls Chart 2_04 07E Wild Horse Wind Expansion (C) (2)_Final Order Electric EXHIBIT A-1" xfId="11506"/>
    <cellStyle name="_VC 6.15.06 update on 06GRC power costs.xls Chart 2_04 07E Wild Horse Wind Expansion (C) (2)_Final Order Electric EXHIBIT A-1 2" xfId="11507"/>
    <cellStyle name="_VC 6.15.06 update on 06GRC power costs.xls Chart 2_04 07E Wild Horse Wind Expansion (C) (2)_Final Order Electric EXHIBIT A-1 2 2" xfId="11508"/>
    <cellStyle name="_VC 6.15.06 update on 06GRC power costs.xls Chart 2_04 07E Wild Horse Wind Expansion (C) (2)_Final Order Electric EXHIBIT A-1 3" xfId="11509"/>
    <cellStyle name="_VC 6.15.06 update on 06GRC power costs.xls Chart 2_04 07E Wild Horse Wind Expansion (C) (2)_TENASKA REGULATORY ASSET" xfId="11510"/>
    <cellStyle name="_VC 6.15.06 update on 06GRC power costs.xls Chart 2_04 07E Wild Horse Wind Expansion (C) (2)_TENASKA REGULATORY ASSET 2" xfId="11511"/>
    <cellStyle name="_VC 6.15.06 update on 06GRC power costs.xls Chart 2_04 07E Wild Horse Wind Expansion (C) (2)_TENASKA REGULATORY ASSET 2 2" xfId="11512"/>
    <cellStyle name="_VC 6.15.06 update on 06GRC power costs.xls Chart 2_04 07E Wild Horse Wind Expansion (C) (2)_TENASKA REGULATORY ASSET 3" xfId="11513"/>
    <cellStyle name="_VC 6.15.06 update on 06GRC power costs.xls Chart 2_16.37E Wild Horse Expansion DeferralRevwrkingfile SF" xfId="11514"/>
    <cellStyle name="_VC 6.15.06 update on 06GRC power costs.xls Chart 2_16.37E Wild Horse Expansion DeferralRevwrkingfile SF 2" xfId="11515"/>
    <cellStyle name="_VC 6.15.06 update on 06GRC power costs.xls Chart 2_16.37E Wild Horse Expansion DeferralRevwrkingfile SF 2 2" xfId="11516"/>
    <cellStyle name="_VC 6.15.06 update on 06GRC power costs.xls Chart 2_16.37E Wild Horse Expansion DeferralRevwrkingfile SF 3" xfId="11517"/>
    <cellStyle name="_VC 6.15.06 update on 06GRC power costs.xls Chart 2_16.37E Wild Horse Expansion DeferralRevwrkingfile SF 3 2" xfId="11518"/>
    <cellStyle name="_VC 6.15.06 update on 06GRC power costs.xls Chart 2_16.37E Wild Horse Expansion DeferralRevwrkingfile SF 4" xfId="11519"/>
    <cellStyle name="_VC 6.15.06 update on 06GRC power costs.xls Chart 2_16.37E Wild Horse Expansion DeferralRevwrkingfile SF_DEM-WP(C) ENERG10C--ctn Mid-C_042010 2010GRC" xfId="11520"/>
    <cellStyle name="_VC 6.15.06 update on 06GRC power costs.xls Chart 2_16.37E Wild Horse Expansion DeferralRevwrkingfile SF_DEM-WP(C) ENERG10C--ctn Mid-C_042010 2010GRC 2" xfId="11521"/>
    <cellStyle name="_VC 6.15.06 update on 06GRC power costs.xls Chart 2_2009 Compliance Filing PCA Exhibits for GRC" xfId="11522"/>
    <cellStyle name="_VC 6.15.06 update on 06GRC power costs.xls Chart 2_2009 Compliance Filing PCA Exhibits for GRC 2" xfId="11523"/>
    <cellStyle name="_VC 6.15.06 update on 06GRC power costs.xls Chart 2_2009 Compliance Filing PCA Exhibits for GRC 2 2" xfId="11524"/>
    <cellStyle name="_VC 6.15.06 update on 06GRC power costs.xls Chart 2_2009 Compliance Filing PCA Exhibits for GRC 3" xfId="11525"/>
    <cellStyle name="_VC 6.15.06 update on 06GRC power costs.xls Chart 2_2009 GRC Compl Filing - Exhibit D" xfId="11526"/>
    <cellStyle name="_VC 6.15.06 update on 06GRC power costs.xls Chart 2_2009 GRC Compl Filing - Exhibit D 2" xfId="11527"/>
    <cellStyle name="_VC 6.15.06 update on 06GRC power costs.xls Chart 2_2009 GRC Compl Filing - Exhibit D 2 2" xfId="11528"/>
    <cellStyle name="_VC 6.15.06 update on 06GRC power costs.xls Chart 2_2009 GRC Compl Filing - Exhibit D 3" xfId="11529"/>
    <cellStyle name="_VC 6.15.06 update on 06GRC power costs.xls Chart 2_2009 GRC Compl Filing - Exhibit D 3 2" xfId="11530"/>
    <cellStyle name="_VC 6.15.06 update on 06GRC power costs.xls Chart 2_2009 GRC Compl Filing - Exhibit D 4" xfId="11531"/>
    <cellStyle name="_VC 6.15.06 update on 06GRC power costs.xls Chart 2_2009 GRC Compl Filing - Exhibit D_DEM-WP(C) ENERG10C--ctn Mid-C_042010 2010GRC" xfId="11532"/>
    <cellStyle name="_VC 6.15.06 update on 06GRC power costs.xls Chart 2_2009 GRC Compl Filing - Exhibit D_DEM-WP(C) ENERG10C--ctn Mid-C_042010 2010GRC 2" xfId="11533"/>
    <cellStyle name="_VC 6.15.06 update on 06GRC power costs.xls Chart 2_3.01 Income Statement" xfId="11534"/>
    <cellStyle name="_VC 6.15.06 update on 06GRC power costs.xls Chart 2_4 31 Regulatory Assets and Liabilities  7 06- Exhibit D" xfId="11535"/>
    <cellStyle name="_VC 6.15.06 update on 06GRC power costs.xls Chart 2_4 31 Regulatory Assets and Liabilities  7 06- Exhibit D 2" xfId="11536"/>
    <cellStyle name="_VC 6.15.06 update on 06GRC power costs.xls Chart 2_4 31 Regulatory Assets and Liabilities  7 06- Exhibit D 2 2" xfId="11537"/>
    <cellStyle name="_VC 6.15.06 update on 06GRC power costs.xls Chart 2_4 31 Regulatory Assets and Liabilities  7 06- Exhibit D 3" xfId="11538"/>
    <cellStyle name="_VC 6.15.06 update on 06GRC power costs.xls Chart 2_4 31 Regulatory Assets and Liabilities  7 06- Exhibit D 3 2" xfId="11539"/>
    <cellStyle name="_VC 6.15.06 update on 06GRC power costs.xls Chart 2_4 31 Regulatory Assets and Liabilities  7 06- Exhibit D 4" xfId="11540"/>
    <cellStyle name="_VC 6.15.06 update on 06GRC power costs.xls Chart 2_4 31 Regulatory Assets and Liabilities  7 06- Exhibit D_DEM-WP(C) ENERG10C--ctn Mid-C_042010 2010GRC" xfId="11541"/>
    <cellStyle name="_VC 6.15.06 update on 06GRC power costs.xls Chart 2_4 31 Regulatory Assets and Liabilities  7 06- Exhibit D_DEM-WP(C) ENERG10C--ctn Mid-C_042010 2010GRC 2" xfId="11542"/>
    <cellStyle name="_VC 6.15.06 update on 06GRC power costs.xls Chart 2_4 31 Regulatory Assets and Liabilities  7 06- Exhibit D_NIM Summary" xfId="11543"/>
    <cellStyle name="_VC 6.15.06 update on 06GRC power costs.xls Chart 2_4 31 Regulatory Assets and Liabilities  7 06- Exhibit D_NIM Summary 2" xfId="11544"/>
    <cellStyle name="_VC 6.15.06 update on 06GRC power costs.xls Chart 2_4 31 Regulatory Assets and Liabilities  7 06- Exhibit D_NIM Summary 2 2" xfId="11545"/>
    <cellStyle name="_VC 6.15.06 update on 06GRC power costs.xls Chart 2_4 31 Regulatory Assets and Liabilities  7 06- Exhibit D_NIM Summary 3" xfId="11546"/>
    <cellStyle name="_VC 6.15.06 update on 06GRC power costs.xls Chart 2_4 31 Regulatory Assets and Liabilities  7 06- Exhibit D_NIM Summary 3 2" xfId="11547"/>
    <cellStyle name="_VC 6.15.06 update on 06GRC power costs.xls Chart 2_4 31 Regulatory Assets and Liabilities  7 06- Exhibit D_NIM Summary 4" xfId="11548"/>
    <cellStyle name="_VC 6.15.06 update on 06GRC power costs.xls Chart 2_4 31 Regulatory Assets and Liabilities  7 06- Exhibit D_NIM Summary_DEM-WP(C) ENERG10C--ctn Mid-C_042010 2010GRC" xfId="11549"/>
    <cellStyle name="_VC 6.15.06 update on 06GRC power costs.xls Chart 2_4 31 Regulatory Assets and Liabilities  7 06- Exhibit D_NIM Summary_DEM-WP(C) ENERG10C--ctn Mid-C_042010 2010GRC 2" xfId="11550"/>
    <cellStyle name="_VC 6.15.06 update on 06GRC power costs.xls Chart 2_4 31E Reg Asset  Liab and EXH D" xfId="11551"/>
    <cellStyle name="_VC 6.15.06 update on 06GRC power costs.xls Chart 2_4 31E Reg Asset  Liab and EXH D _ Aug 10 Filing (2)" xfId="11552"/>
    <cellStyle name="_VC 6.15.06 update on 06GRC power costs.xls Chart 2_4 31E Reg Asset  Liab and EXH D _ Aug 10 Filing (2) 2" xfId="11553"/>
    <cellStyle name="_VC 6.15.06 update on 06GRC power costs.xls Chart 2_4 31E Reg Asset  Liab and EXH D 2" xfId="11554"/>
    <cellStyle name="_VC 6.15.06 update on 06GRC power costs.xls Chart 2_4 31E Reg Asset  Liab and EXH D 3" xfId="11555"/>
    <cellStyle name="_VC 6.15.06 update on 06GRC power costs.xls Chart 2_4 32 Regulatory Assets and Liabilities  7 06- Exhibit D" xfId="11556"/>
    <cellStyle name="_VC 6.15.06 update on 06GRC power costs.xls Chart 2_4 32 Regulatory Assets and Liabilities  7 06- Exhibit D 2" xfId="11557"/>
    <cellStyle name="_VC 6.15.06 update on 06GRC power costs.xls Chart 2_4 32 Regulatory Assets and Liabilities  7 06- Exhibit D 2 2" xfId="11558"/>
    <cellStyle name="_VC 6.15.06 update on 06GRC power costs.xls Chart 2_4 32 Regulatory Assets and Liabilities  7 06- Exhibit D 3" xfId="11559"/>
    <cellStyle name="_VC 6.15.06 update on 06GRC power costs.xls Chart 2_4 32 Regulatory Assets and Liabilities  7 06- Exhibit D 3 2" xfId="11560"/>
    <cellStyle name="_VC 6.15.06 update on 06GRC power costs.xls Chart 2_4 32 Regulatory Assets and Liabilities  7 06- Exhibit D 4" xfId="11561"/>
    <cellStyle name="_VC 6.15.06 update on 06GRC power costs.xls Chart 2_4 32 Regulatory Assets and Liabilities  7 06- Exhibit D_DEM-WP(C) ENERG10C--ctn Mid-C_042010 2010GRC" xfId="11562"/>
    <cellStyle name="_VC 6.15.06 update on 06GRC power costs.xls Chart 2_4 32 Regulatory Assets and Liabilities  7 06- Exhibit D_DEM-WP(C) ENERG10C--ctn Mid-C_042010 2010GRC 2" xfId="11563"/>
    <cellStyle name="_VC 6.15.06 update on 06GRC power costs.xls Chart 2_4 32 Regulatory Assets and Liabilities  7 06- Exhibit D_NIM Summary" xfId="11564"/>
    <cellStyle name="_VC 6.15.06 update on 06GRC power costs.xls Chart 2_4 32 Regulatory Assets and Liabilities  7 06- Exhibit D_NIM Summary 2" xfId="11565"/>
    <cellStyle name="_VC 6.15.06 update on 06GRC power costs.xls Chart 2_4 32 Regulatory Assets and Liabilities  7 06- Exhibit D_NIM Summary 2 2" xfId="11566"/>
    <cellStyle name="_VC 6.15.06 update on 06GRC power costs.xls Chart 2_4 32 Regulatory Assets and Liabilities  7 06- Exhibit D_NIM Summary 3" xfId="11567"/>
    <cellStyle name="_VC 6.15.06 update on 06GRC power costs.xls Chart 2_4 32 Regulatory Assets and Liabilities  7 06- Exhibit D_NIM Summary 3 2" xfId="11568"/>
    <cellStyle name="_VC 6.15.06 update on 06GRC power costs.xls Chart 2_4 32 Regulatory Assets and Liabilities  7 06- Exhibit D_NIM Summary 4" xfId="11569"/>
    <cellStyle name="_VC 6.15.06 update on 06GRC power costs.xls Chart 2_4 32 Regulatory Assets and Liabilities  7 06- Exhibit D_NIM Summary_DEM-WP(C) ENERG10C--ctn Mid-C_042010 2010GRC" xfId="11570"/>
    <cellStyle name="_VC 6.15.06 update on 06GRC power costs.xls Chart 2_4 32 Regulatory Assets and Liabilities  7 06- Exhibit D_NIM Summary_DEM-WP(C) ENERG10C--ctn Mid-C_042010 2010GRC 2" xfId="11571"/>
    <cellStyle name="_VC 6.15.06 update on 06GRC power costs.xls Chart 2_AURORA Total New" xfId="11572"/>
    <cellStyle name="_VC 6.15.06 update on 06GRC power costs.xls Chart 2_AURORA Total New 2" xfId="11573"/>
    <cellStyle name="_VC 6.15.06 update on 06GRC power costs.xls Chart 2_AURORA Total New 2 2" xfId="11574"/>
    <cellStyle name="_VC 6.15.06 update on 06GRC power costs.xls Chart 2_AURORA Total New 3" xfId="11575"/>
    <cellStyle name="_VC 6.15.06 update on 06GRC power costs.xls Chart 2_Book2" xfId="11576"/>
    <cellStyle name="_VC 6.15.06 update on 06GRC power costs.xls Chart 2_Book2 2" xfId="11577"/>
    <cellStyle name="_VC 6.15.06 update on 06GRC power costs.xls Chart 2_Book2 2 2" xfId="11578"/>
    <cellStyle name="_VC 6.15.06 update on 06GRC power costs.xls Chart 2_Book2 3" xfId="11579"/>
    <cellStyle name="_VC 6.15.06 update on 06GRC power costs.xls Chart 2_Book2 3 2" xfId="11580"/>
    <cellStyle name="_VC 6.15.06 update on 06GRC power costs.xls Chart 2_Book2 4" xfId="11581"/>
    <cellStyle name="_VC 6.15.06 update on 06GRC power costs.xls Chart 2_Book2_Adj Bench DR 3 for Initial Briefs (Electric)" xfId="11582"/>
    <cellStyle name="_VC 6.15.06 update on 06GRC power costs.xls Chart 2_Book2_Adj Bench DR 3 for Initial Briefs (Electric) 2" xfId="11583"/>
    <cellStyle name="_VC 6.15.06 update on 06GRC power costs.xls Chart 2_Book2_Adj Bench DR 3 for Initial Briefs (Electric) 2 2" xfId="11584"/>
    <cellStyle name="_VC 6.15.06 update on 06GRC power costs.xls Chart 2_Book2_Adj Bench DR 3 for Initial Briefs (Electric) 3" xfId="11585"/>
    <cellStyle name="_VC 6.15.06 update on 06GRC power costs.xls Chart 2_Book2_Adj Bench DR 3 for Initial Briefs (Electric) 3 2" xfId="11586"/>
    <cellStyle name="_VC 6.15.06 update on 06GRC power costs.xls Chart 2_Book2_Adj Bench DR 3 for Initial Briefs (Electric) 4" xfId="11587"/>
    <cellStyle name="_VC 6.15.06 update on 06GRC power costs.xls Chart 2_Book2_Adj Bench DR 3 for Initial Briefs (Electric)_DEM-WP(C) ENERG10C--ctn Mid-C_042010 2010GRC" xfId="11588"/>
    <cellStyle name="_VC 6.15.06 update on 06GRC power costs.xls Chart 2_Book2_Adj Bench DR 3 for Initial Briefs (Electric)_DEM-WP(C) ENERG10C--ctn Mid-C_042010 2010GRC 2" xfId="11589"/>
    <cellStyle name="_VC 6.15.06 update on 06GRC power costs.xls Chart 2_Book2_DEM-WP(C) ENERG10C--ctn Mid-C_042010 2010GRC" xfId="11590"/>
    <cellStyle name="_VC 6.15.06 update on 06GRC power costs.xls Chart 2_Book2_DEM-WP(C) ENERG10C--ctn Mid-C_042010 2010GRC 2" xfId="11591"/>
    <cellStyle name="_VC 6.15.06 update on 06GRC power costs.xls Chart 2_Book2_Electric Rev Req Model (2009 GRC) Rebuttal" xfId="11592"/>
    <cellStyle name="_VC 6.15.06 update on 06GRC power costs.xls Chart 2_Book2_Electric Rev Req Model (2009 GRC) Rebuttal 2" xfId="11593"/>
    <cellStyle name="_VC 6.15.06 update on 06GRC power costs.xls Chart 2_Book2_Electric Rev Req Model (2009 GRC) Rebuttal 2 2" xfId="11594"/>
    <cellStyle name="_VC 6.15.06 update on 06GRC power costs.xls Chart 2_Book2_Electric Rev Req Model (2009 GRC) Rebuttal 3" xfId="11595"/>
    <cellStyle name="_VC 6.15.06 update on 06GRC power costs.xls Chart 2_Book2_Electric Rev Req Model (2009 GRC) Rebuttal REmoval of New  WH Solar AdjustMI" xfId="11596"/>
    <cellStyle name="_VC 6.15.06 update on 06GRC power costs.xls Chart 2_Book2_Electric Rev Req Model (2009 GRC) Rebuttal REmoval of New  WH Solar AdjustMI 2" xfId="11597"/>
    <cellStyle name="_VC 6.15.06 update on 06GRC power costs.xls Chart 2_Book2_Electric Rev Req Model (2009 GRC) Rebuttal REmoval of New  WH Solar AdjustMI 2 2" xfId="11598"/>
    <cellStyle name="_VC 6.15.06 update on 06GRC power costs.xls Chart 2_Book2_Electric Rev Req Model (2009 GRC) Rebuttal REmoval of New  WH Solar AdjustMI 3" xfId="11599"/>
    <cellStyle name="_VC 6.15.06 update on 06GRC power costs.xls Chart 2_Book2_Electric Rev Req Model (2009 GRC) Rebuttal REmoval of New  WH Solar AdjustMI 3 2" xfId="11600"/>
    <cellStyle name="_VC 6.15.06 update on 06GRC power costs.xls Chart 2_Book2_Electric Rev Req Model (2009 GRC) Rebuttal REmoval of New  WH Solar AdjustMI 4" xfId="11601"/>
    <cellStyle name="_VC 6.15.06 update on 06GRC power costs.xls Chart 2_Book2_Electric Rev Req Model (2009 GRC) Rebuttal REmoval of New  WH Solar AdjustMI_DEM-WP(C) ENERG10C--ctn Mid-C_042010 2010GRC" xfId="11602"/>
    <cellStyle name="_VC 6.15.06 update on 06GRC power costs.xls Chart 2_Book2_Electric Rev Req Model (2009 GRC) Rebuttal REmoval of New  WH Solar AdjustMI_DEM-WP(C) ENERG10C--ctn Mid-C_042010 2010GRC 2" xfId="11603"/>
    <cellStyle name="_VC 6.15.06 update on 06GRC power costs.xls Chart 2_Book2_Electric Rev Req Model (2009 GRC) Revised 01-18-2010" xfId="11604"/>
    <cellStyle name="_VC 6.15.06 update on 06GRC power costs.xls Chart 2_Book2_Electric Rev Req Model (2009 GRC) Revised 01-18-2010 2" xfId="11605"/>
    <cellStyle name="_VC 6.15.06 update on 06GRC power costs.xls Chart 2_Book2_Electric Rev Req Model (2009 GRC) Revised 01-18-2010 2 2" xfId="11606"/>
    <cellStyle name="_VC 6.15.06 update on 06GRC power costs.xls Chart 2_Book2_Electric Rev Req Model (2009 GRC) Revised 01-18-2010 3" xfId="11607"/>
    <cellStyle name="_VC 6.15.06 update on 06GRC power costs.xls Chart 2_Book2_Electric Rev Req Model (2009 GRC) Revised 01-18-2010 3 2" xfId="11608"/>
    <cellStyle name="_VC 6.15.06 update on 06GRC power costs.xls Chart 2_Book2_Electric Rev Req Model (2009 GRC) Revised 01-18-2010 4" xfId="11609"/>
    <cellStyle name="_VC 6.15.06 update on 06GRC power costs.xls Chart 2_Book2_Electric Rev Req Model (2009 GRC) Revised 01-18-2010_DEM-WP(C) ENERG10C--ctn Mid-C_042010 2010GRC" xfId="11610"/>
    <cellStyle name="_VC 6.15.06 update on 06GRC power costs.xls Chart 2_Book2_Electric Rev Req Model (2009 GRC) Revised 01-18-2010_DEM-WP(C) ENERG10C--ctn Mid-C_042010 2010GRC 2" xfId="11611"/>
    <cellStyle name="_VC 6.15.06 update on 06GRC power costs.xls Chart 2_Book2_Final Order Electric EXHIBIT A-1" xfId="11612"/>
    <cellStyle name="_VC 6.15.06 update on 06GRC power costs.xls Chart 2_Book2_Final Order Electric EXHIBIT A-1 2" xfId="11613"/>
    <cellStyle name="_VC 6.15.06 update on 06GRC power costs.xls Chart 2_Book2_Final Order Electric EXHIBIT A-1 2 2" xfId="11614"/>
    <cellStyle name="_VC 6.15.06 update on 06GRC power costs.xls Chart 2_Book2_Final Order Electric EXHIBIT A-1 3" xfId="11615"/>
    <cellStyle name="_VC 6.15.06 update on 06GRC power costs.xls Chart 2_Book4" xfId="11616"/>
    <cellStyle name="_VC 6.15.06 update on 06GRC power costs.xls Chart 2_Book4 2" xfId="11617"/>
    <cellStyle name="_VC 6.15.06 update on 06GRC power costs.xls Chart 2_Book4 2 2" xfId="11618"/>
    <cellStyle name="_VC 6.15.06 update on 06GRC power costs.xls Chart 2_Book4 3" xfId="11619"/>
    <cellStyle name="_VC 6.15.06 update on 06GRC power costs.xls Chart 2_Book4 3 2" xfId="11620"/>
    <cellStyle name="_VC 6.15.06 update on 06GRC power costs.xls Chart 2_Book4 4" xfId="11621"/>
    <cellStyle name="_VC 6.15.06 update on 06GRC power costs.xls Chart 2_Book4_DEM-WP(C) ENERG10C--ctn Mid-C_042010 2010GRC" xfId="11622"/>
    <cellStyle name="_VC 6.15.06 update on 06GRC power costs.xls Chart 2_Book4_DEM-WP(C) ENERG10C--ctn Mid-C_042010 2010GRC 2" xfId="11623"/>
    <cellStyle name="_VC 6.15.06 update on 06GRC power costs.xls Chart 2_Book9" xfId="11624"/>
    <cellStyle name="_VC 6.15.06 update on 06GRC power costs.xls Chart 2_Book9 2" xfId="11625"/>
    <cellStyle name="_VC 6.15.06 update on 06GRC power costs.xls Chart 2_Book9 2 2" xfId="11626"/>
    <cellStyle name="_VC 6.15.06 update on 06GRC power costs.xls Chart 2_Book9 3" xfId="11627"/>
    <cellStyle name="_VC 6.15.06 update on 06GRC power costs.xls Chart 2_Book9 3 2" xfId="11628"/>
    <cellStyle name="_VC 6.15.06 update on 06GRC power costs.xls Chart 2_Book9 4" xfId="11629"/>
    <cellStyle name="_VC 6.15.06 update on 06GRC power costs.xls Chart 2_Book9_DEM-WP(C) ENERG10C--ctn Mid-C_042010 2010GRC" xfId="11630"/>
    <cellStyle name="_VC 6.15.06 update on 06GRC power costs.xls Chart 2_Book9_DEM-WP(C) ENERG10C--ctn Mid-C_042010 2010GRC 2" xfId="11631"/>
    <cellStyle name="_VC 6.15.06 update on 06GRC power costs.xls Chart 2_Chelan PUD Power Costs (8-10)" xfId="11632"/>
    <cellStyle name="_VC 6.15.06 update on 06GRC power costs.xls Chart 2_Chelan PUD Power Costs (8-10) 2" xfId="11633"/>
    <cellStyle name="_VC 6.15.06 update on 06GRC power costs.xls Chart 2_DEM-WP(C) Chelan Power Costs" xfId="11634"/>
    <cellStyle name="_VC 6.15.06 update on 06GRC power costs.xls Chart 2_DEM-WP(C) Chelan Power Costs 2" xfId="11635"/>
    <cellStyle name="_VC 6.15.06 update on 06GRC power costs.xls Chart 2_DEM-WP(C) ENERG10C--ctn Mid-C_042010 2010GRC" xfId="11636"/>
    <cellStyle name="_VC 6.15.06 update on 06GRC power costs.xls Chart 2_DEM-WP(C) ENERG10C--ctn Mid-C_042010 2010GRC 2" xfId="11637"/>
    <cellStyle name="_VC 6.15.06 update on 06GRC power costs.xls Chart 2_DEM-WP(C) Gas Transport 2010GRC" xfId="11638"/>
    <cellStyle name="_VC 6.15.06 update on 06GRC power costs.xls Chart 2_DEM-WP(C) Gas Transport 2010GRC 2" xfId="11639"/>
    <cellStyle name="_VC 6.15.06 update on 06GRC power costs.xls Chart 2_Exh A-1 resulting from UE-112050 effective Jan 1 2012" xfId="11640"/>
    <cellStyle name="_VC 6.15.06 update on 06GRC power costs.xls Chart 2_Exh A-1 resulting from UE-112050 effective Jan 1 2012 2" xfId="11641"/>
    <cellStyle name="_VC 6.15.06 update on 06GRC power costs.xls Chart 2_Exhibit A-1 effective 4-1-11 fr S Free 12-11" xfId="11642"/>
    <cellStyle name="_VC 6.15.06 update on 06GRC power costs.xls Chart 2_Exhibit A-1 effective 4-1-11 fr S Free 12-11 2" xfId="11643"/>
    <cellStyle name="_VC 6.15.06 update on 06GRC power costs.xls Chart 2_Mint Farm Generation BPA" xfId="11644"/>
    <cellStyle name="_VC 6.15.06 update on 06GRC power costs.xls Chart 2_NIM Summary" xfId="11645"/>
    <cellStyle name="_VC 6.15.06 update on 06GRC power costs.xls Chart 2_NIM Summary 09GRC" xfId="11646"/>
    <cellStyle name="_VC 6.15.06 update on 06GRC power costs.xls Chart 2_NIM Summary 09GRC 2" xfId="11647"/>
    <cellStyle name="_VC 6.15.06 update on 06GRC power costs.xls Chart 2_NIM Summary 09GRC 2 2" xfId="11648"/>
    <cellStyle name="_VC 6.15.06 update on 06GRC power costs.xls Chart 2_NIM Summary 09GRC 3" xfId="11649"/>
    <cellStyle name="_VC 6.15.06 update on 06GRC power costs.xls Chart 2_NIM Summary 09GRC 3 2" xfId="11650"/>
    <cellStyle name="_VC 6.15.06 update on 06GRC power costs.xls Chart 2_NIM Summary 09GRC 4" xfId="11651"/>
    <cellStyle name="_VC 6.15.06 update on 06GRC power costs.xls Chart 2_NIM Summary 09GRC_DEM-WP(C) ENERG10C--ctn Mid-C_042010 2010GRC" xfId="11652"/>
    <cellStyle name="_VC 6.15.06 update on 06GRC power costs.xls Chart 2_NIM Summary 09GRC_DEM-WP(C) ENERG10C--ctn Mid-C_042010 2010GRC 2" xfId="11653"/>
    <cellStyle name="_VC 6.15.06 update on 06GRC power costs.xls Chart 2_NIM Summary 10" xfId="11654"/>
    <cellStyle name="_VC 6.15.06 update on 06GRC power costs.xls Chart 2_NIM Summary 10 2" xfId="11655"/>
    <cellStyle name="_VC 6.15.06 update on 06GRC power costs.xls Chart 2_NIM Summary 11" xfId="11656"/>
    <cellStyle name="_VC 6.15.06 update on 06GRC power costs.xls Chart 2_NIM Summary 11 2" xfId="11657"/>
    <cellStyle name="_VC 6.15.06 update on 06GRC power costs.xls Chart 2_NIM Summary 12" xfId="11658"/>
    <cellStyle name="_VC 6.15.06 update on 06GRC power costs.xls Chart 2_NIM Summary 12 2" xfId="11659"/>
    <cellStyle name="_VC 6.15.06 update on 06GRC power costs.xls Chart 2_NIM Summary 13" xfId="11660"/>
    <cellStyle name="_VC 6.15.06 update on 06GRC power costs.xls Chart 2_NIM Summary 13 2" xfId="11661"/>
    <cellStyle name="_VC 6.15.06 update on 06GRC power costs.xls Chart 2_NIM Summary 14" xfId="11662"/>
    <cellStyle name="_VC 6.15.06 update on 06GRC power costs.xls Chart 2_NIM Summary 14 2" xfId="11663"/>
    <cellStyle name="_VC 6.15.06 update on 06GRC power costs.xls Chart 2_NIM Summary 15" xfId="11664"/>
    <cellStyle name="_VC 6.15.06 update on 06GRC power costs.xls Chart 2_NIM Summary 15 2" xfId="11665"/>
    <cellStyle name="_VC 6.15.06 update on 06GRC power costs.xls Chart 2_NIM Summary 16" xfId="11666"/>
    <cellStyle name="_VC 6.15.06 update on 06GRC power costs.xls Chart 2_NIM Summary 16 2" xfId="11667"/>
    <cellStyle name="_VC 6.15.06 update on 06GRC power costs.xls Chart 2_NIM Summary 17" xfId="11668"/>
    <cellStyle name="_VC 6.15.06 update on 06GRC power costs.xls Chart 2_NIM Summary 17 2" xfId="11669"/>
    <cellStyle name="_VC 6.15.06 update on 06GRC power costs.xls Chart 2_NIM Summary 18" xfId="11670"/>
    <cellStyle name="_VC 6.15.06 update on 06GRC power costs.xls Chart 2_NIM Summary 18 2" xfId="11671"/>
    <cellStyle name="_VC 6.15.06 update on 06GRC power costs.xls Chart 2_NIM Summary 19" xfId="11672"/>
    <cellStyle name="_VC 6.15.06 update on 06GRC power costs.xls Chart 2_NIM Summary 19 2" xfId="11673"/>
    <cellStyle name="_VC 6.15.06 update on 06GRC power costs.xls Chart 2_NIM Summary 2" xfId="11674"/>
    <cellStyle name="_VC 6.15.06 update on 06GRC power costs.xls Chart 2_NIM Summary 2 2" xfId="11675"/>
    <cellStyle name="_VC 6.15.06 update on 06GRC power costs.xls Chart 2_NIM Summary 20" xfId="11676"/>
    <cellStyle name="_VC 6.15.06 update on 06GRC power costs.xls Chart 2_NIM Summary 20 2" xfId="11677"/>
    <cellStyle name="_VC 6.15.06 update on 06GRC power costs.xls Chart 2_NIM Summary 21" xfId="11678"/>
    <cellStyle name="_VC 6.15.06 update on 06GRC power costs.xls Chart 2_NIM Summary 21 2" xfId="11679"/>
    <cellStyle name="_VC 6.15.06 update on 06GRC power costs.xls Chart 2_NIM Summary 22" xfId="11680"/>
    <cellStyle name="_VC 6.15.06 update on 06GRC power costs.xls Chart 2_NIM Summary 22 2" xfId="11681"/>
    <cellStyle name="_VC 6.15.06 update on 06GRC power costs.xls Chart 2_NIM Summary 23" xfId="11682"/>
    <cellStyle name="_VC 6.15.06 update on 06GRC power costs.xls Chart 2_NIM Summary 23 2" xfId="11683"/>
    <cellStyle name="_VC 6.15.06 update on 06GRC power costs.xls Chart 2_NIM Summary 24" xfId="11684"/>
    <cellStyle name="_VC 6.15.06 update on 06GRC power costs.xls Chart 2_NIM Summary 24 2" xfId="11685"/>
    <cellStyle name="_VC 6.15.06 update on 06GRC power costs.xls Chart 2_NIM Summary 25" xfId="11686"/>
    <cellStyle name="_VC 6.15.06 update on 06GRC power costs.xls Chart 2_NIM Summary 25 2" xfId="11687"/>
    <cellStyle name="_VC 6.15.06 update on 06GRC power costs.xls Chart 2_NIM Summary 26" xfId="11688"/>
    <cellStyle name="_VC 6.15.06 update on 06GRC power costs.xls Chart 2_NIM Summary 26 2" xfId="11689"/>
    <cellStyle name="_VC 6.15.06 update on 06GRC power costs.xls Chart 2_NIM Summary 27" xfId="11690"/>
    <cellStyle name="_VC 6.15.06 update on 06GRC power costs.xls Chart 2_NIM Summary 27 2" xfId="11691"/>
    <cellStyle name="_VC 6.15.06 update on 06GRC power costs.xls Chart 2_NIM Summary 28" xfId="11692"/>
    <cellStyle name="_VC 6.15.06 update on 06GRC power costs.xls Chart 2_NIM Summary 28 2" xfId="11693"/>
    <cellStyle name="_VC 6.15.06 update on 06GRC power costs.xls Chart 2_NIM Summary 29" xfId="11694"/>
    <cellStyle name="_VC 6.15.06 update on 06GRC power costs.xls Chart 2_NIM Summary 29 2" xfId="11695"/>
    <cellStyle name="_VC 6.15.06 update on 06GRC power costs.xls Chart 2_NIM Summary 3" xfId="11696"/>
    <cellStyle name="_VC 6.15.06 update on 06GRC power costs.xls Chart 2_NIM Summary 3 2" xfId="11697"/>
    <cellStyle name="_VC 6.15.06 update on 06GRC power costs.xls Chart 2_NIM Summary 30" xfId="11698"/>
    <cellStyle name="_VC 6.15.06 update on 06GRC power costs.xls Chart 2_NIM Summary 30 2" xfId="11699"/>
    <cellStyle name="_VC 6.15.06 update on 06GRC power costs.xls Chart 2_NIM Summary 31" xfId="11700"/>
    <cellStyle name="_VC 6.15.06 update on 06GRC power costs.xls Chart 2_NIM Summary 31 2" xfId="11701"/>
    <cellStyle name="_VC 6.15.06 update on 06GRC power costs.xls Chart 2_NIM Summary 32" xfId="11702"/>
    <cellStyle name="_VC 6.15.06 update on 06GRC power costs.xls Chart 2_NIM Summary 32 2" xfId="11703"/>
    <cellStyle name="_VC 6.15.06 update on 06GRC power costs.xls Chart 2_NIM Summary 33" xfId="11704"/>
    <cellStyle name="_VC 6.15.06 update on 06GRC power costs.xls Chart 2_NIM Summary 33 2" xfId="11705"/>
    <cellStyle name="_VC 6.15.06 update on 06GRC power costs.xls Chart 2_NIM Summary 34" xfId="11706"/>
    <cellStyle name="_VC 6.15.06 update on 06GRC power costs.xls Chart 2_NIM Summary 34 2" xfId="11707"/>
    <cellStyle name="_VC 6.15.06 update on 06GRC power costs.xls Chart 2_NIM Summary 35" xfId="11708"/>
    <cellStyle name="_VC 6.15.06 update on 06GRC power costs.xls Chart 2_NIM Summary 35 2" xfId="11709"/>
    <cellStyle name="_VC 6.15.06 update on 06GRC power costs.xls Chart 2_NIM Summary 36" xfId="11710"/>
    <cellStyle name="_VC 6.15.06 update on 06GRC power costs.xls Chart 2_NIM Summary 36 2" xfId="11711"/>
    <cellStyle name="_VC 6.15.06 update on 06GRC power costs.xls Chart 2_NIM Summary 37" xfId="11712"/>
    <cellStyle name="_VC 6.15.06 update on 06GRC power costs.xls Chart 2_NIM Summary 37 2" xfId="11713"/>
    <cellStyle name="_VC 6.15.06 update on 06GRC power costs.xls Chart 2_NIM Summary 38" xfId="11714"/>
    <cellStyle name="_VC 6.15.06 update on 06GRC power costs.xls Chart 2_NIM Summary 38 2" xfId="11715"/>
    <cellStyle name="_VC 6.15.06 update on 06GRC power costs.xls Chart 2_NIM Summary 39" xfId="11716"/>
    <cellStyle name="_VC 6.15.06 update on 06GRC power costs.xls Chart 2_NIM Summary 39 2" xfId="11717"/>
    <cellStyle name="_VC 6.15.06 update on 06GRC power costs.xls Chart 2_NIM Summary 4" xfId="11718"/>
    <cellStyle name="_VC 6.15.06 update on 06GRC power costs.xls Chart 2_NIM Summary 4 2" xfId="11719"/>
    <cellStyle name="_VC 6.15.06 update on 06GRC power costs.xls Chart 2_NIM Summary 40" xfId="11720"/>
    <cellStyle name="_VC 6.15.06 update on 06GRC power costs.xls Chart 2_NIM Summary 40 2" xfId="11721"/>
    <cellStyle name="_VC 6.15.06 update on 06GRC power costs.xls Chart 2_NIM Summary 41" xfId="11722"/>
    <cellStyle name="_VC 6.15.06 update on 06GRC power costs.xls Chart 2_NIM Summary 41 2" xfId="11723"/>
    <cellStyle name="_VC 6.15.06 update on 06GRC power costs.xls Chart 2_NIM Summary 42" xfId="11724"/>
    <cellStyle name="_VC 6.15.06 update on 06GRC power costs.xls Chart 2_NIM Summary 42 2" xfId="11725"/>
    <cellStyle name="_VC 6.15.06 update on 06GRC power costs.xls Chart 2_NIM Summary 43" xfId="11726"/>
    <cellStyle name="_VC 6.15.06 update on 06GRC power costs.xls Chart 2_NIM Summary 43 2" xfId="11727"/>
    <cellStyle name="_VC 6.15.06 update on 06GRC power costs.xls Chart 2_NIM Summary 44" xfId="11728"/>
    <cellStyle name="_VC 6.15.06 update on 06GRC power costs.xls Chart 2_NIM Summary 44 2" xfId="11729"/>
    <cellStyle name="_VC 6.15.06 update on 06GRC power costs.xls Chart 2_NIM Summary 45" xfId="11730"/>
    <cellStyle name="_VC 6.15.06 update on 06GRC power costs.xls Chart 2_NIM Summary 45 2" xfId="11731"/>
    <cellStyle name="_VC 6.15.06 update on 06GRC power costs.xls Chart 2_NIM Summary 46" xfId="11732"/>
    <cellStyle name="_VC 6.15.06 update on 06GRC power costs.xls Chart 2_NIM Summary 46 2" xfId="11733"/>
    <cellStyle name="_VC 6.15.06 update on 06GRC power costs.xls Chart 2_NIM Summary 47" xfId="11734"/>
    <cellStyle name="_VC 6.15.06 update on 06GRC power costs.xls Chart 2_NIM Summary 47 2" xfId="11735"/>
    <cellStyle name="_VC 6.15.06 update on 06GRC power costs.xls Chart 2_NIM Summary 48" xfId="11736"/>
    <cellStyle name="_VC 6.15.06 update on 06GRC power costs.xls Chart 2_NIM Summary 49" xfId="11737"/>
    <cellStyle name="_VC 6.15.06 update on 06GRC power costs.xls Chart 2_NIM Summary 5" xfId="11738"/>
    <cellStyle name="_VC 6.15.06 update on 06GRC power costs.xls Chart 2_NIM Summary 5 2" xfId="11739"/>
    <cellStyle name="_VC 6.15.06 update on 06GRC power costs.xls Chart 2_NIM Summary 50" xfId="11740"/>
    <cellStyle name="_VC 6.15.06 update on 06GRC power costs.xls Chart 2_NIM Summary 51" xfId="11741"/>
    <cellStyle name="_VC 6.15.06 update on 06GRC power costs.xls Chart 2_NIM Summary 52" xfId="11742"/>
    <cellStyle name="_VC 6.15.06 update on 06GRC power costs.xls Chart 2_NIM Summary 6" xfId="11743"/>
    <cellStyle name="_VC 6.15.06 update on 06GRC power costs.xls Chart 2_NIM Summary 6 2" xfId="11744"/>
    <cellStyle name="_VC 6.15.06 update on 06GRC power costs.xls Chart 2_NIM Summary 7" xfId="11745"/>
    <cellStyle name="_VC 6.15.06 update on 06GRC power costs.xls Chart 2_NIM Summary 7 2" xfId="11746"/>
    <cellStyle name="_VC 6.15.06 update on 06GRC power costs.xls Chart 2_NIM Summary 8" xfId="11747"/>
    <cellStyle name="_VC 6.15.06 update on 06GRC power costs.xls Chart 2_NIM Summary 8 2" xfId="11748"/>
    <cellStyle name="_VC 6.15.06 update on 06GRC power costs.xls Chart 2_NIM Summary 9" xfId="11749"/>
    <cellStyle name="_VC 6.15.06 update on 06GRC power costs.xls Chart 2_NIM Summary 9 2" xfId="11750"/>
    <cellStyle name="_VC 6.15.06 update on 06GRC power costs.xls Chart 2_NIM Summary_DEM-WP(C) ENERG10C--ctn Mid-C_042010 2010GRC" xfId="11751"/>
    <cellStyle name="_VC 6.15.06 update on 06GRC power costs.xls Chart 2_NIM Summary_DEM-WP(C) ENERG10C--ctn Mid-C_042010 2010GRC 2" xfId="11752"/>
    <cellStyle name="_VC 6.15.06 update on 06GRC power costs.xls Chart 2_PCA 10 -  Exhibit D Dec 2011" xfId="11753"/>
    <cellStyle name="_VC 6.15.06 update on 06GRC power costs.xls Chart 2_PCA 10 -  Exhibit D Dec 2011 2" xfId="11754"/>
    <cellStyle name="_VC 6.15.06 update on 06GRC power costs.xls Chart 2_PCA 10 -  Exhibit D from A Kellogg Jan 2011" xfId="11755"/>
    <cellStyle name="_VC 6.15.06 update on 06GRC power costs.xls Chart 2_PCA 10 -  Exhibit D from A Kellogg Jan 2011 2" xfId="11756"/>
    <cellStyle name="_VC 6.15.06 update on 06GRC power costs.xls Chart 2_PCA 10 -  Exhibit D from A Kellogg July 2011" xfId="11757"/>
    <cellStyle name="_VC 6.15.06 update on 06GRC power costs.xls Chart 2_PCA 10 -  Exhibit D from A Kellogg July 2011 2" xfId="11758"/>
    <cellStyle name="_VC 6.15.06 update on 06GRC power costs.xls Chart 2_PCA 10 -  Exhibit D from S Free Rcv'd 12-11" xfId="11759"/>
    <cellStyle name="_VC 6.15.06 update on 06GRC power costs.xls Chart 2_PCA 10 -  Exhibit D from S Free Rcv'd 12-11 2" xfId="11760"/>
    <cellStyle name="_VC 6.15.06 update on 06GRC power costs.xls Chart 2_PCA 11 -  Exhibit D Jan 2012 fr A Kellogg" xfId="11761"/>
    <cellStyle name="_VC 6.15.06 update on 06GRC power costs.xls Chart 2_PCA 11 -  Exhibit D Jan 2012 fr A Kellogg 2" xfId="11762"/>
    <cellStyle name="_VC 6.15.06 update on 06GRC power costs.xls Chart 2_PCA 11 -  Exhibit D Jan 2012 WF" xfId="11763"/>
    <cellStyle name="_VC 6.15.06 update on 06GRC power costs.xls Chart 2_PCA 11 -  Exhibit D Jan 2012 WF 2" xfId="11764"/>
    <cellStyle name="_VC 6.15.06 update on 06GRC power costs.xls Chart 2_PCA 9 -  Exhibit D April 2010" xfId="11765"/>
    <cellStyle name="_VC 6.15.06 update on 06GRC power costs.xls Chart 2_PCA 9 -  Exhibit D April 2010 (3)" xfId="11766"/>
    <cellStyle name="_VC 6.15.06 update on 06GRC power costs.xls Chart 2_PCA 9 -  Exhibit D April 2010 (3) 2" xfId="11767"/>
    <cellStyle name="_VC 6.15.06 update on 06GRC power costs.xls Chart 2_PCA 9 -  Exhibit D April 2010 (3) 2 2" xfId="11768"/>
    <cellStyle name="_VC 6.15.06 update on 06GRC power costs.xls Chart 2_PCA 9 -  Exhibit D April 2010 (3) 3" xfId="11769"/>
    <cellStyle name="_VC 6.15.06 update on 06GRC power costs.xls Chart 2_PCA 9 -  Exhibit D April 2010 (3) 3 2" xfId="11770"/>
    <cellStyle name="_VC 6.15.06 update on 06GRC power costs.xls Chart 2_PCA 9 -  Exhibit D April 2010 (3) 4" xfId="11771"/>
    <cellStyle name="_VC 6.15.06 update on 06GRC power costs.xls Chart 2_PCA 9 -  Exhibit D April 2010 (3)_DEM-WP(C) ENERG10C--ctn Mid-C_042010 2010GRC" xfId="11772"/>
    <cellStyle name="_VC 6.15.06 update on 06GRC power costs.xls Chart 2_PCA 9 -  Exhibit D April 2010 (3)_DEM-WP(C) ENERG10C--ctn Mid-C_042010 2010GRC 2" xfId="11773"/>
    <cellStyle name="_VC 6.15.06 update on 06GRC power costs.xls Chart 2_PCA 9 -  Exhibit D April 2010 2" xfId="11774"/>
    <cellStyle name="_VC 6.15.06 update on 06GRC power costs.xls Chart 2_PCA 9 -  Exhibit D April 2010 2 2" xfId="11775"/>
    <cellStyle name="_VC 6.15.06 update on 06GRC power costs.xls Chart 2_PCA 9 -  Exhibit D April 2010 3" xfId="11776"/>
    <cellStyle name="_VC 6.15.06 update on 06GRC power costs.xls Chart 2_PCA 9 -  Exhibit D April 2010 3 2" xfId="11777"/>
    <cellStyle name="_VC 6.15.06 update on 06GRC power costs.xls Chart 2_PCA 9 -  Exhibit D April 2010 4" xfId="11778"/>
    <cellStyle name="_VC 6.15.06 update on 06GRC power costs.xls Chart 2_PCA 9 -  Exhibit D April 2010 4 2" xfId="11779"/>
    <cellStyle name="_VC 6.15.06 update on 06GRC power costs.xls Chart 2_PCA 9 -  Exhibit D April 2010 5" xfId="11780"/>
    <cellStyle name="_VC 6.15.06 update on 06GRC power costs.xls Chart 2_PCA 9 -  Exhibit D April 2010 5 2" xfId="11781"/>
    <cellStyle name="_VC 6.15.06 update on 06GRC power costs.xls Chart 2_PCA 9 -  Exhibit D April 2010 6" xfId="11782"/>
    <cellStyle name="_VC 6.15.06 update on 06GRC power costs.xls Chart 2_PCA 9 -  Exhibit D April 2010 6 2" xfId="11783"/>
    <cellStyle name="_VC 6.15.06 update on 06GRC power costs.xls Chart 2_PCA 9 -  Exhibit D April 2010 7" xfId="11784"/>
    <cellStyle name="_VC 6.15.06 update on 06GRC power costs.xls Chart 2_PCA 9 -  Exhibit D Nov 2010" xfId="11785"/>
    <cellStyle name="_VC 6.15.06 update on 06GRC power costs.xls Chart 2_PCA 9 -  Exhibit D Nov 2010 2" xfId="11786"/>
    <cellStyle name="_VC 6.15.06 update on 06GRC power costs.xls Chart 2_PCA 9 -  Exhibit D Nov 2010 2 2" xfId="11787"/>
    <cellStyle name="_VC 6.15.06 update on 06GRC power costs.xls Chart 2_PCA 9 -  Exhibit D Nov 2010 3" xfId="11788"/>
    <cellStyle name="_VC 6.15.06 update on 06GRC power costs.xls Chart 2_PCA 9 - Exhibit D at August 2010" xfId="11789"/>
    <cellStyle name="_VC 6.15.06 update on 06GRC power costs.xls Chart 2_PCA 9 - Exhibit D at August 2010 2" xfId="11790"/>
    <cellStyle name="_VC 6.15.06 update on 06GRC power costs.xls Chart 2_PCA 9 - Exhibit D at August 2010 2 2" xfId="11791"/>
    <cellStyle name="_VC 6.15.06 update on 06GRC power costs.xls Chart 2_PCA 9 - Exhibit D at August 2010 3" xfId="11792"/>
    <cellStyle name="_VC 6.15.06 update on 06GRC power costs.xls Chart 2_PCA 9 - Exhibit D June 2010 GRC" xfId="11793"/>
    <cellStyle name="_VC 6.15.06 update on 06GRC power costs.xls Chart 2_PCA 9 - Exhibit D June 2010 GRC 2" xfId="11794"/>
    <cellStyle name="_VC 6.15.06 update on 06GRC power costs.xls Chart 2_PCA 9 - Exhibit D June 2010 GRC 2 2" xfId="11795"/>
    <cellStyle name="_VC 6.15.06 update on 06GRC power costs.xls Chart 2_PCA 9 - Exhibit D June 2010 GRC 3" xfId="11796"/>
    <cellStyle name="_VC 6.15.06 update on 06GRC power costs.xls Chart 2_Power Costs - Comparison bx Rbtl-Staff-Jt-PC" xfId="11797"/>
    <cellStyle name="_VC 6.15.06 update on 06GRC power costs.xls Chart 2_Power Costs - Comparison bx Rbtl-Staff-Jt-PC 2" xfId="11798"/>
    <cellStyle name="_VC 6.15.06 update on 06GRC power costs.xls Chart 2_Power Costs - Comparison bx Rbtl-Staff-Jt-PC 2 2" xfId="11799"/>
    <cellStyle name="_VC 6.15.06 update on 06GRC power costs.xls Chart 2_Power Costs - Comparison bx Rbtl-Staff-Jt-PC 3" xfId="11800"/>
    <cellStyle name="_VC 6.15.06 update on 06GRC power costs.xls Chart 2_Power Costs - Comparison bx Rbtl-Staff-Jt-PC 3 2" xfId="11801"/>
    <cellStyle name="_VC 6.15.06 update on 06GRC power costs.xls Chart 2_Power Costs - Comparison bx Rbtl-Staff-Jt-PC 4" xfId="11802"/>
    <cellStyle name="_VC 6.15.06 update on 06GRC power costs.xls Chart 2_Power Costs - Comparison bx Rbtl-Staff-Jt-PC_Adj Bench DR 3 for Initial Briefs (Electric)" xfId="11803"/>
    <cellStyle name="_VC 6.15.06 update on 06GRC power costs.xls Chart 2_Power Costs - Comparison bx Rbtl-Staff-Jt-PC_Adj Bench DR 3 for Initial Briefs (Electric) 2" xfId="11804"/>
    <cellStyle name="_VC 6.15.06 update on 06GRC power costs.xls Chart 2_Power Costs - Comparison bx Rbtl-Staff-Jt-PC_Adj Bench DR 3 for Initial Briefs (Electric) 2 2" xfId="11805"/>
    <cellStyle name="_VC 6.15.06 update on 06GRC power costs.xls Chart 2_Power Costs - Comparison bx Rbtl-Staff-Jt-PC_Adj Bench DR 3 for Initial Briefs (Electric) 3" xfId="11806"/>
    <cellStyle name="_VC 6.15.06 update on 06GRC power costs.xls Chart 2_Power Costs - Comparison bx Rbtl-Staff-Jt-PC_Adj Bench DR 3 for Initial Briefs (Electric) 3 2" xfId="11807"/>
    <cellStyle name="_VC 6.15.06 update on 06GRC power costs.xls Chart 2_Power Costs - Comparison bx Rbtl-Staff-Jt-PC_Adj Bench DR 3 for Initial Briefs (Electric) 4" xfId="11808"/>
    <cellStyle name="_VC 6.15.06 update on 06GRC power costs.xls Chart 2_Power Costs - Comparison bx Rbtl-Staff-Jt-PC_Adj Bench DR 3 for Initial Briefs (Electric)_DEM-WP(C) ENERG10C--ctn Mid-C_042010 2010GRC" xfId="11809"/>
    <cellStyle name="_VC 6.15.06 update on 06GRC power costs.xls Chart 2_Power Costs - Comparison bx Rbtl-Staff-Jt-PC_Adj Bench DR 3 for Initial Briefs (Electric)_DEM-WP(C) ENERG10C--ctn Mid-C_042010 2010GRC 2" xfId="11810"/>
    <cellStyle name="_VC 6.15.06 update on 06GRC power costs.xls Chart 2_Power Costs - Comparison bx Rbtl-Staff-Jt-PC_DEM-WP(C) ENERG10C--ctn Mid-C_042010 2010GRC" xfId="11811"/>
    <cellStyle name="_VC 6.15.06 update on 06GRC power costs.xls Chart 2_Power Costs - Comparison bx Rbtl-Staff-Jt-PC_DEM-WP(C) ENERG10C--ctn Mid-C_042010 2010GRC 2" xfId="11812"/>
    <cellStyle name="_VC 6.15.06 update on 06GRC power costs.xls Chart 2_Power Costs - Comparison bx Rbtl-Staff-Jt-PC_Electric Rev Req Model (2009 GRC) Rebuttal" xfId="11813"/>
    <cellStyle name="_VC 6.15.06 update on 06GRC power costs.xls Chart 2_Power Costs - Comparison bx Rbtl-Staff-Jt-PC_Electric Rev Req Model (2009 GRC) Rebuttal 2" xfId="11814"/>
    <cellStyle name="_VC 6.15.06 update on 06GRC power costs.xls Chart 2_Power Costs - Comparison bx Rbtl-Staff-Jt-PC_Electric Rev Req Model (2009 GRC) Rebuttal 2 2" xfId="11815"/>
    <cellStyle name="_VC 6.15.06 update on 06GRC power costs.xls Chart 2_Power Costs - Comparison bx Rbtl-Staff-Jt-PC_Electric Rev Req Model (2009 GRC) Rebuttal 3" xfId="11816"/>
    <cellStyle name="_VC 6.15.06 update on 06GRC power costs.xls Chart 2_Power Costs - Comparison bx Rbtl-Staff-Jt-PC_Electric Rev Req Model (2009 GRC) Rebuttal REmoval of New  WH Solar AdjustMI" xfId="11817"/>
    <cellStyle name="_VC 6.15.06 update on 06GRC power costs.xls Chart 2_Power Costs - Comparison bx Rbtl-Staff-Jt-PC_Electric Rev Req Model (2009 GRC) Rebuttal REmoval of New  WH Solar AdjustMI 2" xfId="11818"/>
    <cellStyle name="_VC 6.15.06 update on 06GRC power costs.xls Chart 2_Power Costs - Comparison bx Rbtl-Staff-Jt-PC_Electric Rev Req Model (2009 GRC) Rebuttal REmoval of New  WH Solar AdjustMI 2 2" xfId="11819"/>
    <cellStyle name="_VC 6.15.06 update on 06GRC power costs.xls Chart 2_Power Costs - Comparison bx Rbtl-Staff-Jt-PC_Electric Rev Req Model (2009 GRC) Rebuttal REmoval of New  WH Solar AdjustMI 3" xfId="11820"/>
    <cellStyle name="_VC 6.15.06 update on 06GRC power costs.xls Chart 2_Power Costs - Comparison bx Rbtl-Staff-Jt-PC_Electric Rev Req Model (2009 GRC) Rebuttal REmoval of New  WH Solar AdjustMI 3 2" xfId="11821"/>
    <cellStyle name="_VC 6.15.06 update on 06GRC power costs.xls Chart 2_Power Costs - Comparison bx Rbtl-Staff-Jt-PC_Electric Rev Req Model (2009 GRC) Rebuttal REmoval of New  WH Solar AdjustMI 4" xfId="11822"/>
    <cellStyle name="_VC 6.15.06 update on 06GRC power costs.xls Chart 2_Power Costs - Comparison bx Rbtl-Staff-Jt-PC_Electric Rev Req Model (2009 GRC) Rebuttal REmoval of New  WH Solar AdjustMI_DEM-WP(C) ENERG10C--ctn Mid-C_042010 2010GRC" xfId="11823"/>
    <cellStyle name="_VC 6.15.06 update on 06GRC power costs.xls Chart 2_Power Costs - Comparison bx Rbtl-Staff-Jt-PC_Electric Rev Req Model (2009 GRC) Rebuttal REmoval of New  WH Solar AdjustMI_DEM-WP(C) ENERG10C--ctn Mid-C_042010 2010GRC 2" xfId="11824"/>
    <cellStyle name="_VC 6.15.06 update on 06GRC power costs.xls Chart 2_Power Costs - Comparison bx Rbtl-Staff-Jt-PC_Electric Rev Req Model (2009 GRC) Revised 01-18-2010" xfId="11825"/>
    <cellStyle name="_VC 6.15.06 update on 06GRC power costs.xls Chart 2_Power Costs - Comparison bx Rbtl-Staff-Jt-PC_Electric Rev Req Model (2009 GRC) Revised 01-18-2010 2" xfId="11826"/>
    <cellStyle name="_VC 6.15.06 update on 06GRC power costs.xls Chart 2_Power Costs - Comparison bx Rbtl-Staff-Jt-PC_Electric Rev Req Model (2009 GRC) Revised 01-18-2010 2 2" xfId="11827"/>
    <cellStyle name="_VC 6.15.06 update on 06GRC power costs.xls Chart 2_Power Costs - Comparison bx Rbtl-Staff-Jt-PC_Electric Rev Req Model (2009 GRC) Revised 01-18-2010 3" xfId="11828"/>
    <cellStyle name="_VC 6.15.06 update on 06GRC power costs.xls Chart 2_Power Costs - Comparison bx Rbtl-Staff-Jt-PC_Electric Rev Req Model (2009 GRC) Revised 01-18-2010 3 2" xfId="11829"/>
    <cellStyle name="_VC 6.15.06 update on 06GRC power costs.xls Chart 2_Power Costs - Comparison bx Rbtl-Staff-Jt-PC_Electric Rev Req Model (2009 GRC) Revised 01-18-2010 4" xfId="11830"/>
    <cellStyle name="_VC 6.15.06 update on 06GRC power costs.xls Chart 2_Power Costs - Comparison bx Rbtl-Staff-Jt-PC_Electric Rev Req Model (2009 GRC) Revised 01-18-2010_DEM-WP(C) ENERG10C--ctn Mid-C_042010 2010GRC" xfId="11831"/>
    <cellStyle name="_VC 6.15.06 update on 06GRC power costs.xls Chart 2_Power Costs - Comparison bx Rbtl-Staff-Jt-PC_Electric Rev Req Model (2009 GRC) Revised 01-18-2010_DEM-WP(C) ENERG10C--ctn Mid-C_042010 2010GRC 2" xfId="11832"/>
    <cellStyle name="_VC 6.15.06 update on 06GRC power costs.xls Chart 2_Power Costs - Comparison bx Rbtl-Staff-Jt-PC_Final Order Electric EXHIBIT A-1" xfId="11833"/>
    <cellStyle name="_VC 6.15.06 update on 06GRC power costs.xls Chart 2_Power Costs - Comparison bx Rbtl-Staff-Jt-PC_Final Order Electric EXHIBIT A-1 2" xfId="11834"/>
    <cellStyle name="_VC 6.15.06 update on 06GRC power costs.xls Chart 2_Power Costs - Comparison bx Rbtl-Staff-Jt-PC_Final Order Electric EXHIBIT A-1 2 2" xfId="11835"/>
    <cellStyle name="_VC 6.15.06 update on 06GRC power costs.xls Chart 2_Power Costs - Comparison bx Rbtl-Staff-Jt-PC_Final Order Electric EXHIBIT A-1 3" xfId="11836"/>
    <cellStyle name="_VC 6.15.06 update on 06GRC power costs.xls Chart 2_Production Adj 4.37" xfId="21286"/>
    <cellStyle name="_VC 6.15.06 update on 06GRC power costs.xls Chart 2_Purchased Power Adj 4.03" xfId="21287"/>
    <cellStyle name="_VC 6.15.06 update on 06GRC power costs.xls Chart 2_Rebuttal Power Costs" xfId="11837"/>
    <cellStyle name="_VC 6.15.06 update on 06GRC power costs.xls Chart 2_Rebuttal Power Costs 2" xfId="11838"/>
    <cellStyle name="_VC 6.15.06 update on 06GRC power costs.xls Chart 2_Rebuttal Power Costs 2 2" xfId="11839"/>
    <cellStyle name="_VC 6.15.06 update on 06GRC power costs.xls Chart 2_Rebuttal Power Costs 3" xfId="11840"/>
    <cellStyle name="_VC 6.15.06 update on 06GRC power costs.xls Chart 2_Rebuttal Power Costs 3 2" xfId="11841"/>
    <cellStyle name="_VC 6.15.06 update on 06GRC power costs.xls Chart 2_Rebuttal Power Costs 4" xfId="11842"/>
    <cellStyle name="_VC 6.15.06 update on 06GRC power costs.xls Chart 2_Rebuttal Power Costs_Adj Bench DR 3 for Initial Briefs (Electric)" xfId="11843"/>
    <cellStyle name="_VC 6.15.06 update on 06GRC power costs.xls Chart 2_Rebuttal Power Costs_Adj Bench DR 3 for Initial Briefs (Electric) 2" xfId="11844"/>
    <cellStyle name="_VC 6.15.06 update on 06GRC power costs.xls Chart 2_Rebuttal Power Costs_Adj Bench DR 3 for Initial Briefs (Electric) 2 2" xfId="11845"/>
    <cellStyle name="_VC 6.15.06 update on 06GRC power costs.xls Chart 2_Rebuttal Power Costs_Adj Bench DR 3 for Initial Briefs (Electric) 3" xfId="11846"/>
    <cellStyle name="_VC 6.15.06 update on 06GRC power costs.xls Chart 2_Rebuttal Power Costs_Adj Bench DR 3 for Initial Briefs (Electric) 3 2" xfId="11847"/>
    <cellStyle name="_VC 6.15.06 update on 06GRC power costs.xls Chart 2_Rebuttal Power Costs_Adj Bench DR 3 for Initial Briefs (Electric) 4" xfId="11848"/>
    <cellStyle name="_VC 6.15.06 update on 06GRC power costs.xls Chart 2_Rebuttal Power Costs_Adj Bench DR 3 for Initial Briefs (Electric)_DEM-WP(C) ENERG10C--ctn Mid-C_042010 2010GRC" xfId="11849"/>
    <cellStyle name="_VC 6.15.06 update on 06GRC power costs.xls Chart 2_Rebuttal Power Costs_Adj Bench DR 3 for Initial Briefs (Electric)_DEM-WP(C) ENERG10C--ctn Mid-C_042010 2010GRC 2" xfId="11850"/>
    <cellStyle name="_VC 6.15.06 update on 06GRC power costs.xls Chart 2_Rebuttal Power Costs_DEM-WP(C) ENERG10C--ctn Mid-C_042010 2010GRC" xfId="11851"/>
    <cellStyle name="_VC 6.15.06 update on 06GRC power costs.xls Chart 2_Rebuttal Power Costs_DEM-WP(C) ENERG10C--ctn Mid-C_042010 2010GRC 2" xfId="11852"/>
    <cellStyle name="_VC 6.15.06 update on 06GRC power costs.xls Chart 2_Rebuttal Power Costs_Electric Rev Req Model (2009 GRC) Rebuttal" xfId="11853"/>
    <cellStyle name="_VC 6.15.06 update on 06GRC power costs.xls Chart 2_Rebuttal Power Costs_Electric Rev Req Model (2009 GRC) Rebuttal 2" xfId="11854"/>
    <cellStyle name="_VC 6.15.06 update on 06GRC power costs.xls Chart 2_Rebuttal Power Costs_Electric Rev Req Model (2009 GRC) Rebuttal 2 2" xfId="11855"/>
    <cellStyle name="_VC 6.15.06 update on 06GRC power costs.xls Chart 2_Rebuttal Power Costs_Electric Rev Req Model (2009 GRC) Rebuttal 3" xfId="11856"/>
    <cellStyle name="_VC 6.15.06 update on 06GRC power costs.xls Chart 2_Rebuttal Power Costs_Electric Rev Req Model (2009 GRC) Rebuttal REmoval of New  WH Solar AdjustMI" xfId="11857"/>
    <cellStyle name="_VC 6.15.06 update on 06GRC power costs.xls Chart 2_Rebuttal Power Costs_Electric Rev Req Model (2009 GRC) Rebuttal REmoval of New  WH Solar AdjustMI 2" xfId="11858"/>
    <cellStyle name="_VC 6.15.06 update on 06GRC power costs.xls Chart 2_Rebuttal Power Costs_Electric Rev Req Model (2009 GRC) Rebuttal REmoval of New  WH Solar AdjustMI 2 2" xfId="11859"/>
    <cellStyle name="_VC 6.15.06 update on 06GRC power costs.xls Chart 2_Rebuttal Power Costs_Electric Rev Req Model (2009 GRC) Rebuttal REmoval of New  WH Solar AdjustMI 3" xfId="11860"/>
    <cellStyle name="_VC 6.15.06 update on 06GRC power costs.xls Chart 2_Rebuttal Power Costs_Electric Rev Req Model (2009 GRC) Rebuttal REmoval of New  WH Solar AdjustMI 3 2" xfId="11861"/>
    <cellStyle name="_VC 6.15.06 update on 06GRC power costs.xls Chart 2_Rebuttal Power Costs_Electric Rev Req Model (2009 GRC) Rebuttal REmoval of New  WH Solar AdjustMI 4" xfId="11862"/>
    <cellStyle name="_VC 6.15.06 update on 06GRC power costs.xls Chart 2_Rebuttal Power Costs_Electric Rev Req Model (2009 GRC) Rebuttal REmoval of New  WH Solar AdjustMI_DEM-WP(C) ENERG10C--ctn Mid-C_042010 2010GRC" xfId="11863"/>
    <cellStyle name="_VC 6.15.06 update on 06GRC power costs.xls Chart 2_Rebuttal Power Costs_Electric Rev Req Model (2009 GRC) Rebuttal REmoval of New  WH Solar AdjustMI_DEM-WP(C) ENERG10C--ctn Mid-C_042010 2010GRC 2" xfId="11864"/>
    <cellStyle name="_VC 6.15.06 update on 06GRC power costs.xls Chart 2_Rebuttal Power Costs_Electric Rev Req Model (2009 GRC) Revised 01-18-2010" xfId="11865"/>
    <cellStyle name="_VC 6.15.06 update on 06GRC power costs.xls Chart 2_Rebuttal Power Costs_Electric Rev Req Model (2009 GRC) Revised 01-18-2010 2" xfId="11866"/>
    <cellStyle name="_VC 6.15.06 update on 06GRC power costs.xls Chart 2_Rebuttal Power Costs_Electric Rev Req Model (2009 GRC) Revised 01-18-2010 2 2" xfId="11867"/>
    <cellStyle name="_VC 6.15.06 update on 06GRC power costs.xls Chart 2_Rebuttal Power Costs_Electric Rev Req Model (2009 GRC) Revised 01-18-2010 3" xfId="11868"/>
    <cellStyle name="_VC 6.15.06 update on 06GRC power costs.xls Chart 2_Rebuttal Power Costs_Electric Rev Req Model (2009 GRC) Revised 01-18-2010 3 2" xfId="11869"/>
    <cellStyle name="_VC 6.15.06 update on 06GRC power costs.xls Chart 2_Rebuttal Power Costs_Electric Rev Req Model (2009 GRC) Revised 01-18-2010 4" xfId="11870"/>
    <cellStyle name="_VC 6.15.06 update on 06GRC power costs.xls Chart 2_Rebuttal Power Costs_Electric Rev Req Model (2009 GRC) Revised 01-18-2010_DEM-WP(C) ENERG10C--ctn Mid-C_042010 2010GRC" xfId="11871"/>
    <cellStyle name="_VC 6.15.06 update on 06GRC power costs.xls Chart 2_Rebuttal Power Costs_Electric Rev Req Model (2009 GRC) Revised 01-18-2010_DEM-WP(C) ENERG10C--ctn Mid-C_042010 2010GRC 2" xfId="11872"/>
    <cellStyle name="_VC 6.15.06 update on 06GRC power costs.xls Chart 2_Rebuttal Power Costs_Final Order Electric EXHIBIT A-1" xfId="11873"/>
    <cellStyle name="_VC 6.15.06 update on 06GRC power costs.xls Chart 2_Rebuttal Power Costs_Final Order Electric EXHIBIT A-1 2" xfId="11874"/>
    <cellStyle name="_VC 6.15.06 update on 06GRC power costs.xls Chart 2_Rebuttal Power Costs_Final Order Electric EXHIBIT A-1 2 2" xfId="11875"/>
    <cellStyle name="_VC 6.15.06 update on 06GRC power costs.xls Chart 2_Rebuttal Power Costs_Final Order Electric EXHIBIT A-1 3" xfId="11876"/>
    <cellStyle name="_VC 6.15.06 update on 06GRC power costs.xls Chart 2_ROR 5.02" xfId="21288"/>
    <cellStyle name="_VC 6.15.06 update on 06GRC power costs.xls Chart 2_Wind Integration 10GRC" xfId="11877"/>
    <cellStyle name="_VC 6.15.06 update on 06GRC power costs.xls Chart 2_Wind Integration 10GRC 2" xfId="11878"/>
    <cellStyle name="_VC 6.15.06 update on 06GRC power costs.xls Chart 2_Wind Integration 10GRC 2 2" xfId="11879"/>
    <cellStyle name="_VC 6.15.06 update on 06GRC power costs.xls Chart 2_Wind Integration 10GRC 3" xfId="11880"/>
    <cellStyle name="_VC 6.15.06 update on 06GRC power costs.xls Chart 2_Wind Integration 10GRC 3 2" xfId="11881"/>
    <cellStyle name="_VC 6.15.06 update on 06GRC power costs.xls Chart 2_Wind Integration 10GRC 4" xfId="11882"/>
    <cellStyle name="_VC 6.15.06 update on 06GRC power costs.xls Chart 2_Wind Integration 10GRC_DEM-WP(C) ENERG10C--ctn Mid-C_042010 2010GRC" xfId="11883"/>
    <cellStyle name="_VC 6.15.06 update on 06GRC power costs.xls Chart 2_Wind Integration 10GRC_DEM-WP(C) ENERG10C--ctn Mid-C_042010 2010GRC 2" xfId="11884"/>
    <cellStyle name="_VC 6.15.06 update on 06GRC power costs.xls Chart 3" xfId="11885"/>
    <cellStyle name="_VC 6.15.06 update on 06GRC power costs.xls Chart 3 2" xfId="11886"/>
    <cellStyle name="_VC 6.15.06 update on 06GRC power costs.xls Chart 3 2 2" xfId="11887"/>
    <cellStyle name="_VC 6.15.06 update on 06GRC power costs.xls Chart 3 2 2 2" xfId="11888"/>
    <cellStyle name="_VC 6.15.06 update on 06GRC power costs.xls Chart 3 2 3" xfId="11889"/>
    <cellStyle name="_VC 6.15.06 update on 06GRC power costs.xls Chart 3 2 3 2" xfId="11890"/>
    <cellStyle name="_VC 6.15.06 update on 06GRC power costs.xls Chart 3 2 4" xfId="11891"/>
    <cellStyle name="_VC 6.15.06 update on 06GRC power costs.xls Chart 3 3" xfId="11892"/>
    <cellStyle name="_VC 6.15.06 update on 06GRC power costs.xls Chart 3 3 2" xfId="11893"/>
    <cellStyle name="_VC 6.15.06 update on 06GRC power costs.xls Chart 3 4" xfId="11894"/>
    <cellStyle name="_VC 6.15.06 update on 06GRC power costs.xls Chart 3 4 2" xfId="11895"/>
    <cellStyle name="_VC 6.15.06 update on 06GRC power costs.xls Chart 3 4 2 2" xfId="11896"/>
    <cellStyle name="_VC 6.15.06 update on 06GRC power costs.xls Chart 3 4 3" xfId="11897"/>
    <cellStyle name="_VC 6.15.06 update on 06GRC power costs.xls Chart 3 5" xfId="11898"/>
    <cellStyle name="_VC 6.15.06 update on 06GRC power costs.xls Chart 3 5 2" xfId="11899"/>
    <cellStyle name="_VC 6.15.06 update on 06GRC power costs.xls Chart 3 6" xfId="11900"/>
    <cellStyle name="_VC 6.15.06 update on 06GRC power costs.xls Chart 3 6 2" xfId="11901"/>
    <cellStyle name="_VC 6.15.06 update on 06GRC power costs.xls Chart 3 6 2 2" xfId="11902"/>
    <cellStyle name="_VC 6.15.06 update on 06GRC power costs.xls Chart 3 6 3" xfId="11903"/>
    <cellStyle name="_VC 6.15.06 update on 06GRC power costs.xls Chart 3 7" xfId="11904"/>
    <cellStyle name="_VC 6.15.06 update on 06GRC power costs.xls Chart 3 7 2" xfId="11905"/>
    <cellStyle name="_VC 6.15.06 update on 06GRC power costs.xls Chart 3 7 2 2" xfId="11906"/>
    <cellStyle name="_VC 6.15.06 update on 06GRC power costs.xls Chart 3 7 3" xfId="11907"/>
    <cellStyle name="_VC 6.15.06 update on 06GRC power costs.xls Chart 3 8" xfId="11908"/>
    <cellStyle name="_VC 6.15.06 update on 06GRC power costs.xls Chart 3_04 07E Wild Horse Wind Expansion (C) (2)" xfId="11909"/>
    <cellStyle name="_VC 6.15.06 update on 06GRC power costs.xls Chart 3_04 07E Wild Horse Wind Expansion (C) (2) 2" xfId="11910"/>
    <cellStyle name="_VC 6.15.06 update on 06GRC power costs.xls Chart 3_04 07E Wild Horse Wind Expansion (C) (2) 2 2" xfId="11911"/>
    <cellStyle name="_VC 6.15.06 update on 06GRC power costs.xls Chart 3_04 07E Wild Horse Wind Expansion (C) (2) 3" xfId="11912"/>
    <cellStyle name="_VC 6.15.06 update on 06GRC power costs.xls Chart 3_04 07E Wild Horse Wind Expansion (C) (2) 3 2" xfId="11913"/>
    <cellStyle name="_VC 6.15.06 update on 06GRC power costs.xls Chart 3_04 07E Wild Horse Wind Expansion (C) (2) 4" xfId="11914"/>
    <cellStyle name="_VC 6.15.06 update on 06GRC power costs.xls Chart 3_04 07E Wild Horse Wind Expansion (C) (2)_Adj Bench DR 3 for Initial Briefs (Electric)" xfId="11915"/>
    <cellStyle name="_VC 6.15.06 update on 06GRC power costs.xls Chart 3_04 07E Wild Horse Wind Expansion (C) (2)_Adj Bench DR 3 for Initial Briefs (Electric) 2" xfId="11916"/>
    <cellStyle name="_VC 6.15.06 update on 06GRC power costs.xls Chart 3_04 07E Wild Horse Wind Expansion (C) (2)_Adj Bench DR 3 for Initial Briefs (Electric) 2 2" xfId="11917"/>
    <cellStyle name="_VC 6.15.06 update on 06GRC power costs.xls Chart 3_04 07E Wild Horse Wind Expansion (C) (2)_Adj Bench DR 3 for Initial Briefs (Electric) 3" xfId="11918"/>
    <cellStyle name="_VC 6.15.06 update on 06GRC power costs.xls Chart 3_04 07E Wild Horse Wind Expansion (C) (2)_Adj Bench DR 3 for Initial Briefs (Electric) 3 2" xfId="11919"/>
    <cellStyle name="_VC 6.15.06 update on 06GRC power costs.xls Chart 3_04 07E Wild Horse Wind Expansion (C) (2)_Adj Bench DR 3 for Initial Briefs (Electric) 4" xfId="11920"/>
    <cellStyle name="_VC 6.15.06 update on 06GRC power costs.xls Chart 3_04 07E Wild Horse Wind Expansion (C) (2)_Adj Bench DR 3 for Initial Briefs (Electric)_DEM-WP(C) ENERG10C--ctn Mid-C_042010 2010GRC" xfId="11921"/>
    <cellStyle name="_VC 6.15.06 update on 06GRC power costs.xls Chart 3_04 07E Wild Horse Wind Expansion (C) (2)_Adj Bench DR 3 for Initial Briefs (Electric)_DEM-WP(C) ENERG10C--ctn Mid-C_042010 2010GRC 2" xfId="11922"/>
    <cellStyle name="_VC 6.15.06 update on 06GRC power costs.xls Chart 3_04 07E Wild Horse Wind Expansion (C) (2)_Book1" xfId="11923"/>
    <cellStyle name="_VC 6.15.06 update on 06GRC power costs.xls Chart 3_04 07E Wild Horse Wind Expansion (C) (2)_Book1 2" xfId="11924"/>
    <cellStyle name="_VC 6.15.06 update on 06GRC power costs.xls Chart 3_04 07E Wild Horse Wind Expansion (C) (2)_DEM-WP(C) ENERG10C--ctn Mid-C_042010 2010GRC" xfId="11925"/>
    <cellStyle name="_VC 6.15.06 update on 06GRC power costs.xls Chart 3_04 07E Wild Horse Wind Expansion (C) (2)_DEM-WP(C) ENERG10C--ctn Mid-C_042010 2010GRC 2" xfId="11926"/>
    <cellStyle name="_VC 6.15.06 update on 06GRC power costs.xls Chart 3_04 07E Wild Horse Wind Expansion (C) (2)_Electric Rev Req Model (2009 GRC) " xfId="11927"/>
    <cellStyle name="_VC 6.15.06 update on 06GRC power costs.xls Chart 3_04 07E Wild Horse Wind Expansion (C) (2)_Electric Rev Req Model (2009 GRC)  2" xfId="11928"/>
    <cellStyle name="_VC 6.15.06 update on 06GRC power costs.xls Chart 3_04 07E Wild Horse Wind Expansion (C) (2)_Electric Rev Req Model (2009 GRC)  2 2" xfId="11929"/>
    <cellStyle name="_VC 6.15.06 update on 06GRC power costs.xls Chart 3_04 07E Wild Horse Wind Expansion (C) (2)_Electric Rev Req Model (2009 GRC)  3" xfId="11930"/>
    <cellStyle name="_VC 6.15.06 update on 06GRC power costs.xls Chart 3_04 07E Wild Horse Wind Expansion (C) (2)_Electric Rev Req Model (2009 GRC)  3 2" xfId="11931"/>
    <cellStyle name="_VC 6.15.06 update on 06GRC power costs.xls Chart 3_04 07E Wild Horse Wind Expansion (C) (2)_Electric Rev Req Model (2009 GRC)  4" xfId="11932"/>
    <cellStyle name="_VC 6.15.06 update on 06GRC power costs.xls Chart 3_04 07E Wild Horse Wind Expansion (C) (2)_Electric Rev Req Model (2009 GRC) _DEM-WP(C) ENERG10C--ctn Mid-C_042010 2010GRC" xfId="11933"/>
    <cellStyle name="_VC 6.15.06 update on 06GRC power costs.xls Chart 3_04 07E Wild Horse Wind Expansion (C) (2)_Electric Rev Req Model (2009 GRC) _DEM-WP(C) ENERG10C--ctn Mid-C_042010 2010GRC 2" xfId="11934"/>
    <cellStyle name="_VC 6.15.06 update on 06GRC power costs.xls Chart 3_04 07E Wild Horse Wind Expansion (C) (2)_Electric Rev Req Model (2009 GRC) Rebuttal" xfId="11935"/>
    <cellStyle name="_VC 6.15.06 update on 06GRC power costs.xls Chart 3_04 07E Wild Horse Wind Expansion (C) (2)_Electric Rev Req Model (2009 GRC) Rebuttal 2" xfId="11936"/>
    <cellStyle name="_VC 6.15.06 update on 06GRC power costs.xls Chart 3_04 07E Wild Horse Wind Expansion (C) (2)_Electric Rev Req Model (2009 GRC) Rebuttal 2 2" xfId="11937"/>
    <cellStyle name="_VC 6.15.06 update on 06GRC power costs.xls Chart 3_04 07E Wild Horse Wind Expansion (C) (2)_Electric Rev Req Model (2009 GRC) Rebuttal 3" xfId="11938"/>
    <cellStyle name="_VC 6.15.06 update on 06GRC power costs.xls Chart 3_04 07E Wild Horse Wind Expansion (C) (2)_Electric Rev Req Model (2009 GRC) Rebuttal REmoval of New  WH Solar AdjustMI" xfId="11939"/>
    <cellStyle name="_VC 6.15.06 update on 06GRC power costs.xls Chart 3_04 07E Wild Horse Wind Expansion (C) (2)_Electric Rev Req Model (2009 GRC) Rebuttal REmoval of New  WH Solar AdjustMI 2" xfId="11940"/>
    <cellStyle name="_VC 6.15.06 update on 06GRC power costs.xls Chart 3_04 07E Wild Horse Wind Expansion (C) (2)_Electric Rev Req Model (2009 GRC) Rebuttal REmoval of New  WH Solar AdjustMI 2 2" xfId="11941"/>
    <cellStyle name="_VC 6.15.06 update on 06GRC power costs.xls Chart 3_04 07E Wild Horse Wind Expansion (C) (2)_Electric Rev Req Model (2009 GRC) Rebuttal REmoval of New  WH Solar AdjustMI 3" xfId="11942"/>
    <cellStyle name="_VC 6.15.06 update on 06GRC power costs.xls Chart 3_04 07E Wild Horse Wind Expansion (C) (2)_Electric Rev Req Model (2009 GRC) Rebuttal REmoval of New  WH Solar AdjustMI 3 2" xfId="11943"/>
    <cellStyle name="_VC 6.15.06 update on 06GRC power costs.xls Chart 3_04 07E Wild Horse Wind Expansion (C) (2)_Electric Rev Req Model (2009 GRC) Rebuttal REmoval of New  WH Solar AdjustMI 4" xfId="11944"/>
    <cellStyle name="_VC 6.15.06 update on 06GRC power costs.xls Chart 3_04 07E Wild Horse Wind Expansion (C) (2)_Electric Rev Req Model (2009 GRC) Rebuttal REmoval of New  WH Solar AdjustMI_DEM-WP(C) ENERG10C--ctn Mid-C_042010 2010GRC" xfId="11945"/>
    <cellStyle name="_VC 6.15.06 update on 06GRC power costs.xls Chart 3_04 07E Wild Horse Wind Expansion (C) (2)_Electric Rev Req Model (2009 GRC) Rebuttal REmoval of New  WH Solar AdjustMI_DEM-WP(C) ENERG10C--ctn Mid-C_042010 2010GRC 2" xfId="11946"/>
    <cellStyle name="_VC 6.15.06 update on 06GRC power costs.xls Chart 3_04 07E Wild Horse Wind Expansion (C) (2)_Electric Rev Req Model (2009 GRC) Revised 01-18-2010" xfId="11947"/>
    <cellStyle name="_VC 6.15.06 update on 06GRC power costs.xls Chart 3_04 07E Wild Horse Wind Expansion (C) (2)_Electric Rev Req Model (2009 GRC) Revised 01-18-2010 2" xfId="11948"/>
    <cellStyle name="_VC 6.15.06 update on 06GRC power costs.xls Chart 3_04 07E Wild Horse Wind Expansion (C) (2)_Electric Rev Req Model (2009 GRC) Revised 01-18-2010 2 2" xfId="11949"/>
    <cellStyle name="_VC 6.15.06 update on 06GRC power costs.xls Chart 3_04 07E Wild Horse Wind Expansion (C) (2)_Electric Rev Req Model (2009 GRC) Revised 01-18-2010 3" xfId="11950"/>
    <cellStyle name="_VC 6.15.06 update on 06GRC power costs.xls Chart 3_04 07E Wild Horse Wind Expansion (C) (2)_Electric Rev Req Model (2009 GRC) Revised 01-18-2010 3 2" xfId="11951"/>
    <cellStyle name="_VC 6.15.06 update on 06GRC power costs.xls Chart 3_04 07E Wild Horse Wind Expansion (C) (2)_Electric Rev Req Model (2009 GRC) Revised 01-18-2010 4" xfId="11952"/>
    <cellStyle name="_VC 6.15.06 update on 06GRC power costs.xls Chart 3_04 07E Wild Horse Wind Expansion (C) (2)_Electric Rev Req Model (2009 GRC) Revised 01-18-2010_DEM-WP(C) ENERG10C--ctn Mid-C_042010 2010GRC" xfId="11953"/>
    <cellStyle name="_VC 6.15.06 update on 06GRC power costs.xls Chart 3_04 07E Wild Horse Wind Expansion (C) (2)_Electric Rev Req Model (2009 GRC) Revised 01-18-2010_DEM-WP(C) ENERG10C--ctn Mid-C_042010 2010GRC 2" xfId="11954"/>
    <cellStyle name="_VC 6.15.06 update on 06GRC power costs.xls Chart 3_04 07E Wild Horse Wind Expansion (C) (2)_Electric Rev Req Model (2010 GRC)" xfId="11955"/>
    <cellStyle name="_VC 6.15.06 update on 06GRC power costs.xls Chart 3_04 07E Wild Horse Wind Expansion (C) (2)_Electric Rev Req Model (2010 GRC) 2" xfId="11956"/>
    <cellStyle name="_VC 6.15.06 update on 06GRC power costs.xls Chart 3_04 07E Wild Horse Wind Expansion (C) (2)_Electric Rev Req Model (2010 GRC) SF" xfId="11957"/>
    <cellStyle name="_VC 6.15.06 update on 06GRC power costs.xls Chart 3_04 07E Wild Horse Wind Expansion (C) (2)_Electric Rev Req Model (2010 GRC) SF 2" xfId="11958"/>
    <cellStyle name="_VC 6.15.06 update on 06GRC power costs.xls Chart 3_04 07E Wild Horse Wind Expansion (C) (2)_Final Order Electric EXHIBIT A-1" xfId="11959"/>
    <cellStyle name="_VC 6.15.06 update on 06GRC power costs.xls Chart 3_04 07E Wild Horse Wind Expansion (C) (2)_Final Order Electric EXHIBIT A-1 2" xfId="11960"/>
    <cellStyle name="_VC 6.15.06 update on 06GRC power costs.xls Chart 3_04 07E Wild Horse Wind Expansion (C) (2)_Final Order Electric EXHIBIT A-1 2 2" xfId="11961"/>
    <cellStyle name="_VC 6.15.06 update on 06GRC power costs.xls Chart 3_04 07E Wild Horse Wind Expansion (C) (2)_Final Order Electric EXHIBIT A-1 3" xfId="11962"/>
    <cellStyle name="_VC 6.15.06 update on 06GRC power costs.xls Chart 3_04 07E Wild Horse Wind Expansion (C) (2)_TENASKA REGULATORY ASSET" xfId="11963"/>
    <cellStyle name="_VC 6.15.06 update on 06GRC power costs.xls Chart 3_04 07E Wild Horse Wind Expansion (C) (2)_TENASKA REGULATORY ASSET 2" xfId="11964"/>
    <cellStyle name="_VC 6.15.06 update on 06GRC power costs.xls Chart 3_04 07E Wild Horse Wind Expansion (C) (2)_TENASKA REGULATORY ASSET 2 2" xfId="11965"/>
    <cellStyle name="_VC 6.15.06 update on 06GRC power costs.xls Chart 3_04 07E Wild Horse Wind Expansion (C) (2)_TENASKA REGULATORY ASSET 3" xfId="11966"/>
    <cellStyle name="_VC 6.15.06 update on 06GRC power costs.xls Chart 3_16.37E Wild Horse Expansion DeferralRevwrkingfile SF" xfId="11967"/>
    <cellStyle name="_VC 6.15.06 update on 06GRC power costs.xls Chart 3_16.37E Wild Horse Expansion DeferralRevwrkingfile SF 2" xfId="11968"/>
    <cellStyle name="_VC 6.15.06 update on 06GRC power costs.xls Chart 3_16.37E Wild Horse Expansion DeferralRevwrkingfile SF 2 2" xfId="11969"/>
    <cellStyle name="_VC 6.15.06 update on 06GRC power costs.xls Chart 3_16.37E Wild Horse Expansion DeferralRevwrkingfile SF 3" xfId="11970"/>
    <cellStyle name="_VC 6.15.06 update on 06GRC power costs.xls Chart 3_16.37E Wild Horse Expansion DeferralRevwrkingfile SF 3 2" xfId="11971"/>
    <cellStyle name="_VC 6.15.06 update on 06GRC power costs.xls Chart 3_16.37E Wild Horse Expansion DeferralRevwrkingfile SF 4" xfId="11972"/>
    <cellStyle name="_VC 6.15.06 update on 06GRC power costs.xls Chart 3_16.37E Wild Horse Expansion DeferralRevwrkingfile SF_DEM-WP(C) ENERG10C--ctn Mid-C_042010 2010GRC" xfId="11973"/>
    <cellStyle name="_VC 6.15.06 update on 06GRC power costs.xls Chart 3_16.37E Wild Horse Expansion DeferralRevwrkingfile SF_DEM-WP(C) ENERG10C--ctn Mid-C_042010 2010GRC 2" xfId="11974"/>
    <cellStyle name="_VC 6.15.06 update on 06GRC power costs.xls Chart 3_2009 Compliance Filing PCA Exhibits for GRC" xfId="11975"/>
    <cellStyle name="_VC 6.15.06 update on 06GRC power costs.xls Chart 3_2009 Compliance Filing PCA Exhibits for GRC 2" xfId="11976"/>
    <cellStyle name="_VC 6.15.06 update on 06GRC power costs.xls Chart 3_2009 Compliance Filing PCA Exhibits for GRC 2 2" xfId="11977"/>
    <cellStyle name="_VC 6.15.06 update on 06GRC power costs.xls Chart 3_2009 Compliance Filing PCA Exhibits for GRC 3" xfId="11978"/>
    <cellStyle name="_VC 6.15.06 update on 06GRC power costs.xls Chart 3_2009 GRC Compl Filing - Exhibit D" xfId="11979"/>
    <cellStyle name="_VC 6.15.06 update on 06GRC power costs.xls Chart 3_2009 GRC Compl Filing - Exhibit D 2" xfId="11980"/>
    <cellStyle name="_VC 6.15.06 update on 06GRC power costs.xls Chart 3_2009 GRC Compl Filing - Exhibit D 2 2" xfId="11981"/>
    <cellStyle name="_VC 6.15.06 update on 06GRC power costs.xls Chart 3_2009 GRC Compl Filing - Exhibit D 3" xfId="11982"/>
    <cellStyle name="_VC 6.15.06 update on 06GRC power costs.xls Chart 3_2009 GRC Compl Filing - Exhibit D 3 2" xfId="11983"/>
    <cellStyle name="_VC 6.15.06 update on 06GRC power costs.xls Chart 3_2009 GRC Compl Filing - Exhibit D 4" xfId="11984"/>
    <cellStyle name="_VC 6.15.06 update on 06GRC power costs.xls Chart 3_2009 GRC Compl Filing - Exhibit D_DEM-WP(C) ENERG10C--ctn Mid-C_042010 2010GRC" xfId="11985"/>
    <cellStyle name="_VC 6.15.06 update on 06GRC power costs.xls Chart 3_2009 GRC Compl Filing - Exhibit D_DEM-WP(C) ENERG10C--ctn Mid-C_042010 2010GRC 2" xfId="11986"/>
    <cellStyle name="_VC 6.15.06 update on 06GRC power costs.xls Chart 3_3.01 Income Statement" xfId="11987"/>
    <cellStyle name="_VC 6.15.06 update on 06GRC power costs.xls Chart 3_4 31 Regulatory Assets and Liabilities  7 06- Exhibit D" xfId="11988"/>
    <cellStyle name="_VC 6.15.06 update on 06GRC power costs.xls Chart 3_4 31 Regulatory Assets and Liabilities  7 06- Exhibit D 2" xfId="11989"/>
    <cellStyle name="_VC 6.15.06 update on 06GRC power costs.xls Chart 3_4 31 Regulatory Assets and Liabilities  7 06- Exhibit D 2 2" xfId="11990"/>
    <cellStyle name="_VC 6.15.06 update on 06GRC power costs.xls Chart 3_4 31 Regulatory Assets and Liabilities  7 06- Exhibit D 3" xfId="11991"/>
    <cellStyle name="_VC 6.15.06 update on 06GRC power costs.xls Chart 3_4 31 Regulatory Assets and Liabilities  7 06- Exhibit D 3 2" xfId="11992"/>
    <cellStyle name="_VC 6.15.06 update on 06GRC power costs.xls Chart 3_4 31 Regulatory Assets and Liabilities  7 06- Exhibit D 4" xfId="11993"/>
    <cellStyle name="_VC 6.15.06 update on 06GRC power costs.xls Chart 3_4 31 Regulatory Assets and Liabilities  7 06- Exhibit D_DEM-WP(C) ENERG10C--ctn Mid-C_042010 2010GRC" xfId="11994"/>
    <cellStyle name="_VC 6.15.06 update on 06GRC power costs.xls Chart 3_4 31 Regulatory Assets and Liabilities  7 06- Exhibit D_DEM-WP(C) ENERG10C--ctn Mid-C_042010 2010GRC 2" xfId="11995"/>
    <cellStyle name="_VC 6.15.06 update on 06GRC power costs.xls Chart 3_4 31 Regulatory Assets and Liabilities  7 06- Exhibit D_NIM Summary" xfId="11996"/>
    <cellStyle name="_VC 6.15.06 update on 06GRC power costs.xls Chart 3_4 31 Regulatory Assets and Liabilities  7 06- Exhibit D_NIM Summary 2" xfId="11997"/>
    <cellStyle name="_VC 6.15.06 update on 06GRC power costs.xls Chart 3_4 31 Regulatory Assets and Liabilities  7 06- Exhibit D_NIM Summary 2 2" xfId="11998"/>
    <cellStyle name="_VC 6.15.06 update on 06GRC power costs.xls Chart 3_4 31 Regulatory Assets and Liabilities  7 06- Exhibit D_NIM Summary 3" xfId="11999"/>
    <cellStyle name="_VC 6.15.06 update on 06GRC power costs.xls Chart 3_4 31 Regulatory Assets and Liabilities  7 06- Exhibit D_NIM Summary 3 2" xfId="12000"/>
    <cellStyle name="_VC 6.15.06 update on 06GRC power costs.xls Chart 3_4 31 Regulatory Assets and Liabilities  7 06- Exhibit D_NIM Summary 4" xfId="12001"/>
    <cellStyle name="_VC 6.15.06 update on 06GRC power costs.xls Chart 3_4 31 Regulatory Assets and Liabilities  7 06- Exhibit D_NIM Summary_DEM-WP(C) ENERG10C--ctn Mid-C_042010 2010GRC" xfId="12002"/>
    <cellStyle name="_VC 6.15.06 update on 06GRC power costs.xls Chart 3_4 31 Regulatory Assets and Liabilities  7 06- Exhibit D_NIM Summary_DEM-WP(C) ENERG10C--ctn Mid-C_042010 2010GRC 2" xfId="12003"/>
    <cellStyle name="_VC 6.15.06 update on 06GRC power costs.xls Chart 3_4 31E Reg Asset  Liab and EXH D" xfId="12004"/>
    <cellStyle name="_VC 6.15.06 update on 06GRC power costs.xls Chart 3_4 31E Reg Asset  Liab and EXH D _ Aug 10 Filing (2)" xfId="12005"/>
    <cellStyle name="_VC 6.15.06 update on 06GRC power costs.xls Chart 3_4 31E Reg Asset  Liab and EXH D _ Aug 10 Filing (2) 2" xfId="12006"/>
    <cellStyle name="_VC 6.15.06 update on 06GRC power costs.xls Chart 3_4 31E Reg Asset  Liab and EXH D 2" xfId="12007"/>
    <cellStyle name="_VC 6.15.06 update on 06GRC power costs.xls Chart 3_4 31E Reg Asset  Liab and EXH D 3" xfId="12008"/>
    <cellStyle name="_VC 6.15.06 update on 06GRC power costs.xls Chart 3_4 32 Regulatory Assets and Liabilities  7 06- Exhibit D" xfId="12009"/>
    <cellStyle name="_VC 6.15.06 update on 06GRC power costs.xls Chart 3_4 32 Regulatory Assets and Liabilities  7 06- Exhibit D 2" xfId="12010"/>
    <cellStyle name="_VC 6.15.06 update on 06GRC power costs.xls Chart 3_4 32 Regulatory Assets and Liabilities  7 06- Exhibit D 2 2" xfId="12011"/>
    <cellStyle name="_VC 6.15.06 update on 06GRC power costs.xls Chart 3_4 32 Regulatory Assets and Liabilities  7 06- Exhibit D 3" xfId="12012"/>
    <cellStyle name="_VC 6.15.06 update on 06GRC power costs.xls Chart 3_4 32 Regulatory Assets and Liabilities  7 06- Exhibit D 3 2" xfId="12013"/>
    <cellStyle name="_VC 6.15.06 update on 06GRC power costs.xls Chart 3_4 32 Regulatory Assets and Liabilities  7 06- Exhibit D 4" xfId="12014"/>
    <cellStyle name="_VC 6.15.06 update on 06GRC power costs.xls Chart 3_4 32 Regulatory Assets and Liabilities  7 06- Exhibit D_DEM-WP(C) ENERG10C--ctn Mid-C_042010 2010GRC" xfId="12015"/>
    <cellStyle name="_VC 6.15.06 update on 06GRC power costs.xls Chart 3_4 32 Regulatory Assets and Liabilities  7 06- Exhibit D_DEM-WP(C) ENERG10C--ctn Mid-C_042010 2010GRC 2" xfId="12016"/>
    <cellStyle name="_VC 6.15.06 update on 06GRC power costs.xls Chart 3_4 32 Regulatory Assets and Liabilities  7 06- Exhibit D_NIM Summary" xfId="12017"/>
    <cellStyle name="_VC 6.15.06 update on 06GRC power costs.xls Chart 3_4 32 Regulatory Assets and Liabilities  7 06- Exhibit D_NIM Summary 2" xfId="12018"/>
    <cellStyle name="_VC 6.15.06 update on 06GRC power costs.xls Chart 3_4 32 Regulatory Assets and Liabilities  7 06- Exhibit D_NIM Summary 2 2" xfId="12019"/>
    <cellStyle name="_VC 6.15.06 update on 06GRC power costs.xls Chart 3_4 32 Regulatory Assets and Liabilities  7 06- Exhibit D_NIM Summary 3" xfId="12020"/>
    <cellStyle name="_VC 6.15.06 update on 06GRC power costs.xls Chart 3_4 32 Regulatory Assets and Liabilities  7 06- Exhibit D_NIM Summary 3 2" xfId="12021"/>
    <cellStyle name="_VC 6.15.06 update on 06GRC power costs.xls Chart 3_4 32 Regulatory Assets and Liabilities  7 06- Exhibit D_NIM Summary 4" xfId="12022"/>
    <cellStyle name="_VC 6.15.06 update on 06GRC power costs.xls Chart 3_4 32 Regulatory Assets and Liabilities  7 06- Exhibit D_NIM Summary_DEM-WP(C) ENERG10C--ctn Mid-C_042010 2010GRC" xfId="12023"/>
    <cellStyle name="_VC 6.15.06 update on 06GRC power costs.xls Chart 3_4 32 Regulatory Assets and Liabilities  7 06- Exhibit D_NIM Summary_DEM-WP(C) ENERG10C--ctn Mid-C_042010 2010GRC 2" xfId="12024"/>
    <cellStyle name="_VC 6.15.06 update on 06GRC power costs.xls Chart 3_AURORA Total New" xfId="12025"/>
    <cellStyle name="_VC 6.15.06 update on 06GRC power costs.xls Chart 3_AURORA Total New 2" xfId="12026"/>
    <cellStyle name="_VC 6.15.06 update on 06GRC power costs.xls Chart 3_AURORA Total New 2 2" xfId="12027"/>
    <cellStyle name="_VC 6.15.06 update on 06GRC power costs.xls Chart 3_AURORA Total New 3" xfId="12028"/>
    <cellStyle name="_VC 6.15.06 update on 06GRC power costs.xls Chart 3_Book2" xfId="12029"/>
    <cellStyle name="_VC 6.15.06 update on 06GRC power costs.xls Chart 3_Book2 2" xfId="12030"/>
    <cellStyle name="_VC 6.15.06 update on 06GRC power costs.xls Chart 3_Book2 2 2" xfId="12031"/>
    <cellStyle name="_VC 6.15.06 update on 06GRC power costs.xls Chart 3_Book2 3" xfId="12032"/>
    <cellStyle name="_VC 6.15.06 update on 06GRC power costs.xls Chart 3_Book2 3 2" xfId="12033"/>
    <cellStyle name="_VC 6.15.06 update on 06GRC power costs.xls Chart 3_Book2 4" xfId="12034"/>
    <cellStyle name="_VC 6.15.06 update on 06GRC power costs.xls Chart 3_Book2_Adj Bench DR 3 for Initial Briefs (Electric)" xfId="12035"/>
    <cellStyle name="_VC 6.15.06 update on 06GRC power costs.xls Chart 3_Book2_Adj Bench DR 3 for Initial Briefs (Electric) 2" xfId="12036"/>
    <cellStyle name="_VC 6.15.06 update on 06GRC power costs.xls Chart 3_Book2_Adj Bench DR 3 for Initial Briefs (Electric) 2 2" xfId="12037"/>
    <cellStyle name="_VC 6.15.06 update on 06GRC power costs.xls Chart 3_Book2_Adj Bench DR 3 for Initial Briefs (Electric) 3" xfId="12038"/>
    <cellStyle name="_VC 6.15.06 update on 06GRC power costs.xls Chart 3_Book2_Adj Bench DR 3 for Initial Briefs (Electric) 3 2" xfId="12039"/>
    <cellStyle name="_VC 6.15.06 update on 06GRC power costs.xls Chart 3_Book2_Adj Bench DR 3 for Initial Briefs (Electric) 4" xfId="12040"/>
    <cellStyle name="_VC 6.15.06 update on 06GRC power costs.xls Chart 3_Book2_Adj Bench DR 3 for Initial Briefs (Electric)_DEM-WP(C) ENERG10C--ctn Mid-C_042010 2010GRC" xfId="12041"/>
    <cellStyle name="_VC 6.15.06 update on 06GRC power costs.xls Chart 3_Book2_Adj Bench DR 3 for Initial Briefs (Electric)_DEM-WP(C) ENERG10C--ctn Mid-C_042010 2010GRC 2" xfId="12042"/>
    <cellStyle name="_VC 6.15.06 update on 06GRC power costs.xls Chart 3_Book2_DEM-WP(C) ENERG10C--ctn Mid-C_042010 2010GRC" xfId="12043"/>
    <cellStyle name="_VC 6.15.06 update on 06GRC power costs.xls Chart 3_Book2_DEM-WP(C) ENERG10C--ctn Mid-C_042010 2010GRC 2" xfId="12044"/>
    <cellStyle name="_VC 6.15.06 update on 06GRC power costs.xls Chart 3_Book2_Electric Rev Req Model (2009 GRC) Rebuttal" xfId="12045"/>
    <cellStyle name="_VC 6.15.06 update on 06GRC power costs.xls Chart 3_Book2_Electric Rev Req Model (2009 GRC) Rebuttal 2" xfId="12046"/>
    <cellStyle name="_VC 6.15.06 update on 06GRC power costs.xls Chart 3_Book2_Electric Rev Req Model (2009 GRC) Rebuttal 2 2" xfId="12047"/>
    <cellStyle name="_VC 6.15.06 update on 06GRC power costs.xls Chart 3_Book2_Electric Rev Req Model (2009 GRC) Rebuttal 3" xfId="12048"/>
    <cellStyle name="_VC 6.15.06 update on 06GRC power costs.xls Chart 3_Book2_Electric Rev Req Model (2009 GRC) Rebuttal REmoval of New  WH Solar AdjustMI" xfId="12049"/>
    <cellStyle name="_VC 6.15.06 update on 06GRC power costs.xls Chart 3_Book2_Electric Rev Req Model (2009 GRC) Rebuttal REmoval of New  WH Solar AdjustMI 2" xfId="12050"/>
    <cellStyle name="_VC 6.15.06 update on 06GRC power costs.xls Chart 3_Book2_Electric Rev Req Model (2009 GRC) Rebuttal REmoval of New  WH Solar AdjustMI 2 2" xfId="12051"/>
    <cellStyle name="_VC 6.15.06 update on 06GRC power costs.xls Chart 3_Book2_Electric Rev Req Model (2009 GRC) Rebuttal REmoval of New  WH Solar AdjustMI 3" xfId="12052"/>
    <cellStyle name="_VC 6.15.06 update on 06GRC power costs.xls Chart 3_Book2_Electric Rev Req Model (2009 GRC) Rebuttal REmoval of New  WH Solar AdjustMI 3 2" xfId="12053"/>
    <cellStyle name="_VC 6.15.06 update on 06GRC power costs.xls Chart 3_Book2_Electric Rev Req Model (2009 GRC) Rebuttal REmoval of New  WH Solar AdjustMI 4" xfId="12054"/>
    <cellStyle name="_VC 6.15.06 update on 06GRC power costs.xls Chart 3_Book2_Electric Rev Req Model (2009 GRC) Rebuttal REmoval of New  WH Solar AdjustMI_DEM-WP(C) ENERG10C--ctn Mid-C_042010 2010GRC" xfId="12055"/>
    <cellStyle name="_VC 6.15.06 update on 06GRC power costs.xls Chart 3_Book2_Electric Rev Req Model (2009 GRC) Rebuttal REmoval of New  WH Solar AdjustMI_DEM-WP(C) ENERG10C--ctn Mid-C_042010 2010GRC 2" xfId="12056"/>
    <cellStyle name="_VC 6.15.06 update on 06GRC power costs.xls Chart 3_Book2_Electric Rev Req Model (2009 GRC) Revised 01-18-2010" xfId="12057"/>
    <cellStyle name="_VC 6.15.06 update on 06GRC power costs.xls Chart 3_Book2_Electric Rev Req Model (2009 GRC) Revised 01-18-2010 2" xfId="12058"/>
    <cellStyle name="_VC 6.15.06 update on 06GRC power costs.xls Chart 3_Book2_Electric Rev Req Model (2009 GRC) Revised 01-18-2010 2 2" xfId="12059"/>
    <cellStyle name="_VC 6.15.06 update on 06GRC power costs.xls Chart 3_Book2_Electric Rev Req Model (2009 GRC) Revised 01-18-2010 3" xfId="12060"/>
    <cellStyle name="_VC 6.15.06 update on 06GRC power costs.xls Chart 3_Book2_Electric Rev Req Model (2009 GRC) Revised 01-18-2010 3 2" xfId="12061"/>
    <cellStyle name="_VC 6.15.06 update on 06GRC power costs.xls Chart 3_Book2_Electric Rev Req Model (2009 GRC) Revised 01-18-2010 4" xfId="12062"/>
    <cellStyle name="_VC 6.15.06 update on 06GRC power costs.xls Chart 3_Book2_Electric Rev Req Model (2009 GRC) Revised 01-18-2010_DEM-WP(C) ENERG10C--ctn Mid-C_042010 2010GRC" xfId="12063"/>
    <cellStyle name="_VC 6.15.06 update on 06GRC power costs.xls Chart 3_Book2_Electric Rev Req Model (2009 GRC) Revised 01-18-2010_DEM-WP(C) ENERG10C--ctn Mid-C_042010 2010GRC 2" xfId="12064"/>
    <cellStyle name="_VC 6.15.06 update on 06GRC power costs.xls Chart 3_Book2_Final Order Electric EXHIBIT A-1" xfId="12065"/>
    <cellStyle name="_VC 6.15.06 update on 06GRC power costs.xls Chart 3_Book2_Final Order Electric EXHIBIT A-1 2" xfId="12066"/>
    <cellStyle name="_VC 6.15.06 update on 06GRC power costs.xls Chart 3_Book2_Final Order Electric EXHIBIT A-1 2 2" xfId="12067"/>
    <cellStyle name="_VC 6.15.06 update on 06GRC power costs.xls Chart 3_Book2_Final Order Electric EXHIBIT A-1 3" xfId="12068"/>
    <cellStyle name="_VC 6.15.06 update on 06GRC power costs.xls Chart 3_Book4" xfId="12069"/>
    <cellStyle name="_VC 6.15.06 update on 06GRC power costs.xls Chart 3_Book4 2" xfId="12070"/>
    <cellStyle name="_VC 6.15.06 update on 06GRC power costs.xls Chart 3_Book4 2 2" xfId="12071"/>
    <cellStyle name="_VC 6.15.06 update on 06GRC power costs.xls Chart 3_Book4 3" xfId="12072"/>
    <cellStyle name="_VC 6.15.06 update on 06GRC power costs.xls Chart 3_Book4 3 2" xfId="12073"/>
    <cellStyle name="_VC 6.15.06 update on 06GRC power costs.xls Chart 3_Book4 4" xfId="12074"/>
    <cellStyle name="_VC 6.15.06 update on 06GRC power costs.xls Chart 3_Book4_DEM-WP(C) ENERG10C--ctn Mid-C_042010 2010GRC" xfId="12075"/>
    <cellStyle name="_VC 6.15.06 update on 06GRC power costs.xls Chart 3_Book4_DEM-WP(C) ENERG10C--ctn Mid-C_042010 2010GRC 2" xfId="12076"/>
    <cellStyle name="_VC 6.15.06 update on 06GRC power costs.xls Chart 3_Book9" xfId="12077"/>
    <cellStyle name="_VC 6.15.06 update on 06GRC power costs.xls Chart 3_Book9 2" xfId="12078"/>
    <cellStyle name="_VC 6.15.06 update on 06GRC power costs.xls Chart 3_Book9 2 2" xfId="12079"/>
    <cellStyle name="_VC 6.15.06 update on 06GRC power costs.xls Chart 3_Book9 3" xfId="12080"/>
    <cellStyle name="_VC 6.15.06 update on 06GRC power costs.xls Chart 3_Book9 3 2" xfId="12081"/>
    <cellStyle name="_VC 6.15.06 update on 06GRC power costs.xls Chart 3_Book9 4" xfId="12082"/>
    <cellStyle name="_VC 6.15.06 update on 06GRC power costs.xls Chart 3_Book9_DEM-WP(C) ENERG10C--ctn Mid-C_042010 2010GRC" xfId="12083"/>
    <cellStyle name="_VC 6.15.06 update on 06GRC power costs.xls Chart 3_Book9_DEM-WP(C) ENERG10C--ctn Mid-C_042010 2010GRC 2" xfId="12084"/>
    <cellStyle name="_VC 6.15.06 update on 06GRC power costs.xls Chart 3_Chelan PUD Power Costs (8-10)" xfId="12085"/>
    <cellStyle name="_VC 6.15.06 update on 06GRC power costs.xls Chart 3_Chelan PUD Power Costs (8-10) 2" xfId="12086"/>
    <cellStyle name="_VC 6.15.06 update on 06GRC power costs.xls Chart 3_DEM-WP(C) Chelan Power Costs" xfId="12087"/>
    <cellStyle name="_VC 6.15.06 update on 06GRC power costs.xls Chart 3_DEM-WP(C) Chelan Power Costs 2" xfId="12088"/>
    <cellStyle name="_VC 6.15.06 update on 06GRC power costs.xls Chart 3_DEM-WP(C) ENERG10C--ctn Mid-C_042010 2010GRC" xfId="12089"/>
    <cellStyle name="_VC 6.15.06 update on 06GRC power costs.xls Chart 3_DEM-WP(C) ENERG10C--ctn Mid-C_042010 2010GRC 2" xfId="12090"/>
    <cellStyle name="_VC 6.15.06 update on 06GRC power costs.xls Chart 3_DEM-WP(C) Gas Transport 2010GRC" xfId="12091"/>
    <cellStyle name="_VC 6.15.06 update on 06GRC power costs.xls Chart 3_DEM-WP(C) Gas Transport 2010GRC 2" xfId="12092"/>
    <cellStyle name="_VC 6.15.06 update on 06GRC power costs.xls Chart 3_Exh A-1 resulting from UE-112050 effective Jan 1 2012" xfId="12093"/>
    <cellStyle name="_VC 6.15.06 update on 06GRC power costs.xls Chart 3_Exh A-1 resulting from UE-112050 effective Jan 1 2012 2" xfId="12094"/>
    <cellStyle name="_VC 6.15.06 update on 06GRC power costs.xls Chart 3_Exhibit A-1 effective 4-1-11 fr S Free 12-11" xfId="12095"/>
    <cellStyle name="_VC 6.15.06 update on 06GRC power costs.xls Chart 3_Exhibit A-1 effective 4-1-11 fr S Free 12-11 2" xfId="12096"/>
    <cellStyle name="_VC 6.15.06 update on 06GRC power costs.xls Chart 3_Mint Farm Generation BPA" xfId="12097"/>
    <cellStyle name="_VC 6.15.06 update on 06GRC power costs.xls Chart 3_NIM Summary" xfId="12098"/>
    <cellStyle name="_VC 6.15.06 update on 06GRC power costs.xls Chart 3_NIM Summary 09GRC" xfId="12099"/>
    <cellStyle name="_VC 6.15.06 update on 06GRC power costs.xls Chart 3_NIM Summary 09GRC 2" xfId="12100"/>
    <cellStyle name="_VC 6.15.06 update on 06GRC power costs.xls Chart 3_NIM Summary 09GRC 2 2" xfId="12101"/>
    <cellStyle name="_VC 6.15.06 update on 06GRC power costs.xls Chart 3_NIM Summary 09GRC 3" xfId="12102"/>
    <cellStyle name="_VC 6.15.06 update on 06GRC power costs.xls Chart 3_NIM Summary 09GRC 3 2" xfId="12103"/>
    <cellStyle name="_VC 6.15.06 update on 06GRC power costs.xls Chart 3_NIM Summary 09GRC 4" xfId="12104"/>
    <cellStyle name="_VC 6.15.06 update on 06GRC power costs.xls Chart 3_NIM Summary 09GRC_DEM-WP(C) ENERG10C--ctn Mid-C_042010 2010GRC" xfId="12105"/>
    <cellStyle name="_VC 6.15.06 update on 06GRC power costs.xls Chart 3_NIM Summary 09GRC_DEM-WP(C) ENERG10C--ctn Mid-C_042010 2010GRC 2" xfId="12106"/>
    <cellStyle name="_VC 6.15.06 update on 06GRC power costs.xls Chart 3_NIM Summary 10" xfId="12107"/>
    <cellStyle name="_VC 6.15.06 update on 06GRC power costs.xls Chart 3_NIM Summary 10 2" xfId="12108"/>
    <cellStyle name="_VC 6.15.06 update on 06GRC power costs.xls Chart 3_NIM Summary 11" xfId="12109"/>
    <cellStyle name="_VC 6.15.06 update on 06GRC power costs.xls Chart 3_NIM Summary 11 2" xfId="12110"/>
    <cellStyle name="_VC 6.15.06 update on 06GRC power costs.xls Chart 3_NIM Summary 12" xfId="12111"/>
    <cellStyle name="_VC 6.15.06 update on 06GRC power costs.xls Chart 3_NIM Summary 12 2" xfId="12112"/>
    <cellStyle name="_VC 6.15.06 update on 06GRC power costs.xls Chart 3_NIM Summary 13" xfId="12113"/>
    <cellStyle name="_VC 6.15.06 update on 06GRC power costs.xls Chart 3_NIM Summary 13 2" xfId="12114"/>
    <cellStyle name="_VC 6.15.06 update on 06GRC power costs.xls Chart 3_NIM Summary 14" xfId="12115"/>
    <cellStyle name="_VC 6.15.06 update on 06GRC power costs.xls Chart 3_NIM Summary 14 2" xfId="12116"/>
    <cellStyle name="_VC 6.15.06 update on 06GRC power costs.xls Chart 3_NIM Summary 15" xfId="12117"/>
    <cellStyle name="_VC 6.15.06 update on 06GRC power costs.xls Chart 3_NIM Summary 15 2" xfId="12118"/>
    <cellStyle name="_VC 6.15.06 update on 06GRC power costs.xls Chart 3_NIM Summary 16" xfId="12119"/>
    <cellStyle name="_VC 6.15.06 update on 06GRC power costs.xls Chart 3_NIM Summary 16 2" xfId="12120"/>
    <cellStyle name="_VC 6.15.06 update on 06GRC power costs.xls Chart 3_NIM Summary 17" xfId="12121"/>
    <cellStyle name="_VC 6.15.06 update on 06GRC power costs.xls Chart 3_NIM Summary 17 2" xfId="12122"/>
    <cellStyle name="_VC 6.15.06 update on 06GRC power costs.xls Chart 3_NIM Summary 18" xfId="12123"/>
    <cellStyle name="_VC 6.15.06 update on 06GRC power costs.xls Chart 3_NIM Summary 18 2" xfId="12124"/>
    <cellStyle name="_VC 6.15.06 update on 06GRC power costs.xls Chart 3_NIM Summary 19" xfId="12125"/>
    <cellStyle name="_VC 6.15.06 update on 06GRC power costs.xls Chart 3_NIM Summary 19 2" xfId="12126"/>
    <cellStyle name="_VC 6.15.06 update on 06GRC power costs.xls Chart 3_NIM Summary 2" xfId="12127"/>
    <cellStyle name="_VC 6.15.06 update on 06GRC power costs.xls Chart 3_NIM Summary 2 2" xfId="12128"/>
    <cellStyle name="_VC 6.15.06 update on 06GRC power costs.xls Chart 3_NIM Summary 20" xfId="12129"/>
    <cellStyle name="_VC 6.15.06 update on 06GRC power costs.xls Chart 3_NIM Summary 20 2" xfId="12130"/>
    <cellStyle name="_VC 6.15.06 update on 06GRC power costs.xls Chart 3_NIM Summary 21" xfId="12131"/>
    <cellStyle name="_VC 6.15.06 update on 06GRC power costs.xls Chart 3_NIM Summary 21 2" xfId="12132"/>
    <cellStyle name="_VC 6.15.06 update on 06GRC power costs.xls Chart 3_NIM Summary 22" xfId="12133"/>
    <cellStyle name="_VC 6.15.06 update on 06GRC power costs.xls Chart 3_NIM Summary 22 2" xfId="12134"/>
    <cellStyle name="_VC 6.15.06 update on 06GRC power costs.xls Chart 3_NIM Summary 23" xfId="12135"/>
    <cellStyle name="_VC 6.15.06 update on 06GRC power costs.xls Chart 3_NIM Summary 23 2" xfId="12136"/>
    <cellStyle name="_VC 6.15.06 update on 06GRC power costs.xls Chart 3_NIM Summary 24" xfId="12137"/>
    <cellStyle name="_VC 6.15.06 update on 06GRC power costs.xls Chart 3_NIM Summary 24 2" xfId="12138"/>
    <cellStyle name="_VC 6.15.06 update on 06GRC power costs.xls Chart 3_NIM Summary 25" xfId="12139"/>
    <cellStyle name="_VC 6.15.06 update on 06GRC power costs.xls Chart 3_NIM Summary 25 2" xfId="12140"/>
    <cellStyle name="_VC 6.15.06 update on 06GRC power costs.xls Chart 3_NIM Summary 26" xfId="12141"/>
    <cellStyle name="_VC 6.15.06 update on 06GRC power costs.xls Chart 3_NIM Summary 26 2" xfId="12142"/>
    <cellStyle name="_VC 6.15.06 update on 06GRC power costs.xls Chart 3_NIM Summary 27" xfId="12143"/>
    <cellStyle name="_VC 6.15.06 update on 06GRC power costs.xls Chart 3_NIM Summary 27 2" xfId="12144"/>
    <cellStyle name="_VC 6.15.06 update on 06GRC power costs.xls Chart 3_NIM Summary 28" xfId="12145"/>
    <cellStyle name="_VC 6.15.06 update on 06GRC power costs.xls Chart 3_NIM Summary 28 2" xfId="12146"/>
    <cellStyle name="_VC 6.15.06 update on 06GRC power costs.xls Chart 3_NIM Summary 29" xfId="12147"/>
    <cellStyle name="_VC 6.15.06 update on 06GRC power costs.xls Chart 3_NIM Summary 29 2" xfId="12148"/>
    <cellStyle name="_VC 6.15.06 update on 06GRC power costs.xls Chart 3_NIM Summary 3" xfId="12149"/>
    <cellStyle name="_VC 6.15.06 update on 06GRC power costs.xls Chart 3_NIM Summary 3 2" xfId="12150"/>
    <cellStyle name="_VC 6.15.06 update on 06GRC power costs.xls Chart 3_NIM Summary 30" xfId="12151"/>
    <cellStyle name="_VC 6.15.06 update on 06GRC power costs.xls Chart 3_NIM Summary 30 2" xfId="12152"/>
    <cellStyle name="_VC 6.15.06 update on 06GRC power costs.xls Chart 3_NIM Summary 31" xfId="12153"/>
    <cellStyle name="_VC 6.15.06 update on 06GRC power costs.xls Chart 3_NIM Summary 31 2" xfId="12154"/>
    <cellStyle name="_VC 6.15.06 update on 06GRC power costs.xls Chart 3_NIM Summary 32" xfId="12155"/>
    <cellStyle name="_VC 6.15.06 update on 06GRC power costs.xls Chart 3_NIM Summary 32 2" xfId="12156"/>
    <cellStyle name="_VC 6.15.06 update on 06GRC power costs.xls Chart 3_NIM Summary 33" xfId="12157"/>
    <cellStyle name="_VC 6.15.06 update on 06GRC power costs.xls Chart 3_NIM Summary 33 2" xfId="12158"/>
    <cellStyle name="_VC 6.15.06 update on 06GRC power costs.xls Chart 3_NIM Summary 34" xfId="12159"/>
    <cellStyle name="_VC 6.15.06 update on 06GRC power costs.xls Chart 3_NIM Summary 34 2" xfId="12160"/>
    <cellStyle name="_VC 6.15.06 update on 06GRC power costs.xls Chart 3_NIM Summary 35" xfId="12161"/>
    <cellStyle name="_VC 6.15.06 update on 06GRC power costs.xls Chart 3_NIM Summary 35 2" xfId="12162"/>
    <cellStyle name="_VC 6.15.06 update on 06GRC power costs.xls Chart 3_NIM Summary 36" xfId="12163"/>
    <cellStyle name="_VC 6.15.06 update on 06GRC power costs.xls Chart 3_NIM Summary 36 2" xfId="12164"/>
    <cellStyle name="_VC 6.15.06 update on 06GRC power costs.xls Chart 3_NIM Summary 37" xfId="12165"/>
    <cellStyle name="_VC 6.15.06 update on 06GRC power costs.xls Chart 3_NIM Summary 37 2" xfId="12166"/>
    <cellStyle name="_VC 6.15.06 update on 06GRC power costs.xls Chart 3_NIM Summary 38" xfId="12167"/>
    <cellStyle name="_VC 6.15.06 update on 06GRC power costs.xls Chart 3_NIM Summary 38 2" xfId="12168"/>
    <cellStyle name="_VC 6.15.06 update on 06GRC power costs.xls Chart 3_NIM Summary 39" xfId="12169"/>
    <cellStyle name="_VC 6.15.06 update on 06GRC power costs.xls Chart 3_NIM Summary 39 2" xfId="12170"/>
    <cellStyle name="_VC 6.15.06 update on 06GRC power costs.xls Chart 3_NIM Summary 4" xfId="12171"/>
    <cellStyle name="_VC 6.15.06 update on 06GRC power costs.xls Chart 3_NIM Summary 4 2" xfId="12172"/>
    <cellStyle name="_VC 6.15.06 update on 06GRC power costs.xls Chart 3_NIM Summary 40" xfId="12173"/>
    <cellStyle name="_VC 6.15.06 update on 06GRC power costs.xls Chart 3_NIM Summary 40 2" xfId="12174"/>
    <cellStyle name="_VC 6.15.06 update on 06GRC power costs.xls Chart 3_NIM Summary 41" xfId="12175"/>
    <cellStyle name="_VC 6.15.06 update on 06GRC power costs.xls Chart 3_NIM Summary 41 2" xfId="12176"/>
    <cellStyle name="_VC 6.15.06 update on 06GRC power costs.xls Chart 3_NIM Summary 42" xfId="12177"/>
    <cellStyle name="_VC 6.15.06 update on 06GRC power costs.xls Chart 3_NIM Summary 42 2" xfId="12178"/>
    <cellStyle name="_VC 6.15.06 update on 06GRC power costs.xls Chart 3_NIM Summary 43" xfId="12179"/>
    <cellStyle name="_VC 6.15.06 update on 06GRC power costs.xls Chart 3_NIM Summary 43 2" xfId="12180"/>
    <cellStyle name="_VC 6.15.06 update on 06GRC power costs.xls Chart 3_NIM Summary 44" xfId="12181"/>
    <cellStyle name="_VC 6.15.06 update on 06GRC power costs.xls Chart 3_NIM Summary 44 2" xfId="12182"/>
    <cellStyle name="_VC 6.15.06 update on 06GRC power costs.xls Chart 3_NIM Summary 45" xfId="12183"/>
    <cellStyle name="_VC 6.15.06 update on 06GRC power costs.xls Chart 3_NIM Summary 45 2" xfId="12184"/>
    <cellStyle name="_VC 6.15.06 update on 06GRC power costs.xls Chart 3_NIM Summary 46" xfId="12185"/>
    <cellStyle name="_VC 6.15.06 update on 06GRC power costs.xls Chart 3_NIM Summary 46 2" xfId="12186"/>
    <cellStyle name="_VC 6.15.06 update on 06GRC power costs.xls Chart 3_NIM Summary 47" xfId="12187"/>
    <cellStyle name="_VC 6.15.06 update on 06GRC power costs.xls Chart 3_NIM Summary 47 2" xfId="12188"/>
    <cellStyle name="_VC 6.15.06 update on 06GRC power costs.xls Chart 3_NIM Summary 48" xfId="12189"/>
    <cellStyle name="_VC 6.15.06 update on 06GRC power costs.xls Chart 3_NIM Summary 49" xfId="12190"/>
    <cellStyle name="_VC 6.15.06 update on 06GRC power costs.xls Chart 3_NIM Summary 5" xfId="12191"/>
    <cellStyle name="_VC 6.15.06 update on 06GRC power costs.xls Chart 3_NIM Summary 5 2" xfId="12192"/>
    <cellStyle name="_VC 6.15.06 update on 06GRC power costs.xls Chart 3_NIM Summary 50" xfId="12193"/>
    <cellStyle name="_VC 6.15.06 update on 06GRC power costs.xls Chart 3_NIM Summary 51" xfId="12194"/>
    <cellStyle name="_VC 6.15.06 update on 06GRC power costs.xls Chart 3_NIM Summary 52" xfId="12195"/>
    <cellStyle name="_VC 6.15.06 update on 06GRC power costs.xls Chart 3_NIM Summary 6" xfId="12196"/>
    <cellStyle name="_VC 6.15.06 update on 06GRC power costs.xls Chart 3_NIM Summary 6 2" xfId="12197"/>
    <cellStyle name="_VC 6.15.06 update on 06GRC power costs.xls Chart 3_NIM Summary 7" xfId="12198"/>
    <cellStyle name="_VC 6.15.06 update on 06GRC power costs.xls Chart 3_NIM Summary 7 2" xfId="12199"/>
    <cellStyle name="_VC 6.15.06 update on 06GRC power costs.xls Chart 3_NIM Summary 8" xfId="12200"/>
    <cellStyle name="_VC 6.15.06 update on 06GRC power costs.xls Chart 3_NIM Summary 8 2" xfId="12201"/>
    <cellStyle name="_VC 6.15.06 update on 06GRC power costs.xls Chart 3_NIM Summary 9" xfId="12202"/>
    <cellStyle name="_VC 6.15.06 update on 06GRC power costs.xls Chart 3_NIM Summary 9 2" xfId="12203"/>
    <cellStyle name="_VC 6.15.06 update on 06GRC power costs.xls Chart 3_NIM Summary_DEM-WP(C) ENERG10C--ctn Mid-C_042010 2010GRC" xfId="12204"/>
    <cellStyle name="_VC 6.15.06 update on 06GRC power costs.xls Chart 3_NIM Summary_DEM-WP(C) ENERG10C--ctn Mid-C_042010 2010GRC 2" xfId="12205"/>
    <cellStyle name="_VC 6.15.06 update on 06GRC power costs.xls Chart 3_PCA 10 -  Exhibit D Dec 2011" xfId="12206"/>
    <cellStyle name="_VC 6.15.06 update on 06GRC power costs.xls Chart 3_PCA 10 -  Exhibit D Dec 2011 2" xfId="12207"/>
    <cellStyle name="_VC 6.15.06 update on 06GRC power costs.xls Chart 3_PCA 10 -  Exhibit D from A Kellogg Jan 2011" xfId="12208"/>
    <cellStyle name="_VC 6.15.06 update on 06GRC power costs.xls Chart 3_PCA 10 -  Exhibit D from A Kellogg Jan 2011 2" xfId="12209"/>
    <cellStyle name="_VC 6.15.06 update on 06GRC power costs.xls Chart 3_PCA 10 -  Exhibit D from A Kellogg July 2011" xfId="12210"/>
    <cellStyle name="_VC 6.15.06 update on 06GRC power costs.xls Chart 3_PCA 10 -  Exhibit D from A Kellogg July 2011 2" xfId="12211"/>
    <cellStyle name="_VC 6.15.06 update on 06GRC power costs.xls Chart 3_PCA 10 -  Exhibit D from S Free Rcv'd 12-11" xfId="12212"/>
    <cellStyle name="_VC 6.15.06 update on 06GRC power costs.xls Chart 3_PCA 10 -  Exhibit D from S Free Rcv'd 12-11 2" xfId="12213"/>
    <cellStyle name="_VC 6.15.06 update on 06GRC power costs.xls Chart 3_PCA 11 -  Exhibit D Jan 2012 fr A Kellogg" xfId="12214"/>
    <cellStyle name="_VC 6.15.06 update on 06GRC power costs.xls Chart 3_PCA 11 -  Exhibit D Jan 2012 fr A Kellogg 2" xfId="12215"/>
    <cellStyle name="_VC 6.15.06 update on 06GRC power costs.xls Chart 3_PCA 11 -  Exhibit D Jan 2012 WF" xfId="12216"/>
    <cellStyle name="_VC 6.15.06 update on 06GRC power costs.xls Chart 3_PCA 11 -  Exhibit D Jan 2012 WF 2" xfId="12217"/>
    <cellStyle name="_VC 6.15.06 update on 06GRC power costs.xls Chart 3_PCA 9 -  Exhibit D April 2010" xfId="12218"/>
    <cellStyle name="_VC 6.15.06 update on 06GRC power costs.xls Chart 3_PCA 9 -  Exhibit D April 2010 (3)" xfId="12219"/>
    <cellStyle name="_VC 6.15.06 update on 06GRC power costs.xls Chart 3_PCA 9 -  Exhibit D April 2010 (3) 2" xfId="12220"/>
    <cellStyle name="_VC 6.15.06 update on 06GRC power costs.xls Chart 3_PCA 9 -  Exhibit D April 2010 (3) 2 2" xfId="12221"/>
    <cellStyle name="_VC 6.15.06 update on 06GRC power costs.xls Chart 3_PCA 9 -  Exhibit D April 2010 (3) 3" xfId="12222"/>
    <cellStyle name="_VC 6.15.06 update on 06GRC power costs.xls Chart 3_PCA 9 -  Exhibit D April 2010 (3) 3 2" xfId="12223"/>
    <cellStyle name="_VC 6.15.06 update on 06GRC power costs.xls Chart 3_PCA 9 -  Exhibit D April 2010 (3) 4" xfId="12224"/>
    <cellStyle name="_VC 6.15.06 update on 06GRC power costs.xls Chart 3_PCA 9 -  Exhibit D April 2010 (3)_DEM-WP(C) ENERG10C--ctn Mid-C_042010 2010GRC" xfId="12225"/>
    <cellStyle name="_VC 6.15.06 update on 06GRC power costs.xls Chart 3_PCA 9 -  Exhibit D April 2010 (3)_DEM-WP(C) ENERG10C--ctn Mid-C_042010 2010GRC 2" xfId="12226"/>
    <cellStyle name="_VC 6.15.06 update on 06GRC power costs.xls Chart 3_PCA 9 -  Exhibit D April 2010 2" xfId="12227"/>
    <cellStyle name="_VC 6.15.06 update on 06GRC power costs.xls Chart 3_PCA 9 -  Exhibit D April 2010 2 2" xfId="12228"/>
    <cellStyle name="_VC 6.15.06 update on 06GRC power costs.xls Chart 3_PCA 9 -  Exhibit D April 2010 3" xfId="12229"/>
    <cellStyle name="_VC 6.15.06 update on 06GRC power costs.xls Chart 3_PCA 9 -  Exhibit D April 2010 3 2" xfId="12230"/>
    <cellStyle name="_VC 6.15.06 update on 06GRC power costs.xls Chart 3_PCA 9 -  Exhibit D April 2010 4" xfId="12231"/>
    <cellStyle name="_VC 6.15.06 update on 06GRC power costs.xls Chart 3_PCA 9 -  Exhibit D April 2010 4 2" xfId="12232"/>
    <cellStyle name="_VC 6.15.06 update on 06GRC power costs.xls Chart 3_PCA 9 -  Exhibit D April 2010 5" xfId="12233"/>
    <cellStyle name="_VC 6.15.06 update on 06GRC power costs.xls Chart 3_PCA 9 -  Exhibit D April 2010 5 2" xfId="12234"/>
    <cellStyle name="_VC 6.15.06 update on 06GRC power costs.xls Chart 3_PCA 9 -  Exhibit D April 2010 6" xfId="12235"/>
    <cellStyle name="_VC 6.15.06 update on 06GRC power costs.xls Chart 3_PCA 9 -  Exhibit D April 2010 6 2" xfId="12236"/>
    <cellStyle name="_VC 6.15.06 update on 06GRC power costs.xls Chart 3_PCA 9 -  Exhibit D April 2010 7" xfId="12237"/>
    <cellStyle name="_VC 6.15.06 update on 06GRC power costs.xls Chart 3_PCA 9 -  Exhibit D Nov 2010" xfId="12238"/>
    <cellStyle name="_VC 6.15.06 update on 06GRC power costs.xls Chart 3_PCA 9 -  Exhibit D Nov 2010 2" xfId="12239"/>
    <cellStyle name="_VC 6.15.06 update on 06GRC power costs.xls Chart 3_PCA 9 -  Exhibit D Nov 2010 2 2" xfId="12240"/>
    <cellStyle name="_VC 6.15.06 update on 06GRC power costs.xls Chart 3_PCA 9 -  Exhibit D Nov 2010 3" xfId="12241"/>
    <cellStyle name="_VC 6.15.06 update on 06GRC power costs.xls Chart 3_PCA 9 - Exhibit D at August 2010" xfId="12242"/>
    <cellStyle name="_VC 6.15.06 update on 06GRC power costs.xls Chart 3_PCA 9 - Exhibit D at August 2010 2" xfId="12243"/>
    <cellStyle name="_VC 6.15.06 update on 06GRC power costs.xls Chart 3_PCA 9 - Exhibit D at August 2010 2 2" xfId="12244"/>
    <cellStyle name="_VC 6.15.06 update on 06GRC power costs.xls Chart 3_PCA 9 - Exhibit D at August 2010 3" xfId="12245"/>
    <cellStyle name="_VC 6.15.06 update on 06GRC power costs.xls Chart 3_PCA 9 - Exhibit D June 2010 GRC" xfId="12246"/>
    <cellStyle name="_VC 6.15.06 update on 06GRC power costs.xls Chart 3_PCA 9 - Exhibit D June 2010 GRC 2" xfId="12247"/>
    <cellStyle name="_VC 6.15.06 update on 06GRC power costs.xls Chart 3_PCA 9 - Exhibit D June 2010 GRC 2 2" xfId="12248"/>
    <cellStyle name="_VC 6.15.06 update on 06GRC power costs.xls Chart 3_PCA 9 - Exhibit D June 2010 GRC 3" xfId="12249"/>
    <cellStyle name="_VC 6.15.06 update on 06GRC power costs.xls Chart 3_Power Costs - Comparison bx Rbtl-Staff-Jt-PC" xfId="12250"/>
    <cellStyle name="_VC 6.15.06 update on 06GRC power costs.xls Chart 3_Power Costs - Comparison bx Rbtl-Staff-Jt-PC 2" xfId="12251"/>
    <cellStyle name="_VC 6.15.06 update on 06GRC power costs.xls Chart 3_Power Costs - Comparison bx Rbtl-Staff-Jt-PC 2 2" xfId="12252"/>
    <cellStyle name="_VC 6.15.06 update on 06GRC power costs.xls Chart 3_Power Costs - Comparison bx Rbtl-Staff-Jt-PC 3" xfId="12253"/>
    <cellStyle name="_VC 6.15.06 update on 06GRC power costs.xls Chart 3_Power Costs - Comparison bx Rbtl-Staff-Jt-PC 3 2" xfId="12254"/>
    <cellStyle name="_VC 6.15.06 update on 06GRC power costs.xls Chart 3_Power Costs - Comparison bx Rbtl-Staff-Jt-PC 4" xfId="12255"/>
    <cellStyle name="_VC 6.15.06 update on 06GRC power costs.xls Chart 3_Power Costs - Comparison bx Rbtl-Staff-Jt-PC_Adj Bench DR 3 for Initial Briefs (Electric)" xfId="12256"/>
    <cellStyle name="_VC 6.15.06 update on 06GRC power costs.xls Chart 3_Power Costs - Comparison bx Rbtl-Staff-Jt-PC_Adj Bench DR 3 for Initial Briefs (Electric) 2" xfId="12257"/>
    <cellStyle name="_VC 6.15.06 update on 06GRC power costs.xls Chart 3_Power Costs - Comparison bx Rbtl-Staff-Jt-PC_Adj Bench DR 3 for Initial Briefs (Electric) 2 2" xfId="12258"/>
    <cellStyle name="_VC 6.15.06 update on 06GRC power costs.xls Chart 3_Power Costs - Comparison bx Rbtl-Staff-Jt-PC_Adj Bench DR 3 for Initial Briefs (Electric) 3" xfId="12259"/>
    <cellStyle name="_VC 6.15.06 update on 06GRC power costs.xls Chart 3_Power Costs - Comparison bx Rbtl-Staff-Jt-PC_Adj Bench DR 3 for Initial Briefs (Electric) 3 2" xfId="12260"/>
    <cellStyle name="_VC 6.15.06 update on 06GRC power costs.xls Chart 3_Power Costs - Comparison bx Rbtl-Staff-Jt-PC_Adj Bench DR 3 for Initial Briefs (Electric) 4" xfId="12261"/>
    <cellStyle name="_VC 6.15.06 update on 06GRC power costs.xls Chart 3_Power Costs - Comparison bx Rbtl-Staff-Jt-PC_Adj Bench DR 3 for Initial Briefs (Electric)_DEM-WP(C) ENERG10C--ctn Mid-C_042010 2010GRC" xfId="12262"/>
    <cellStyle name="_VC 6.15.06 update on 06GRC power costs.xls Chart 3_Power Costs - Comparison bx Rbtl-Staff-Jt-PC_Adj Bench DR 3 for Initial Briefs (Electric)_DEM-WP(C) ENERG10C--ctn Mid-C_042010 2010GRC 2" xfId="12263"/>
    <cellStyle name="_VC 6.15.06 update on 06GRC power costs.xls Chart 3_Power Costs - Comparison bx Rbtl-Staff-Jt-PC_DEM-WP(C) ENERG10C--ctn Mid-C_042010 2010GRC" xfId="12264"/>
    <cellStyle name="_VC 6.15.06 update on 06GRC power costs.xls Chart 3_Power Costs - Comparison bx Rbtl-Staff-Jt-PC_DEM-WP(C) ENERG10C--ctn Mid-C_042010 2010GRC 2" xfId="12265"/>
    <cellStyle name="_VC 6.15.06 update on 06GRC power costs.xls Chart 3_Power Costs - Comparison bx Rbtl-Staff-Jt-PC_Electric Rev Req Model (2009 GRC) Rebuttal" xfId="12266"/>
    <cellStyle name="_VC 6.15.06 update on 06GRC power costs.xls Chart 3_Power Costs - Comparison bx Rbtl-Staff-Jt-PC_Electric Rev Req Model (2009 GRC) Rebuttal 2" xfId="12267"/>
    <cellStyle name="_VC 6.15.06 update on 06GRC power costs.xls Chart 3_Power Costs - Comparison bx Rbtl-Staff-Jt-PC_Electric Rev Req Model (2009 GRC) Rebuttal 2 2" xfId="12268"/>
    <cellStyle name="_VC 6.15.06 update on 06GRC power costs.xls Chart 3_Power Costs - Comparison bx Rbtl-Staff-Jt-PC_Electric Rev Req Model (2009 GRC) Rebuttal 3" xfId="12269"/>
    <cellStyle name="_VC 6.15.06 update on 06GRC power costs.xls Chart 3_Power Costs - Comparison bx Rbtl-Staff-Jt-PC_Electric Rev Req Model (2009 GRC) Rebuttal REmoval of New  WH Solar AdjustMI" xfId="12270"/>
    <cellStyle name="_VC 6.15.06 update on 06GRC power costs.xls Chart 3_Power Costs - Comparison bx Rbtl-Staff-Jt-PC_Electric Rev Req Model (2009 GRC) Rebuttal REmoval of New  WH Solar AdjustMI 2" xfId="12271"/>
    <cellStyle name="_VC 6.15.06 update on 06GRC power costs.xls Chart 3_Power Costs - Comparison bx Rbtl-Staff-Jt-PC_Electric Rev Req Model (2009 GRC) Rebuttal REmoval of New  WH Solar AdjustMI 2 2" xfId="12272"/>
    <cellStyle name="_VC 6.15.06 update on 06GRC power costs.xls Chart 3_Power Costs - Comparison bx Rbtl-Staff-Jt-PC_Electric Rev Req Model (2009 GRC) Rebuttal REmoval of New  WH Solar AdjustMI 3" xfId="12273"/>
    <cellStyle name="_VC 6.15.06 update on 06GRC power costs.xls Chart 3_Power Costs - Comparison bx Rbtl-Staff-Jt-PC_Electric Rev Req Model (2009 GRC) Rebuttal REmoval of New  WH Solar AdjustMI 3 2" xfId="12274"/>
    <cellStyle name="_VC 6.15.06 update on 06GRC power costs.xls Chart 3_Power Costs - Comparison bx Rbtl-Staff-Jt-PC_Electric Rev Req Model (2009 GRC) Rebuttal REmoval of New  WH Solar AdjustMI 4" xfId="12275"/>
    <cellStyle name="_VC 6.15.06 update on 06GRC power costs.xls Chart 3_Power Costs - Comparison bx Rbtl-Staff-Jt-PC_Electric Rev Req Model (2009 GRC) Rebuttal REmoval of New  WH Solar AdjustMI_DEM-WP(C) ENERG10C--ctn Mid-C_042010 2010GRC" xfId="12276"/>
    <cellStyle name="_VC 6.15.06 update on 06GRC power costs.xls Chart 3_Power Costs - Comparison bx Rbtl-Staff-Jt-PC_Electric Rev Req Model (2009 GRC) Rebuttal REmoval of New  WH Solar AdjustMI_DEM-WP(C) ENERG10C--ctn Mid-C_042010 2010GRC 2" xfId="12277"/>
    <cellStyle name="_VC 6.15.06 update on 06GRC power costs.xls Chart 3_Power Costs - Comparison bx Rbtl-Staff-Jt-PC_Electric Rev Req Model (2009 GRC) Revised 01-18-2010" xfId="12278"/>
    <cellStyle name="_VC 6.15.06 update on 06GRC power costs.xls Chart 3_Power Costs - Comparison bx Rbtl-Staff-Jt-PC_Electric Rev Req Model (2009 GRC) Revised 01-18-2010 2" xfId="12279"/>
    <cellStyle name="_VC 6.15.06 update on 06GRC power costs.xls Chart 3_Power Costs - Comparison bx Rbtl-Staff-Jt-PC_Electric Rev Req Model (2009 GRC) Revised 01-18-2010 2 2" xfId="12280"/>
    <cellStyle name="_VC 6.15.06 update on 06GRC power costs.xls Chart 3_Power Costs - Comparison bx Rbtl-Staff-Jt-PC_Electric Rev Req Model (2009 GRC) Revised 01-18-2010 3" xfId="12281"/>
    <cellStyle name="_VC 6.15.06 update on 06GRC power costs.xls Chart 3_Power Costs - Comparison bx Rbtl-Staff-Jt-PC_Electric Rev Req Model (2009 GRC) Revised 01-18-2010 3 2" xfId="12282"/>
    <cellStyle name="_VC 6.15.06 update on 06GRC power costs.xls Chart 3_Power Costs - Comparison bx Rbtl-Staff-Jt-PC_Electric Rev Req Model (2009 GRC) Revised 01-18-2010 4" xfId="12283"/>
    <cellStyle name="_VC 6.15.06 update on 06GRC power costs.xls Chart 3_Power Costs - Comparison bx Rbtl-Staff-Jt-PC_Electric Rev Req Model (2009 GRC) Revised 01-18-2010_DEM-WP(C) ENERG10C--ctn Mid-C_042010 2010GRC" xfId="12284"/>
    <cellStyle name="_VC 6.15.06 update on 06GRC power costs.xls Chart 3_Power Costs - Comparison bx Rbtl-Staff-Jt-PC_Electric Rev Req Model (2009 GRC) Revised 01-18-2010_DEM-WP(C) ENERG10C--ctn Mid-C_042010 2010GRC 2" xfId="12285"/>
    <cellStyle name="_VC 6.15.06 update on 06GRC power costs.xls Chart 3_Power Costs - Comparison bx Rbtl-Staff-Jt-PC_Final Order Electric EXHIBIT A-1" xfId="12286"/>
    <cellStyle name="_VC 6.15.06 update on 06GRC power costs.xls Chart 3_Power Costs - Comparison bx Rbtl-Staff-Jt-PC_Final Order Electric EXHIBIT A-1 2" xfId="12287"/>
    <cellStyle name="_VC 6.15.06 update on 06GRC power costs.xls Chart 3_Power Costs - Comparison bx Rbtl-Staff-Jt-PC_Final Order Electric EXHIBIT A-1 2 2" xfId="12288"/>
    <cellStyle name="_VC 6.15.06 update on 06GRC power costs.xls Chart 3_Power Costs - Comparison bx Rbtl-Staff-Jt-PC_Final Order Electric EXHIBIT A-1 3" xfId="12289"/>
    <cellStyle name="_VC 6.15.06 update on 06GRC power costs.xls Chart 3_Production Adj 4.37" xfId="21289"/>
    <cellStyle name="_VC 6.15.06 update on 06GRC power costs.xls Chart 3_Purchased Power Adj 4.03" xfId="21290"/>
    <cellStyle name="_VC 6.15.06 update on 06GRC power costs.xls Chart 3_Rebuttal Power Costs" xfId="12290"/>
    <cellStyle name="_VC 6.15.06 update on 06GRC power costs.xls Chart 3_Rebuttal Power Costs 2" xfId="12291"/>
    <cellStyle name="_VC 6.15.06 update on 06GRC power costs.xls Chart 3_Rebuttal Power Costs 2 2" xfId="12292"/>
    <cellStyle name="_VC 6.15.06 update on 06GRC power costs.xls Chart 3_Rebuttal Power Costs 3" xfId="12293"/>
    <cellStyle name="_VC 6.15.06 update on 06GRC power costs.xls Chart 3_Rebuttal Power Costs 3 2" xfId="12294"/>
    <cellStyle name="_VC 6.15.06 update on 06GRC power costs.xls Chart 3_Rebuttal Power Costs 4" xfId="12295"/>
    <cellStyle name="_VC 6.15.06 update on 06GRC power costs.xls Chart 3_Rebuttal Power Costs_Adj Bench DR 3 for Initial Briefs (Electric)" xfId="12296"/>
    <cellStyle name="_VC 6.15.06 update on 06GRC power costs.xls Chart 3_Rebuttal Power Costs_Adj Bench DR 3 for Initial Briefs (Electric) 2" xfId="12297"/>
    <cellStyle name="_VC 6.15.06 update on 06GRC power costs.xls Chart 3_Rebuttal Power Costs_Adj Bench DR 3 for Initial Briefs (Electric) 2 2" xfId="12298"/>
    <cellStyle name="_VC 6.15.06 update on 06GRC power costs.xls Chart 3_Rebuttal Power Costs_Adj Bench DR 3 for Initial Briefs (Electric) 3" xfId="12299"/>
    <cellStyle name="_VC 6.15.06 update on 06GRC power costs.xls Chart 3_Rebuttal Power Costs_Adj Bench DR 3 for Initial Briefs (Electric) 3 2" xfId="12300"/>
    <cellStyle name="_VC 6.15.06 update on 06GRC power costs.xls Chart 3_Rebuttal Power Costs_Adj Bench DR 3 for Initial Briefs (Electric) 4" xfId="12301"/>
    <cellStyle name="_VC 6.15.06 update on 06GRC power costs.xls Chart 3_Rebuttal Power Costs_Adj Bench DR 3 for Initial Briefs (Electric)_DEM-WP(C) ENERG10C--ctn Mid-C_042010 2010GRC" xfId="12302"/>
    <cellStyle name="_VC 6.15.06 update on 06GRC power costs.xls Chart 3_Rebuttal Power Costs_Adj Bench DR 3 for Initial Briefs (Electric)_DEM-WP(C) ENERG10C--ctn Mid-C_042010 2010GRC 2" xfId="12303"/>
    <cellStyle name="_VC 6.15.06 update on 06GRC power costs.xls Chart 3_Rebuttal Power Costs_DEM-WP(C) ENERG10C--ctn Mid-C_042010 2010GRC" xfId="12304"/>
    <cellStyle name="_VC 6.15.06 update on 06GRC power costs.xls Chart 3_Rebuttal Power Costs_DEM-WP(C) ENERG10C--ctn Mid-C_042010 2010GRC 2" xfId="12305"/>
    <cellStyle name="_VC 6.15.06 update on 06GRC power costs.xls Chart 3_Rebuttal Power Costs_Electric Rev Req Model (2009 GRC) Rebuttal" xfId="12306"/>
    <cellStyle name="_VC 6.15.06 update on 06GRC power costs.xls Chart 3_Rebuttal Power Costs_Electric Rev Req Model (2009 GRC) Rebuttal 2" xfId="12307"/>
    <cellStyle name="_VC 6.15.06 update on 06GRC power costs.xls Chart 3_Rebuttal Power Costs_Electric Rev Req Model (2009 GRC) Rebuttal 2 2" xfId="12308"/>
    <cellStyle name="_VC 6.15.06 update on 06GRC power costs.xls Chart 3_Rebuttal Power Costs_Electric Rev Req Model (2009 GRC) Rebuttal 3" xfId="12309"/>
    <cellStyle name="_VC 6.15.06 update on 06GRC power costs.xls Chart 3_Rebuttal Power Costs_Electric Rev Req Model (2009 GRC) Rebuttal REmoval of New  WH Solar AdjustMI" xfId="12310"/>
    <cellStyle name="_VC 6.15.06 update on 06GRC power costs.xls Chart 3_Rebuttal Power Costs_Electric Rev Req Model (2009 GRC) Rebuttal REmoval of New  WH Solar AdjustMI 2" xfId="12311"/>
    <cellStyle name="_VC 6.15.06 update on 06GRC power costs.xls Chart 3_Rebuttal Power Costs_Electric Rev Req Model (2009 GRC) Rebuttal REmoval of New  WH Solar AdjustMI 2 2" xfId="12312"/>
    <cellStyle name="_VC 6.15.06 update on 06GRC power costs.xls Chart 3_Rebuttal Power Costs_Electric Rev Req Model (2009 GRC) Rebuttal REmoval of New  WH Solar AdjustMI 3" xfId="12313"/>
    <cellStyle name="_VC 6.15.06 update on 06GRC power costs.xls Chart 3_Rebuttal Power Costs_Electric Rev Req Model (2009 GRC) Rebuttal REmoval of New  WH Solar AdjustMI 3 2" xfId="12314"/>
    <cellStyle name="_VC 6.15.06 update on 06GRC power costs.xls Chart 3_Rebuttal Power Costs_Electric Rev Req Model (2009 GRC) Rebuttal REmoval of New  WH Solar AdjustMI 4" xfId="12315"/>
    <cellStyle name="_VC 6.15.06 update on 06GRC power costs.xls Chart 3_Rebuttal Power Costs_Electric Rev Req Model (2009 GRC) Rebuttal REmoval of New  WH Solar AdjustMI_DEM-WP(C) ENERG10C--ctn Mid-C_042010 2010GRC" xfId="12316"/>
    <cellStyle name="_VC 6.15.06 update on 06GRC power costs.xls Chart 3_Rebuttal Power Costs_Electric Rev Req Model (2009 GRC) Rebuttal REmoval of New  WH Solar AdjustMI_DEM-WP(C) ENERG10C--ctn Mid-C_042010 2010GRC 2" xfId="12317"/>
    <cellStyle name="_VC 6.15.06 update on 06GRC power costs.xls Chart 3_Rebuttal Power Costs_Electric Rev Req Model (2009 GRC) Revised 01-18-2010" xfId="12318"/>
    <cellStyle name="_VC 6.15.06 update on 06GRC power costs.xls Chart 3_Rebuttal Power Costs_Electric Rev Req Model (2009 GRC) Revised 01-18-2010 2" xfId="12319"/>
    <cellStyle name="_VC 6.15.06 update on 06GRC power costs.xls Chart 3_Rebuttal Power Costs_Electric Rev Req Model (2009 GRC) Revised 01-18-2010 2 2" xfId="12320"/>
    <cellStyle name="_VC 6.15.06 update on 06GRC power costs.xls Chart 3_Rebuttal Power Costs_Electric Rev Req Model (2009 GRC) Revised 01-18-2010 3" xfId="12321"/>
    <cellStyle name="_VC 6.15.06 update on 06GRC power costs.xls Chart 3_Rebuttal Power Costs_Electric Rev Req Model (2009 GRC) Revised 01-18-2010 3 2" xfId="12322"/>
    <cellStyle name="_VC 6.15.06 update on 06GRC power costs.xls Chart 3_Rebuttal Power Costs_Electric Rev Req Model (2009 GRC) Revised 01-18-2010 4" xfId="12323"/>
    <cellStyle name="_VC 6.15.06 update on 06GRC power costs.xls Chart 3_Rebuttal Power Costs_Electric Rev Req Model (2009 GRC) Revised 01-18-2010_DEM-WP(C) ENERG10C--ctn Mid-C_042010 2010GRC" xfId="12324"/>
    <cellStyle name="_VC 6.15.06 update on 06GRC power costs.xls Chart 3_Rebuttal Power Costs_Electric Rev Req Model (2009 GRC) Revised 01-18-2010_DEM-WP(C) ENERG10C--ctn Mid-C_042010 2010GRC 2" xfId="12325"/>
    <cellStyle name="_VC 6.15.06 update on 06GRC power costs.xls Chart 3_Rebuttal Power Costs_Final Order Electric EXHIBIT A-1" xfId="12326"/>
    <cellStyle name="_VC 6.15.06 update on 06GRC power costs.xls Chart 3_Rebuttal Power Costs_Final Order Electric EXHIBIT A-1 2" xfId="12327"/>
    <cellStyle name="_VC 6.15.06 update on 06GRC power costs.xls Chart 3_Rebuttal Power Costs_Final Order Electric EXHIBIT A-1 2 2" xfId="12328"/>
    <cellStyle name="_VC 6.15.06 update on 06GRC power costs.xls Chart 3_Rebuttal Power Costs_Final Order Electric EXHIBIT A-1 3" xfId="12329"/>
    <cellStyle name="_VC 6.15.06 update on 06GRC power costs.xls Chart 3_ROR 5.02" xfId="21291"/>
    <cellStyle name="_VC 6.15.06 update on 06GRC power costs.xls Chart 3_Wind Integration 10GRC" xfId="12330"/>
    <cellStyle name="_VC 6.15.06 update on 06GRC power costs.xls Chart 3_Wind Integration 10GRC 2" xfId="12331"/>
    <cellStyle name="_VC 6.15.06 update on 06GRC power costs.xls Chart 3_Wind Integration 10GRC 2 2" xfId="12332"/>
    <cellStyle name="_VC 6.15.06 update on 06GRC power costs.xls Chart 3_Wind Integration 10GRC 3" xfId="12333"/>
    <cellStyle name="_VC 6.15.06 update on 06GRC power costs.xls Chart 3_Wind Integration 10GRC 3 2" xfId="12334"/>
    <cellStyle name="_VC 6.15.06 update on 06GRC power costs.xls Chart 3_Wind Integration 10GRC 4" xfId="12335"/>
    <cellStyle name="_VC 6.15.06 update on 06GRC power costs.xls Chart 3_Wind Integration 10GRC_DEM-WP(C) ENERG10C--ctn Mid-C_042010 2010GRC" xfId="12336"/>
    <cellStyle name="_VC 6.15.06 update on 06GRC power costs.xls Chart 3_Wind Integration 10GRC_DEM-WP(C) ENERG10C--ctn Mid-C_042010 2010GRC 2" xfId="12337"/>
    <cellStyle name="_VC Mid C Generation-ctn Mid-C_011209" xfId="12338"/>
    <cellStyle name="_VC Mid C Generation-ctn Mid-C_011209 2" xfId="12339"/>
    <cellStyle name="_VC Mid C Generation-ctn Mid-C_011209 2 2" xfId="12340"/>
    <cellStyle name="_VC Mid C Generation-ctn Mid-C_011209 2 2 2" xfId="12341"/>
    <cellStyle name="_VC Mid C Generation-ctn Mid-C_011209 2 3" xfId="12342"/>
    <cellStyle name="_VC Mid C Generation-ctn Mid-C_011209 3" xfId="12343"/>
    <cellStyle name="_Worksheet" xfId="12344"/>
    <cellStyle name="_Worksheet 2" xfId="12345"/>
    <cellStyle name="_Worksheet 2 2" xfId="12346"/>
    <cellStyle name="_Worksheet 2 2 2" xfId="12347"/>
    <cellStyle name="_Worksheet 2 3" xfId="12348"/>
    <cellStyle name="_Worksheet 3" xfId="12349"/>
    <cellStyle name="_Worksheet 3 2" xfId="12350"/>
    <cellStyle name="_Worksheet 4" xfId="12351"/>
    <cellStyle name="_Worksheet 4 2" xfId="12352"/>
    <cellStyle name="_Worksheet 4 2 2" xfId="12353"/>
    <cellStyle name="_Worksheet 4 3" xfId="12354"/>
    <cellStyle name="_Worksheet 5" xfId="12355"/>
    <cellStyle name="_Worksheet 5 2" xfId="12356"/>
    <cellStyle name="_Worksheet 6" xfId="12357"/>
    <cellStyle name="_Worksheet 6 2" xfId="12358"/>
    <cellStyle name="_Worksheet_Chelan PUD Power Costs (8-10)" xfId="12359"/>
    <cellStyle name="_Worksheet_Chelan PUD Power Costs (8-10) 2" xfId="12360"/>
    <cellStyle name="_Worksheet_DEM-WP(C) Chelan Power Costs" xfId="12361"/>
    <cellStyle name="_Worksheet_DEM-WP(C) Chelan Power Costs 2" xfId="12362"/>
    <cellStyle name="_Worksheet_DEM-WP(C) ENERG10C--ctn Mid-C_042010 2010GRC" xfId="12363"/>
    <cellStyle name="_Worksheet_DEM-WP(C) ENERG10C--ctn Mid-C_042010 2010GRC 2" xfId="12364"/>
    <cellStyle name="_Worksheet_DEM-WP(C) Gas Transport 2010GRC" xfId="12365"/>
    <cellStyle name="_Worksheet_DEM-WP(C) Gas Transport 2010GRC 2" xfId="12366"/>
    <cellStyle name="_Worksheet_NIM Summary" xfId="12367"/>
    <cellStyle name="_Worksheet_NIM Summary 2" xfId="12368"/>
    <cellStyle name="_Worksheet_NIM Summary 2 2" xfId="12369"/>
    <cellStyle name="_Worksheet_NIM Summary 3" xfId="12370"/>
    <cellStyle name="_Worksheet_NIM Summary 3 2" xfId="12371"/>
    <cellStyle name="_Worksheet_NIM Summary 4" xfId="12372"/>
    <cellStyle name="_Worksheet_NIM Summary_DEM-WP(C) ENERG10C--ctn Mid-C_042010 2010GRC" xfId="12373"/>
    <cellStyle name="_Worksheet_NIM Summary_DEM-WP(C) ENERG10C--ctn Mid-C_042010 2010GRC 2" xfId="12374"/>
    <cellStyle name="_Worksheet_Transmission Workbook for May BOD" xfId="12375"/>
    <cellStyle name="_Worksheet_Transmission Workbook for May BOD 2" xfId="12376"/>
    <cellStyle name="_Worksheet_Transmission Workbook for May BOD 2 2" xfId="12377"/>
    <cellStyle name="_Worksheet_Transmission Workbook for May BOD 3" xfId="12378"/>
    <cellStyle name="_Worksheet_Transmission Workbook for May BOD 3 2" xfId="12379"/>
    <cellStyle name="_Worksheet_Transmission Workbook for May BOD 4" xfId="12380"/>
    <cellStyle name="_Worksheet_Transmission Workbook for May BOD_DEM-WP(C) ENERG10C--ctn Mid-C_042010 2010GRC" xfId="12381"/>
    <cellStyle name="_Worksheet_Transmission Workbook for May BOD_DEM-WP(C) ENERG10C--ctn Mid-C_042010 2010GRC 2" xfId="12382"/>
    <cellStyle name="_Worksheet_Wind Integration 10GRC" xfId="12383"/>
    <cellStyle name="_Worksheet_Wind Integration 10GRC 2" xfId="12384"/>
    <cellStyle name="_Worksheet_Wind Integration 10GRC 2 2" xfId="12385"/>
    <cellStyle name="_Worksheet_Wind Integration 10GRC 3" xfId="12386"/>
    <cellStyle name="_Worksheet_Wind Integration 10GRC 3 2" xfId="12387"/>
    <cellStyle name="_Worksheet_Wind Integration 10GRC 4" xfId="12388"/>
    <cellStyle name="_Worksheet_Wind Integration 10GRC_DEM-WP(C) ENERG10C--ctn Mid-C_042010 2010GRC" xfId="12389"/>
    <cellStyle name="_Worksheet_Wind Integration 10GRC_DEM-WP(C) ENERG10C--ctn Mid-C_042010 2010GRC 2" xfId="12390"/>
    <cellStyle name="0,0_x000d__x000a_NA_x000d__x000a_" xfId="12391"/>
    <cellStyle name="0,0_x000d__x000a_NA_x000d__x000a_ 2" xfId="12392"/>
    <cellStyle name="0000" xfId="12393"/>
    <cellStyle name="000000" xfId="12394"/>
    <cellStyle name="14BLIN - Style8" xfId="12395"/>
    <cellStyle name="14BLIN - Style8 2" xfId="12396"/>
    <cellStyle name="14BLIN - Style8 2 2" xfId="12397"/>
    <cellStyle name="14BLIN - Style8 2 2 2" xfId="12398"/>
    <cellStyle name="14BLIN - Style8 2 3" xfId="12399"/>
    <cellStyle name="14BLIN - Style8 2 3 2" xfId="12400"/>
    <cellStyle name="14BLIN - Style8 2 4" xfId="12401"/>
    <cellStyle name="14BLIN - Style8 2 4 2" xfId="12402"/>
    <cellStyle name="14BLIN - Style8 3" xfId="12403"/>
    <cellStyle name="14BLIN - Style8 3 2" xfId="12404"/>
    <cellStyle name="14BLIN - Style8 4" xfId="12405"/>
    <cellStyle name="14BLIN - Style8 4 2" xfId="12406"/>
    <cellStyle name="14BLIN - Style8 5" xfId="12407"/>
    <cellStyle name="14BLIN - Style8 5 2" xfId="12408"/>
    <cellStyle name="14-BT - Style1" xfId="12409"/>
    <cellStyle name="20% - Accent1 10" xfId="12410"/>
    <cellStyle name="20% - Accent1 10 2" xfId="12411"/>
    <cellStyle name="20% - Accent1 10 2 2" xfId="18594"/>
    <cellStyle name="20% - Accent1 10 2 3" xfId="18595"/>
    <cellStyle name="20% - Accent1 11" xfId="12412"/>
    <cellStyle name="20% - Accent1 11 2" xfId="12413"/>
    <cellStyle name="20% - Accent1 11 2 2" xfId="18345"/>
    <cellStyle name="20% - Accent1 11 3" xfId="18344"/>
    <cellStyle name="20% - Accent1 12" xfId="12414"/>
    <cellStyle name="20% - Accent1 12 2" xfId="18346"/>
    <cellStyle name="20% - Accent1 2" xfId="13"/>
    <cellStyle name="20% - Accent1 2 10" xfId="18596"/>
    <cellStyle name="20% - Accent1 2 11" xfId="18597"/>
    <cellStyle name="20% - Accent1 2 12" xfId="18598"/>
    <cellStyle name="20% - Accent1 2 12 2" xfId="18599"/>
    <cellStyle name="20% - Accent1 2 2" xfId="14"/>
    <cellStyle name="20% - Accent1 2 2 2" xfId="15"/>
    <cellStyle name="20% - Accent1 2 2 2 2" xfId="16"/>
    <cellStyle name="20% - Accent1 2 2 2 2 2" xfId="12415"/>
    <cellStyle name="20% - Accent1 2 2 2 2 3" xfId="18600"/>
    <cellStyle name="20% - Accent1 2 2 2 3" xfId="12416"/>
    <cellStyle name="20% - Accent1 2 2 2 4" xfId="18601"/>
    <cellStyle name="20% - Accent1 2 2 2 5" xfId="18602"/>
    <cellStyle name="20% - Accent1 2 2 3" xfId="17"/>
    <cellStyle name="20% - Accent1 2 2 3 2" xfId="18"/>
    <cellStyle name="20% - Accent1 2 2 3 2 2" xfId="18603"/>
    <cellStyle name="20% - Accent1 2 2 3 2 3" xfId="18604"/>
    <cellStyle name="20% - Accent1 2 2 3 3" xfId="18605"/>
    <cellStyle name="20% - Accent1 2 2 3 4" xfId="18606"/>
    <cellStyle name="20% - Accent1 2 2 3 5" xfId="18607"/>
    <cellStyle name="20% - Accent1 2 2 4" xfId="19"/>
    <cellStyle name="20% - Accent1 2 2 4 2" xfId="18608"/>
    <cellStyle name="20% - Accent1 2 2 4 3" xfId="18609"/>
    <cellStyle name="20% - Accent1 2 2 4 4" xfId="18610"/>
    <cellStyle name="20% - Accent1 2 2 5" xfId="18611"/>
    <cellStyle name="20% - Accent1 2 2 5 2" xfId="18612"/>
    <cellStyle name="20% - Accent1 2 2 6" xfId="18613"/>
    <cellStyle name="20% - Accent1 2 2 7" xfId="18614"/>
    <cellStyle name="20% - Accent1 2 2 8" xfId="18615"/>
    <cellStyle name="20% - Accent1 2 3" xfId="20"/>
    <cellStyle name="20% - Accent1 2 3 2" xfId="21"/>
    <cellStyle name="20% - Accent1 2 3 2 2" xfId="22"/>
    <cellStyle name="20% - Accent1 2 3 2 2 2" xfId="12417"/>
    <cellStyle name="20% - Accent1 2 3 2 2 3" xfId="18616"/>
    <cellStyle name="20% - Accent1 2 3 2 3" xfId="12418"/>
    <cellStyle name="20% - Accent1 2 3 2 4" xfId="18617"/>
    <cellStyle name="20% - Accent1 2 3 2 5" xfId="18618"/>
    <cellStyle name="20% - Accent1 2 3 3" xfId="23"/>
    <cellStyle name="20% - Accent1 2 3 3 2" xfId="12419"/>
    <cellStyle name="20% - Accent1 2 3 3 3" xfId="18619"/>
    <cellStyle name="20% - Accent1 2 3 3 4" xfId="18620"/>
    <cellStyle name="20% - Accent1 2 3 4" xfId="12420"/>
    <cellStyle name="20% - Accent1 2 3 5" xfId="18621"/>
    <cellStyle name="20% - Accent1 2 3 6" xfId="18622"/>
    <cellStyle name="20% - Accent1 2 3 7" xfId="18623"/>
    <cellStyle name="20% - Accent1 2 4" xfId="24"/>
    <cellStyle name="20% - Accent1 2 4 2" xfId="25"/>
    <cellStyle name="20% - Accent1 2 4 2 2" xfId="12421"/>
    <cellStyle name="20% - Accent1 2 4 2 3" xfId="18624"/>
    <cellStyle name="20% - Accent1 2 4 2 4" xfId="18625"/>
    <cellStyle name="20% - Accent1 2 4 3" xfId="12422"/>
    <cellStyle name="20% - Accent1 2 4 3 2" xfId="12423"/>
    <cellStyle name="20% - Accent1 2 4 4" xfId="12424"/>
    <cellStyle name="20% - Accent1 2 4 5" xfId="18626"/>
    <cellStyle name="20% - Accent1 2 4 6" xfId="18627"/>
    <cellStyle name="20% - Accent1 2 5" xfId="26"/>
    <cellStyle name="20% - Accent1 2 5 2" xfId="12425"/>
    <cellStyle name="20% - Accent1 2 5 3" xfId="18628"/>
    <cellStyle name="20% - Accent1 2 5 4" xfId="18629"/>
    <cellStyle name="20% - Accent1 2 6" xfId="27"/>
    <cellStyle name="20% - Accent1 2 6 2" xfId="18253"/>
    <cellStyle name="20% - Accent1 2 6 2 2" xfId="18630"/>
    <cellStyle name="20% - Accent1 2 6 2 3" xfId="18631"/>
    <cellStyle name="20% - Accent1 2 6 2 4" xfId="18632"/>
    <cellStyle name="20% - Accent1 2 6 3" xfId="18633"/>
    <cellStyle name="20% - Accent1 2 6 3 2" xfId="18634"/>
    <cellStyle name="20% - Accent1 2 6 3 3" xfId="18635"/>
    <cellStyle name="20% - Accent1 2 6 4" xfId="18636"/>
    <cellStyle name="20% - Accent1 2 6 4 2" xfId="18637"/>
    <cellStyle name="20% - Accent1 2 6 5" xfId="18638"/>
    <cellStyle name="20% - Accent1 2 6 6" xfId="18639"/>
    <cellStyle name="20% - Accent1 2 6 7" xfId="18640"/>
    <cellStyle name="20% - Accent1 2 6 8" xfId="18641"/>
    <cellStyle name="20% - Accent1 2 7" xfId="28"/>
    <cellStyle name="20% - Accent1 2 7 2" xfId="18642"/>
    <cellStyle name="20% - Accent1 2 7 3" xfId="18643"/>
    <cellStyle name="20% - Accent1 2 7 4" xfId="18644"/>
    <cellStyle name="20% - Accent1 2 8" xfId="29"/>
    <cellStyle name="20% - Accent1 2 8 2" xfId="18645"/>
    <cellStyle name="20% - Accent1 2 9" xfId="18646"/>
    <cellStyle name="20% - Accent1 2 9 2" xfId="18647"/>
    <cellStyle name="20% - Accent1 2_12PCORC Wind Vestas and Royalties" xfId="12426"/>
    <cellStyle name="20% - Accent1 3" xfId="30"/>
    <cellStyle name="20% - Accent1 3 2" xfId="31"/>
    <cellStyle name="20% - Accent1 3 2 2" xfId="32"/>
    <cellStyle name="20% - Accent1 3 2 2 2" xfId="12427"/>
    <cellStyle name="20% - Accent1 3 2 2 3" xfId="18648"/>
    <cellStyle name="20% - Accent1 3 2 2 4" xfId="18649"/>
    <cellStyle name="20% - Accent1 3 2 3" xfId="33"/>
    <cellStyle name="20% - Accent1 3 2 3 2" xfId="12428"/>
    <cellStyle name="20% - Accent1 3 2 3 3" xfId="18650"/>
    <cellStyle name="20% - Accent1 3 2 3 4" xfId="18651"/>
    <cellStyle name="20% - Accent1 3 2 4" xfId="12429"/>
    <cellStyle name="20% - Accent1 3 2 4 2" xfId="12430"/>
    <cellStyle name="20% - Accent1 3 2 5" xfId="12431"/>
    <cellStyle name="20% - Accent1 3 2 6" xfId="18652"/>
    <cellStyle name="20% - Accent1 3 2 7" xfId="18653"/>
    <cellStyle name="20% - Accent1 3 3" xfId="34"/>
    <cellStyle name="20% - Accent1 3 3 2" xfId="35"/>
    <cellStyle name="20% - Accent1 3 3 2 2" xfId="12432"/>
    <cellStyle name="20% - Accent1 3 3 2 3" xfId="12433"/>
    <cellStyle name="20% - Accent1 3 3 2 3 2" xfId="18347"/>
    <cellStyle name="20% - Accent1 3 3 2 4" xfId="18654"/>
    <cellStyle name="20% - Accent1 3 3 3" xfId="12434"/>
    <cellStyle name="20% - Accent1 3 3 3 2" xfId="18655"/>
    <cellStyle name="20% - Accent1 3 3 4" xfId="12435"/>
    <cellStyle name="20% - Accent1 3 3 4 2" xfId="18348"/>
    <cellStyle name="20% - Accent1 3 3 5" xfId="18656"/>
    <cellStyle name="20% - Accent1 3 3 6" xfId="18657"/>
    <cellStyle name="20% - Accent1 3 4" xfId="36"/>
    <cellStyle name="20% - Accent1 3 4 2" xfId="12436"/>
    <cellStyle name="20% - Accent1 3 4 3" xfId="18658"/>
    <cellStyle name="20% - Accent1 3 4 4" xfId="18659"/>
    <cellStyle name="20% - Accent1 3 5" xfId="37"/>
    <cellStyle name="20% - Accent1 3 5 2" xfId="18660"/>
    <cellStyle name="20% - Accent1 3 6" xfId="18661"/>
    <cellStyle name="20% - Accent1 3 7" xfId="18662"/>
    <cellStyle name="20% - Accent1 3 8" xfId="18663"/>
    <cellStyle name="20% - Accent1 4" xfId="38"/>
    <cellStyle name="20% - Accent1 4 2" xfId="39"/>
    <cellStyle name="20% - Accent1 4 2 2" xfId="40"/>
    <cellStyle name="20% - Accent1 4 2 2 2" xfId="12437"/>
    <cellStyle name="20% - Accent1 4 2 2 3" xfId="18664"/>
    <cellStyle name="20% - Accent1 4 2 2 4" xfId="18665"/>
    <cellStyle name="20% - Accent1 4 2 3" xfId="12438"/>
    <cellStyle name="20% - Accent1 4 2 3 2" xfId="18666"/>
    <cellStyle name="20% - Accent1 4 2 4" xfId="18667"/>
    <cellStyle name="20% - Accent1 4 2 5" xfId="18668"/>
    <cellStyle name="20% - Accent1 4 2 6" xfId="18669"/>
    <cellStyle name="20% - Accent1 4 3" xfId="41"/>
    <cellStyle name="20% - Accent1 4 3 2" xfId="42"/>
    <cellStyle name="20% - Accent1 4 3 3" xfId="18670"/>
    <cellStyle name="20% - Accent1 4 3 4" xfId="18671"/>
    <cellStyle name="20% - Accent1 4 4" xfId="43"/>
    <cellStyle name="20% - Accent1 4 4 2" xfId="18672"/>
    <cellStyle name="20% - Accent1 4 4 3" xfId="18673"/>
    <cellStyle name="20% - Accent1 4 4 4" xfId="18674"/>
    <cellStyle name="20% - Accent1 4 5" xfId="44"/>
    <cellStyle name="20% - Accent1 4 5 2" xfId="18675"/>
    <cellStyle name="20% - Accent1 4 6" xfId="18676"/>
    <cellStyle name="20% - Accent1 4 6 2" xfId="18677"/>
    <cellStyle name="20% - Accent1 4 7" xfId="18678"/>
    <cellStyle name="20% - Accent1 4 8" xfId="18679"/>
    <cellStyle name="20% - Accent1 5" xfId="45"/>
    <cellStyle name="20% - Accent1 5 2" xfId="46"/>
    <cellStyle name="20% - Accent1 5 2 2" xfId="12439"/>
    <cellStyle name="20% - Accent1 5 2 2 2" xfId="18680"/>
    <cellStyle name="20% - Accent1 5 2 2 2 2" xfId="18681"/>
    <cellStyle name="20% - Accent1 5 2 2 2 3" xfId="18682"/>
    <cellStyle name="20% - Accent1 5 2 2 3" xfId="18683"/>
    <cellStyle name="20% - Accent1 5 2 2 3 2" xfId="18684"/>
    <cellStyle name="20% - Accent1 5 2 2 4" xfId="18685"/>
    <cellStyle name="20% - Accent1 5 2 2 5" xfId="18686"/>
    <cellStyle name="20% - Accent1 5 2 3" xfId="18687"/>
    <cellStyle name="20% - Accent1 5 2 4" xfId="18688"/>
    <cellStyle name="20% - Accent1 5 3" xfId="47"/>
    <cellStyle name="20% - Accent1 5 3 2" xfId="12440"/>
    <cellStyle name="20% - Accent1 5 3 3" xfId="18689"/>
    <cellStyle name="20% - Accent1 5 3 4" xfId="18690"/>
    <cellStyle name="20% - Accent1 5 4" xfId="12441"/>
    <cellStyle name="20% - Accent1 5 4 2" xfId="12442"/>
    <cellStyle name="20% - Accent1 5 5" xfId="12443"/>
    <cellStyle name="20% - Accent1 5 5 2" xfId="18691"/>
    <cellStyle name="20% - Accent1 5 5 2 2" xfId="18692"/>
    <cellStyle name="20% - Accent1 5 5 2 3" xfId="18693"/>
    <cellStyle name="20% - Accent1 5 5 3" xfId="18694"/>
    <cellStyle name="20% - Accent1 5 5 3 2" xfId="18695"/>
    <cellStyle name="20% - Accent1 5 5 4" xfId="18696"/>
    <cellStyle name="20% - Accent1 5 5 5" xfId="18697"/>
    <cellStyle name="20% - Accent1 5 6" xfId="18698"/>
    <cellStyle name="20% - Accent1 5 6 2" xfId="18699"/>
    <cellStyle name="20% - Accent1 5 6 2 2" xfId="18700"/>
    <cellStyle name="20% - Accent1 5 6 2 3" xfId="18701"/>
    <cellStyle name="20% - Accent1 5 6 3" xfId="18702"/>
    <cellStyle name="20% - Accent1 5 6 3 2" xfId="18703"/>
    <cellStyle name="20% - Accent1 5 6 4" xfId="18704"/>
    <cellStyle name="20% - Accent1 5 6 5" xfId="18705"/>
    <cellStyle name="20% - Accent1 5 6 6" xfId="18706"/>
    <cellStyle name="20% - Accent1 5 6 7" xfId="18707"/>
    <cellStyle name="20% - Accent1 5 7" xfId="18708"/>
    <cellStyle name="20% - Accent1 5 7 2" xfId="18709"/>
    <cellStyle name="20% - Accent1 5 7 2 2" xfId="18710"/>
    <cellStyle name="20% - Accent1 5 7 3" xfId="18711"/>
    <cellStyle name="20% - Accent1 5 7 4" xfId="18712"/>
    <cellStyle name="20% - Accent1 5 8" xfId="18713"/>
    <cellStyle name="20% - Accent1 5 8 2" xfId="18714"/>
    <cellStyle name="20% - Accent1 5 9" xfId="18715"/>
    <cellStyle name="20% - Accent1 6" xfId="48"/>
    <cellStyle name="20% - Accent1 6 2" xfId="49"/>
    <cellStyle name="20% - Accent1 6 2 2" xfId="12444"/>
    <cellStyle name="20% - Accent1 6 2 3" xfId="12445"/>
    <cellStyle name="20% - Accent1 6 2 3 2" xfId="18349"/>
    <cellStyle name="20% - Accent1 6 2 4" xfId="18716"/>
    <cellStyle name="20% - Accent1 6 3" xfId="12446"/>
    <cellStyle name="20% - Accent1 6 3 2" xfId="12447"/>
    <cellStyle name="20% - Accent1 6 4" xfId="12448"/>
    <cellStyle name="20% - Accent1 6 4 2" xfId="18717"/>
    <cellStyle name="20% - Accent1 6 4 2 2" xfId="18718"/>
    <cellStyle name="20% - Accent1 6 4 3" xfId="18719"/>
    <cellStyle name="20% - Accent1 6 4 4" xfId="18720"/>
    <cellStyle name="20% - Accent1 6 4 5" xfId="18721"/>
    <cellStyle name="20% - Accent1 6 4 6" xfId="18722"/>
    <cellStyle name="20% - Accent1 6 5" xfId="12449"/>
    <cellStyle name="20% - Accent1 6 5 2" xfId="18350"/>
    <cellStyle name="20% - Accent1 6 5 3" xfId="18723"/>
    <cellStyle name="20% - Accent1 6 5 4" xfId="18724"/>
    <cellStyle name="20% - Accent1 6 5 5" xfId="18725"/>
    <cellStyle name="20% - Accent1 6 6" xfId="18726"/>
    <cellStyle name="20% - Accent1 6 7" xfId="18727"/>
    <cellStyle name="20% - Accent1 6 8" xfId="18728"/>
    <cellStyle name="20% - Accent1 6 9" xfId="18729"/>
    <cellStyle name="20% - Accent1 7" xfId="50"/>
    <cellStyle name="20% - Accent1 7 2" xfId="12450"/>
    <cellStyle name="20% - Accent1 7 2 2" xfId="18730"/>
    <cellStyle name="20% - Accent1 7 2 2 2" xfId="18731"/>
    <cellStyle name="20% - Accent1 7 2 3" xfId="18732"/>
    <cellStyle name="20% - Accent1 7 2 4" xfId="18733"/>
    <cellStyle name="20% - Accent1 7 3" xfId="18734"/>
    <cellStyle name="20% - Accent1 7 3 2" xfId="18735"/>
    <cellStyle name="20% - Accent1 7 3 3" xfId="18736"/>
    <cellStyle name="20% - Accent1 7 4" xfId="18737"/>
    <cellStyle name="20% - Accent1 7 4 2" xfId="18738"/>
    <cellStyle name="20% - Accent1 7 4 3" xfId="18739"/>
    <cellStyle name="20% - Accent1 7 5" xfId="18740"/>
    <cellStyle name="20% - Accent1 7 6" xfId="18741"/>
    <cellStyle name="20% - Accent1 8" xfId="12451"/>
    <cellStyle name="20% - Accent1 8 2" xfId="12452"/>
    <cellStyle name="20% - Accent1 8 2 2" xfId="18742"/>
    <cellStyle name="20% - Accent1 8 2 2 2" xfId="18743"/>
    <cellStyle name="20% - Accent1 8 2 3" xfId="18744"/>
    <cellStyle name="20% - Accent1 8 2 4" xfId="18745"/>
    <cellStyle name="20% - Accent1 8 3" xfId="18746"/>
    <cellStyle name="20% - Accent1 8 3 2" xfId="18747"/>
    <cellStyle name="20% - Accent1 8 3 2 2" xfId="18748"/>
    <cellStyle name="20% - Accent1 8 3 3" xfId="18749"/>
    <cellStyle name="20% - Accent1 8 3 4" xfId="18750"/>
    <cellStyle name="20% - Accent1 8 4" xfId="18751"/>
    <cellStyle name="20% - Accent1 9" xfId="12453"/>
    <cellStyle name="20% - Accent1 9 2" xfId="12454"/>
    <cellStyle name="20% - Accent1 9 2 2" xfId="18752"/>
    <cellStyle name="20% - Accent1 9 2 3" xfId="18753"/>
    <cellStyle name="20% - Accent1 9 3" xfId="18754"/>
    <cellStyle name="20% - Accent1 9 4" xfId="18755"/>
    <cellStyle name="20% - Accent1 9 5" xfId="18756"/>
    <cellStyle name="20% - Accent2 10" xfId="12455"/>
    <cellStyle name="20% - Accent2 10 2" xfId="12456"/>
    <cellStyle name="20% - Accent2 10 2 2" xfId="18757"/>
    <cellStyle name="20% - Accent2 10 2 3" xfId="18758"/>
    <cellStyle name="20% - Accent2 11" xfId="12457"/>
    <cellStyle name="20% - Accent2 11 2" xfId="12458"/>
    <cellStyle name="20% - Accent2 11 2 2" xfId="18352"/>
    <cellStyle name="20% - Accent2 11 3" xfId="18351"/>
    <cellStyle name="20% - Accent2 12" xfId="12459"/>
    <cellStyle name="20% - Accent2 12 2" xfId="18353"/>
    <cellStyle name="20% - Accent2 2" xfId="51"/>
    <cellStyle name="20% - Accent2 2 10" xfId="18759"/>
    <cellStyle name="20% - Accent2 2 11" xfId="18760"/>
    <cellStyle name="20% - Accent2 2 12" xfId="18761"/>
    <cellStyle name="20% - Accent2 2 12 2" xfId="18762"/>
    <cellStyle name="20% - Accent2 2 2" xfId="52"/>
    <cellStyle name="20% - Accent2 2 2 2" xfId="53"/>
    <cellStyle name="20% - Accent2 2 2 2 2" xfId="54"/>
    <cellStyle name="20% - Accent2 2 2 2 2 2" xfId="12460"/>
    <cellStyle name="20% - Accent2 2 2 2 2 3" xfId="18763"/>
    <cellStyle name="20% - Accent2 2 2 2 3" xfId="12461"/>
    <cellStyle name="20% - Accent2 2 2 2 4" xfId="18764"/>
    <cellStyle name="20% - Accent2 2 2 2 5" xfId="18765"/>
    <cellStyle name="20% - Accent2 2 2 3" xfId="55"/>
    <cellStyle name="20% - Accent2 2 2 3 2" xfId="56"/>
    <cellStyle name="20% - Accent2 2 2 3 2 2" xfId="18766"/>
    <cellStyle name="20% - Accent2 2 2 3 2 3" xfId="18767"/>
    <cellStyle name="20% - Accent2 2 2 3 3" xfId="18768"/>
    <cellStyle name="20% - Accent2 2 2 3 4" xfId="18769"/>
    <cellStyle name="20% - Accent2 2 2 3 5" xfId="18770"/>
    <cellStyle name="20% - Accent2 2 2 4" xfId="57"/>
    <cellStyle name="20% - Accent2 2 2 4 2" xfId="18771"/>
    <cellStyle name="20% - Accent2 2 2 4 3" xfId="18772"/>
    <cellStyle name="20% - Accent2 2 2 4 4" xfId="18773"/>
    <cellStyle name="20% - Accent2 2 2 5" xfId="18774"/>
    <cellStyle name="20% - Accent2 2 2 5 2" xfId="18775"/>
    <cellStyle name="20% - Accent2 2 2 6" xfId="18776"/>
    <cellStyle name="20% - Accent2 2 2 7" xfId="18777"/>
    <cellStyle name="20% - Accent2 2 2 8" xfId="18778"/>
    <cellStyle name="20% - Accent2 2 3" xfId="58"/>
    <cellStyle name="20% - Accent2 2 3 2" xfId="59"/>
    <cellStyle name="20% - Accent2 2 3 2 2" xfId="60"/>
    <cellStyle name="20% - Accent2 2 3 2 2 2" xfId="12462"/>
    <cellStyle name="20% - Accent2 2 3 2 2 3" xfId="18779"/>
    <cellStyle name="20% - Accent2 2 3 2 3" xfId="12463"/>
    <cellStyle name="20% - Accent2 2 3 2 4" xfId="18780"/>
    <cellStyle name="20% - Accent2 2 3 2 5" xfId="18781"/>
    <cellStyle name="20% - Accent2 2 3 3" xfId="61"/>
    <cellStyle name="20% - Accent2 2 3 3 2" xfId="12464"/>
    <cellStyle name="20% - Accent2 2 3 3 3" xfId="18782"/>
    <cellStyle name="20% - Accent2 2 3 3 4" xfId="18783"/>
    <cellStyle name="20% - Accent2 2 3 4" xfId="12465"/>
    <cellStyle name="20% - Accent2 2 3 5" xfId="18784"/>
    <cellStyle name="20% - Accent2 2 3 6" xfId="18785"/>
    <cellStyle name="20% - Accent2 2 3 7" xfId="18786"/>
    <cellStyle name="20% - Accent2 2 4" xfId="62"/>
    <cellStyle name="20% - Accent2 2 4 2" xfId="63"/>
    <cellStyle name="20% - Accent2 2 4 2 2" xfId="12466"/>
    <cellStyle name="20% - Accent2 2 4 2 3" xfId="18787"/>
    <cellStyle name="20% - Accent2 2 4 2 4" xfId="18788"/>
    <cellStyle name="20% - Accent2 2 4 3" xfId="12467"/>
    <cellStyle name="20% - Accent2 2 4 3 2" xfId="12468"/>
    <cellStyle name="20% - Accent2 2 4 4" xfId="12469"/>
    <cellStyle name="20% - Accent2 2 4 5" xfId="18789"/>
    <cellStyle name="20% - Accent2 2 4 6" xfId="18790"/>
    <cellStyle name="20% - Accent2 2 5" xfId="64"/>
    <cellStyle name="20% - Accent2 2 5 2" xfId="12470"/>
    <cellStyle name="20% - Accent2 2 5 3" xfId="18791"/>
    <cellStyle name="20% - Accent2 2 5 4" xfId="18792"/>
    <cellStyle name="20% - Accent2 2 6" xfId="65"/>
    <cellStyle name="20% - Accent2 2 6 2" xfId="18254"/>
    <cellStyle name="20% - Accent2 2 6 2 2" xfId="18793"/>
    <cellStyle name="20% - Accent2 2 6 2 3" xfId="18794"/>
    <cellStyle name="20% - Accent2 2 6 2 4" xfId="18795"/>
    <cellStyle name="20% - Accent2 2 6 3" xfId="18796"/>
    <cellStyle name="20% - Accent2 2 6 3 2" xfId="18797"/>
    <cellStyle name="20% - Accent2 2 6 3 3" xfId="18798"/>
    <cellStyle name="20% - Accent2 2 6 4" xfId="18799"/>
    <cellStyle name="20% - Accent2 2 6 4 2" xfId="18800"/>
    <cellStyle name="20% - Accent2 2 6 5" xfId="18801"/>
    <cellStyle name="20% - Accent2 2 6 6" xfId="18802"/>
    <cellStyle name="20% - Accent2 2 6 7" xfId="18803"/>
    <cellStyle name="20% - Accent2 2 6 8" xfId="18804"/>
    <cellStyle name="20% - Accent2 2 7" xfId="66"/>
    <cellStyle name="20% - Accent2 2 7 2" xfId="18805"/>
    <cellStyle name="20% - Accent2 2 7 3" xfId="18806"/>
    <cellStyle name="20% - Accent2 2 7 4" xfId="18807"/>
    <cellStyle name="20% - Accent2 2 8" xfId="67"/>
    <cellStyle name="20% - Accent2 2 8 2" xfId="18808"/>
    <cellStyle name="20% - Accent2 2 9" xfId="18809"/>
    <cellStyle name="20% - Accent2 2 9 2" xfId="18810"/>
    <cellStyle name="20% - Accent2 2_12PCORC Wind Vestas and Royalties" xfId="12471"/>
    <cellStyle name="20% - Accent2 3" xfId="68"/>
    <cellStyle name="20% - Accent2 3 2" xfId="69"/>
    <cellStyle name="20% - Accent2 3 2 2" xfId="70"/>
    <cellStyle name="20% - Accent2 3 2 2 2" xfId="12472"/>
    <cellStyle name="20% - Accent2 3 2 2 3" xfId="18811"/>
    <cellStyle name="20% - Accent2 3 2 2 4" xfId="18812"/>
    <cellStyle name="20% - Accent2 3 2 3" xfId="71"/>
    <cellStyle name="20% - Accent2 3 2 3 2" xfId="12473"/>
    <cellStyle name="20% - Accent2 3 2 3 3" xfId="18813"/>
    <cellStyle name="20% - Accent2 3 2 3 4" xfId="18814"/>
    <cellStyle name="20% - Accent2 3 2 4" xfId="12474"/>
    <cellStyle name="20% - Accent2 3 2 4 2" xfId="12475"/>
    <cellStyle name="20% - Accent2 3 2 5" xfId="12476"/>
    <cellStyle name="20% - Accent2 3 2 6" xfId="18815"/>
    <cellStyle name="20% - Accent2 3 2 7" xfId="18816"/>
    <cellStyle name="20% - Accent2 3 3" xfId="72"/>
    <cellStyle name="20% - Accent2 3 3 2" xfId="73"/>
    <cellStyle name="20% - Accent2 3 3 2 2" xfId="12477"/>
    <cellStyle name="20% - Accent2 3 3 2 3" xfId="12478"/>
    <cellStyle name="20% - Accent2 3 3 2 3 2" xfId="18354"/>
    <cellStyle name="20% - Accent2 3 3 2 4" xfId="18817"/>
    <cellStyle name="20% - Accent2 3 3 3" xfId="12479"/>
    <cellStyle name="20% - Accent2 3 3 3 2" xfId="18818"/>
    <cellStyle name="20% - Accent2 3 3 4" xfId="12480"/>
    <cellStyle name="20% - Accent2 3 3 4 2" xfId="18355"/>
    <cellStyle name="20% - Accent2 3 3 5" xfId="18819"/>
    <cellStyle name="20% - Accent2 3 3 6" xfId="18820"/>
    <cellStyle name="20% - Accent2 3 4" xfId="74"/>
    <cellStyle name="20% - Accent2 3 4 2" xfId="12481"/>
    <cellStyle name="20% - Accent2 3 4 3" xfId="18821"/>
    <cellStyle name="20% - Accent2 3 4 4" xfId="18822"/>
    <cellStyle name="20% - Accent2 3 5" xfId="75"/>
    <cellStyle name="20% - Accent2 3 5 2" xfId="18823"/>
    <cellStyle name="20% - Accent2 3 6" xfId="18824"/>
    <cellStyle name="20% - Accent2 3 7" xfId="18825"/>
    <cellStyle name="20% - Accent2 3 8" xfId="18826"/>
    <cellStyle name="20% - Accent2 4" xfId="76"/>
    <cellStyle name="20% - Accent2 4 2" xfId="77"/>
    <cellStyle name="20% - Accent2 4 2 2" xfId="78"/>
    <cellStyle name="20% - Accent2 4 2 2 2" xfId="12482"/>
    <cellStyle name="20% - Accent2 4 2 2 3" xfId="18827"/>
    <cellStyle name="20% - Accent2 4 2 2 4" xfId="18828"/>
    <cellStyle name="20% - Accent2 4 2 3" xfId="12483"/>
    <cellStyle name="20% - Accent2 4 2 3 2" xfId="18829"/>
    <cellStyle name="20% - Accent2 4 2 4" xfId="18830"/>
    <cellStyle name="20% - Accent2 4 2 5" xfId="18831"/>
    <cellStyle name="20% - Accent2 4 2 6" xfId="18832"/>
    <cellStyle name="20% - Accent2 4 3" xfId="79"/>
    <cellStyle name="20% - Accent2 4 3 2" xfId="80"/>
    <cellStyle name="20% - Accent2 4 3 3" xfId="18833"/>
    <cellStyle name="20% - Accent2 4 3 4" xfId="18834"/>
    <cellStyle name="20% - Accent2 4 4" xfId="81"/>
    <cellStyle name="20% - Accent2 4 4 2" xfId="18835"/>
    <cellStyle name="20% - Accent2 4 4 3" xfId="18836"/>
    <cellStyle name="20% - Accent2 4 4 4" xfId="18837"/>
    <cellStyle name="20% - Accent2 4 5" xfId="82"/>
    <cellStyle name="20% - Accent2 4 5 2" xfId="18838"/>
    <cellStyle name="20% - Accent2 4 6" xfId="18839"/>
    <cellStyle name="20% - Accent2 4 6 2" xfId="18840"/>
    <cellStyle name="20% - Accent2 4 7" xfId="18841"/>
    <cellStyle name="20% - Accent2 4 8" xfId="18842"/>
    <cellStyle name="20% - Accent2 5" xfId="83"/>
    <cellStyle name="20% - Accent2 5 2" xfId="84"/>
    <cellStyle name="20% - Accent2 5 2 2" xfId="12484"/>
    <cellStyle name="20% - Accent2 5 2 2 2" xfId="18843"/>
    <cellStyle name="20% - Accent2 5 2 2 2 2" xfId="18844"/>
    <cellStyle name="20% - Accent2 5 2 2 2 3" xfId="18845"/>
    <cellStyle name="20% - Accent2 5 2 2 3" xfId="18846"/>
    <cellStyle name="20% - Accent2 5 2 2 3 2" xfId="18847"/>
    <cellStyle name="20% - Accent2 5 2 2 4" xfId="18848"/>
    <cellStyle name="20% - Accent2 5 2 2 5" xfId="18849"/>
    <cellStyle name="20% - Accent2 5 2 3" xfId="18850"/>
    <cellStyle name="20% - Accent2 5 2 4" xfId="18851"/>
    <cellStyle name="20% - Accent2 5 3" xfId="85"/>
    <cellStyle name="20% - Accent2 5 3 2" xfId="12485"/>
    <cellStyle name="20% - Accent2 5 3 3" xfId="18852"/>
    <cellStyle name="20% - Accent2 5 3 4" xfId="18853"/>
    <cellStyle name="20% - Accent2 5 4" xfId="12486"/>
    <cellStyle name="20% - Accent2 5 4 2" xfId="12487"/>
    <cellStyle name="20% - Accent2 5 5" xfId="12488"/>
    <cellStyle name="20% - Accent2 5 5 2" xfId="18854"/>
    <cellStyle name="20% - Accent2 5 5 2 2" xfId="18855"/>
    <cellStyle name="20% - Accent2 5 5 2 3" xfId="18856"/>
    <cellStyle name="20% - Accent2 5 5 3" xfId="18857"/>
    <cellStyle name="20% - Accent2 5 5 3 2" xfId="18858"/>
    <cellStyle name="20% - Accent2 5 5 4" xfId="18859"/>
    <cellStyle name="20% - Accent2 5 5 5" xfId="18860"/>
    <cellStyle name="20% - Accent2 5 6" xfId="18861"/>
    <cellStyle name="20% - Accent2 5 6 2" xfId="18862"/>
    <cellStyle name="20% - Accent2 5 6 2 2" xfId="18863"/>
    <cellStyle name="20% - Accent2 5 6 2 3" xfId="18864"/>
    <cellStyle name="20% - Accent2 5 6 3" xfId="18865"/>
    <cellStyle name="20% - Accent2 5 6 3 2" xfId="18866"/>
    <cellStyle name="20% - Accent2 5 6 4" xfId="18867"/>
    <cellStyle name="20% - Accent2 5 6 5" xfId="18868"/>
    <cellStyle name="20% - Accent2 5 6 6" xfId="18869"/>
    <cellStyle name="20% - Accent2 5 6 7" xfId="18870"/>
    <cellStyle name="20% - Accent2 5 7" xfId="18871"/>
    <cellStyle name="20% - Accent2 5 7 2" xfId="18872"/>
    <cellStyle name="20% - Accent2 5 7 2 2" xfId="18873"/>
    <cellStyle name="20% - Accent2 5 7 3" xfId="18874"/>
    <cellStyle name="20% - Accent2 5 7 4" xfId="18875"/>
    <cellStyle name="20% - Accent2 5 8" xfId="18876"/>
    <cellStyle name="20% - Accent2 5 8 2" xfId="18877"/>
    <cellStyle name="20% - Accent2 5 9" xfId="18878"/>
    <cellStyle name="20% - Accent2 6" xfId="86"/>
    <cellStyle name="20% - Accent2 6 2" xfId="87"/>
    <cellStyle name="20% - Accent2 6 2 2" xfId="12489"/>
    <cellStyle name="20% - Accent2 6 2 3" xfId="12490"/>
    <cellStyle name="20% - Accent2 6 2 3 2" xfId="18356"/>
    <cellStyle name="20% - Accent2 6 2 4" xfId="18879"/>
    <cellStyle name="20% - Accent2 6 3" xfId="12491"/>
    <cellStyle name="20% - Accent2 6 3 2" xfId="12492"/>
    <cellStyle name="20% - Accent2 6 4" xfId="12493"/>
    <cellStyle name="20% - Accent2 6 4 2" xfId="18880"/>
    <cellStyle name="20% - Accent2 6 4 2 2" xfId="18881"/>
    <cellStyle name="20% - Accent2 6 4 3" xfId="18882"/>
    <cellStyle name="20% - Accent2 6 4 4" xfId="18883"/>
    <cellStyle name="20% - Accent2 6 4 5" xfId="18884"/>
    <cellStyle name="20% - Accent2 6 4 6" xfId="18885"/>
    <cellStyle name="20% - Accent2 6 5" xfId="12494"/>
    <cellStyle name="20% - Accent2 6 5 2" xfId="18357"/>
    <cellStyle name="20% - Accent2 6 5 3" xfId="18886"/>
    <cellStyle name="20% - Accent2 6 5 4" xfId="18887"/>
    <cellStyle name="20% - Accent2 6 5 5" xfId="18888"/>
    <cellStyle name="20% - Accent2 6 6" xfId="18889"/>
    <cellStyle name="20% - Accent2 6 7" xfId="18890"/>
    <cellStyle name="20% - Accent2 6 8" xfId="18891"/>
    <cellStyle name="20% - Accent2 6 9" xfId="18892"/>
    <cellStyle name="20% - Accent2 7" xfId="88"/>
    <cellStyle name="20% - Accent2 7 2" xfId="12495"/>
    <cellStyle name="20% - Accent2 7 2 2" xfId="18893"/>
    <cellStyle name="20% - Accent2 7 2 2 2" xfId="18894"/>
    <cellStyle name="20% - Accent2 7 2 3" xfId="18895"/>
    <cellStyle name="20% - Accent2 7 2 4" xfId="18896"/>
    <cellStyle name="20% - Accent2 7 3" xfId="18897"/>
    <cellStyle name="20% - Accent2 7 3 2" xfId="18898"/>
    <cellStyle name="20% - Accent2 7 3 3" xfId="18899"/>
    <cellStyle name="20% - Accent2 7 4" xfId="18900"/>
    <cellStyle name="20% - Accent2 7 4 2" xfId="18901"/>
    <cellStyle name="20% - Accent2 7 4 3" xfId="18902"/>
    <cellStyle name="20% - Accent2 7 5" xfId="18903"/>
    <cellStyle name="20% - Accent2 7 6" xfId="18904"/>
    <cellStyle name="20% - Accent2 8" xfId="12496"/>
    <cellStyle name="20% - Accent2 8 2" xfId="12497"/>
    <cellStyle name="20% - Accent2 8 2 2" xfId="18905"/>
    <cellStyle name="20% - Accent2 8 2 2 2" xfId="18906"/>
    <cellStyle name="20% - Accent2 8 2 3" xfId="18907"/>
    <cellStyle name="20% - Accent2 8 2 4" xfId="18908"/>
    <cellStyle name="20% - Accent2 8 3" xfId="18909"/>
    <cellStyle name="20% - Accent2 8 3 2" xfId="18910"/>
    <cellStyle name="20% - Accent2 8 3 2 2" xfId="18911"/>
    <cellStyle name="20% - Accent2 8 3 3" xfId="18912"/>
    <cellStyle name="20% - Accent2 8 3 4" xfId="18913"/>
    <cellStyle name="20% - Accent2 8 4" xfId="18914"/>
    <cellStyle name="20% - Accent2 9" xfId="12498"/>
    <cellStyle name="20% - Accent2 9 2" xfId="12499"/>
    <cellStyle name="20% - Accent2 9 2 2" xfId="18915"/>
    <cellStyle name="20% - Accent2 9 2 3" xfId="18916"/>
    <cellStyle name="20% - Accent2 9 3" xfId="18917"/>
    <cellStyle name="20% - Accent2 9 4" xfId="18918"/>
    <cellStyle name="20% - Accent2 9 5" xfId="18919"/>
    <cellStyle name="20% - Accent3 10" xfId="12500"/>
    <cellStyle name="20% - Accent3 10 2" xfId="12501"/>
    <cellStyle name="20% - Accent3 10 2 2" xfId="18920"/>
    <cellStyle name="20% - Accent3 10 2 3" xfId="18921"/>
    <cellStyle name="20% - Accent3 11" xfId="12502"/>
    <cellStyle name="20% - Accent3 11 2" xfId="12503"/>
    <cellStyle name="20% - Accent3 11 2 2" xfId="18359"/>
    <cellStyle name="20% - Accent3 11 3" xfId="18358"/>
    <cellStyle name="20% - Accent3 12" xfId="12504"/>
    <cellStyle name="20% - Accent3 12 2" xfId="18360"/>
    <cellStyle name="20% - Accent3 2" xfId="89"/>
    <cellStyle name="20% - Accent3 2 10" xfId="18922"/>
    <cellStyle name="20% - Accent3 2 11" xfId="18923"/>
    <cellStyle name="20% - Accent3 2 12" xfId="18924"/>
    <cellStyle name="20% - Accent3 2 12 2" xfId="18925"/>
    <cellStyle name="20% - Accent3 2 2" xfId="90"/>
    <cellStyle name="20% - Accent3 2 2 2" xfId="91"/>
    <cellStyle name="20% - Accent3 2 2 2 2" xfId="92"/>
    <cellStyle name="20% - Accent3 2 2 2 2 2" xfId="12505"/>
    <cellStyle name="20% - Accent3 2 2 2 2 3" xfId="18926"/>
    <cellStyle name="20% - Accent3 2 2 2 3" xfId="12506"/>
    <cellStyle name="20% - Accent3 2 2 2 4" xfId="18927"/>
    <cellStyle name="20% - Accent3 2 2 2 5" xfId="18928"/>
    <cellStyle name="20% - Accent3 2 2 3" xfId="93"/>
    <cellStyle name="20% - Accent3 2 2 3 2" xfId="94"/>
    <cellStyle name="20% - Accent3 2 2 3 2 2" xfId="18929"/>
    <cellStyle name="20% - Accent3 2 2 3 2 3" xfId="18930"/>
    <cellStyle name="20% - Accent3 2 2 3 3" xfId="18931"/>
    <cellStyle name="20% - Accent3 2 2 3 4" xfId="18932"/>
    <cellStyle name="20% - Accent3 2 2 3 5" xfId="18933"/>
    <cellStyle name="20% - Accent3 2 2 4" xfId="95"/>
    <cellStyle name="20% - Accent3 2 2 4 2" xfId="18934"/>
    <cellStyle name="20% - Accent3 2 2 4 3" xfId="18935"/>
    <cellStyle name="20% - Accent3 2 2 4 4" xfId="18936"/>
    <cellStyle name="20% - Accent3 2 2 5" xfId="18937"/>
    <cellStyle name="20% - Accent3 2 2 5 2" xfId="18938"/>
    <cellStyle name="20% - Accent3 2 2 6" xfId="18939"/>
    <cellStyle name="20% - Accent3 2 2 7" xfId="18940"/>
    <cellStyle name="20% - Accent3 2 2 8" xfId="18941"/>
    <cellStyle name="20% - Accent3 2 3" xfId="96"/>
    <cellStyle name="20% - Accent3 2 3 2" xfId="97"/>
    <cellStyle name="20% - Accent3 2 3 2 2" xfId="98"/>
    <cellStyle name="20% - Accent3 2 3 2 2 2" xfId="12507"/>
    <cellStyle name="20% - Accent3 2 3 2 2 3" xfId="18942"/>
    <cellStyle name="20% - Accent3 2 3 2 3" xfId="12508"/>
    <cellStyle name="20% - Accent3 2 3 2 4" xfId="18943"/>
    <cellStyle name="20% - Accent3 2 3 2 5" xfId="18944"/>
    <cellStyle name="20% - Accent3 2 3 3" xfId="99"/>
    <cellStyle name="20% - Accent3 2 3 3 2" xfId="12509"/>
    <cellStyle name="20% - Accent3 2 3 3 3" xfId="18945"/>
    <cellStyle name="20% - Accent3 2 3 3 4" xfId="18946"/>
    <cellStyle name="20% - Accent3 2 3 4" xfId="12510"/>
    <cellStyle name="20% - Accent3 2 3 5" xfId="18947"/>
    <cellStyle name="20% - Accent3 2 3 6" xfId="18948"/>
    <cellStyle name="20% - Accent3 2 3 7" xfId="18949"/>
    <cellStyle name="20% - Accent3 2 4" xfId="100"/>
    <cellStyle name="20% - Accent3 2 4 2" xfId="101"/>
    <cellStyle name="20% - Accent3 2 4 2 2" xfId="12511"/>
    <cellStyle name="20% - Accent3 2 4 2 3" xfId="18950"/>
    <cellStyle name="20% - Accent3 2 4 2 4" xfId="18951"/>
    <cellStyle name="20% - Accent3 2 4 3" xfId="12512"/>
    <cellStyle name="20% - Accent3 2 4 3 2" xfId="12513"/>
    <cellStyle name="20% - Accent3 2 4 4" xfId="12514"/>
    <cellStyle name="20% - Accent3 2 4 5" xfId="18952"/>
    <cellStyle name="20% - Accent3 2 4 6" xfId="18953"/>
    <cellStyle name="20% - Accent3 2 5" xfId="102"/>
    <cellStyle name="20% - Accent3 2 5 2" xfId="12515"/>
    <cellStyle name="20% - Accent3 2 5 3" xfId="18954"/>
    <cellStyle name="20% - Accent3 2 5 4" xfId="18955"/>
    <cellStyle name="20% - Accent3 2 6" xfId="103"/>
    <cellStyle name="20% - Accent3 2 6 2" xfId="18255"/>
    <cellStyle name="20% - Accent3 2 6 2 2" xfId="18956"/>
    <cellStyle name="20% - Accent3 2 6 2 3" xfId="18957"/>
    <cellStyle name="20% - Accent3 2 6 2 4" xfId="18958"/>
    <cellStyle name="20% - Accent3 2 6 3" xfId="18959"/>
    <cellStyle name="20% - Accent3 2 6 3 2" xfId="18960"/>
    <cellStyle name="20% - Accent3 2 6 3 3" xfId="18961"/>
    <cellStyle name="20% - Accent3 2 6 4" xfId="18962"/>
    <cellStyle name="20% - Accent3 2 6 4 2" xfId="18963"/>
    <cellStyle name="20% - Accent3 2 6 5" xfId="18964"/>
    <cellStyle name="20% - Accent3 2 6 6" xfId="18965"/>
    <cellStyle name="20% - Accent3 2 6 7" xfId="18966"/>
    <cellStyle name="20% - Accent3 2 6 8" xfId="18967"/>
    <cellStyle name="20% - Accent3 2 7" xfId="104"/>
    <cellStyle name="20% - Accent3 2 7 2" xfId="18968"/>
    <cellStyle name="20% - Accent3 2 7 3" xfId="18969"/>
    <cellStyle name="20% - Accent3 2 7 4" xfId="18970"/>
    <cellStyle name="20% - Accent3 2 8" xfId="105"/>
    <cellStyle name="20% - Accent3 2 8 2" xfId="18971"/>
    <cellStyle name="20% - Accent3 2 9" xfId="18972"/>
    <cellStyle name="20% - Accent3 2 9 2" xfId="18973"/>
    <cellStyle name="20% - Accent3 2_12PCORC Wind Vestas and Royalties" xfId="12516"/>
    <cellStyle name="20% - Accent3 3" xfId="106"/>
    <cellStyle name="20% - Accent3 3 2" xfId="107"/>
    <cellStyle name="20% - Accent3 3 2 2" xfId="108"/>
    <cellStyle name="20% - Accent3 3 2 2 2" xfId="12517"/>
    <cellStyle name="20% - Accent3 3 2 2 3" xfId="18974"/>
    <cellStyle name="20% - Accent3 3 2 2 4" xfId="18975"/>
    <cellStyle name="20% - Accent3 3 2 3" xfId="109"/>
    <cellStyle name="20% - Accent3 3 2 3 2" xfId="12518"/>
    <cellStyle name="20% - Accent3 3 2 3 3" xfId="18976"/>
    <cellStyle name="20% - Accent3 3 2 3 4" xfId="18977"/>
    <cellStyle name="20% - Accent3 3 2 4" xfId="12519"/>
    <cellStyle name="20% - Accent3 3 2 4 2" xfId="12520"/>
    <cellStyle name="20% - Accent3 3 2 5" xfId="12521"/>
    <cellStyle name="20% - Accent3 3 2 6" xfId="18978"/>
    <cellStyle name="20% - Accent3 3 2 7" xfId="18979"/>
    <cellStyle name="20% - Accent3 3 3" xfId="110"/>
    <cellStyle name="20% - Accent3 3 3 2" xfId="111"/>
    <cellStyle name="20% - Accent3 3 3 2 2" xfId="12522"/>
    <cellStyle name="20% - Accent3 3 3 2 3" xfId="12523"/>
    <cellStyle name="20% - Accent3 3 3 2 3 2" xfId="18361"/>
    <cellStyle name="20% - Accent3 3 3 2 4" xfId="18980"/>
    <cellStyle name="20% - Accent3 3 3 3" xfId="12524"/>
    <cellStyle name="20% - Accent3 3 3 3 2" xfId="18981"/>
    <cellStyle name="20% - Accent3 3 3 4" xfId="12525"/>
    <cellStyle name="20% - Accent3 3 3 4 2" xfId="18362"/>
    <cellStyle name="20% - Accent3 3 3 5" xfId="18982"/>
    <cellStyle name="20% - Accent3 3 3 6" xfId="18983"/>
    <cellStyle name="20% - Accent3 3 4" xfId="112"/>
    <cellStyle name="20% - Accent3 3 4 2" xfId="12526"/>
    <cellStyle name="20% - Accent3 3 4 3" xfId="18984"/>
    <cellStyle name="20% - Accent3 3 4 4" xfId="18985"/>
    <cellStyle name="20% - Accent3 3 5" xfId="113"/>
    <cellStyle name="20% - Accent3 3 5 2" xfId="18986"/>
    <cellStyle name="20% - Accent3 3 6" xfId="18987"/>
    <cellStyle name="20% - Accent3 3 7" xfId="18988"/>
    <cellStyle name="20% - Accent3 3 8" xfId="18989"/>
    <cellStyle name="20% - Accent3 4" xfId="114"/>
    <cellStyle name="20% - Accent3 4 2" xfId="115"/>
    <cellStyle name="20% - Accent3 4 2 2" xfId="116"/>
    <cellStyle name="20% - Accent3 4 2 2 2" xfId="12527"/>
    <cellStyle name="20% - Accent3 4 2 2 3" xfId="18990"/>
    <cellStyle name="20% - Accent3 4 2 2 4" xfId="18991"/>
    <cellStyle name="20% - Accent3 4 2 3" xfId="12528"/>
    <cellStyle name="20% - Accent3 4 2 3 2" xfId="18992"/>
    <cellStyle name="20% - Accent3 4 2 4" xfId="18993"/>
    <cellStyle name="20% - Accent3 4 2 5" xfId="18994"/>
    <cellStyle name="20% - Accent3 4 2 6" xfId="18995"/>
    <cellStyle name="20% - Accent3 4 3" xfId="117"/>
    <cellStyle name="20% - Accent3 4 3 2" xfId="118"/>
    <cellStyle name="20% - Accent3 4 3 3" xfId="18996"/>
    <cellStyle name="20% - Accent3 4 3 4" xfId="18997"/>
    <cellStyle name="20% - Accent3 4 4" xfId="119"/>
    <cellStyle name="20% - Accent3 4 4 2" xfId="18998"/>
    <cellStyle name="20% - Accent3 4 4 3" xfId="18999"/>
    <cellStyle name="20% - Accent3 4 4 4" xfId="19000"/>
    <cellStyle name="20% - Accent3 4 5" xfId="120"/>
    <cellStyle name="20% - Accent3 4 5 2" xfId="19001"/>
    <cellStyle name="20% - Accent3 4 6" xfId="19002"/>
    <cellStyle name="20% - Accent3 4 6 2" xfId="19003"/>
    <cellStyle name="20% - Accent3 4 7" xfId="19004"/>
    <cellStyle name="20% - Accent3 4 8" xfId="19005"/>
    <cellStyle name="20% - Accent3 5" xfId="121"/>
    <cellStyle name="20% - Accent3 5 2" xfId="122"/>
    <cellStyle name="20% - Accent3 5 2 2" xfId="12529"/>
    <cellStyle name="20% - Accent3 5 2 2 2" xfId="19006"/>
    <cellStyle name="20% - Accent3 5 2 2 2 2" xfId="19007"/>
    <cellStyle name="20% - Accent3 5 2 2 2 3" xfId="19008"/>
    <cellStyle name="20% - Accent3 5 2 2 3" xfId="19009"/>
    <cellStyle name="20% - Accent3 5 2 2 3 2" xfId="19010"/>
    <cellStyle name="20% - Accent3 5 2 2 4" xfId="19011"/>
    <cellStyle name="20% - Accent3 5 2 2 5" xfId="19012"/>
    <cellStyle name="20% - Accent3 5 2 3" xfId="19013"/>
    <cellStyle name="20% - Accent3 5 2 4" xfId="19014"/>
    <cellStyle name="20% - Accent3 5 3" xfId="123"/>
    <cellStyle name="20% - Accent3 5 3 2" xfId="12530"/>
    <cellStyle name="20% - Accent3 5 3 3" xfId="19015"/>
    <cellStyle name="20% - Accent3 5 3 4" xfId="19016"/>
    <cellStyle name="20% - Accent3 5 4" xfId="12531"/>
    <cellStyle name="20% - Accent3 5 4 2" xfId="12532"/>
    <cellStyle name="20% - Accent3 5 5" xfId="12533"/>
    <cellStyle name="20% - Accent3 5 5 2" xfId="19017"/>
    <cellStyle name="20% - Accent3 5 5 2 2" xfId="19018"/>
    <cellStyle name="20% - Accent3 5 5 2 3" xfId="19019"/>
    <cellStyle name="20% - Accent3 5 5 3" xfId="19020"/>
    <cellStyle name="20% - Accent3 5 5 3 2" xfId="19021"/>
    <cellStyle name="20% - Accent3 5 5 4" xfId="19022"/>
    <cellStyle name="20% - Accent3 5 5 5" xfId="19023"/>
    <cellStyle name="20% - Accent3 5 6" xfId="19024"/>
    <cellStyle name="20% - Accent3 5 6 2" xfId="19025"/>
    <cellStyle name="20% - Accent3 5 6 2 2" xfId="19026"/>
    <cellStyle name="20% - Accent3 5 6 2 3" xfId="19027"/>
    <cellStyle name="20% - Accent3 5 6 3" xfId="19028"/>
    <cellStyle name="20% - Accent3 5 6 3 2" xfId="19029"/>
    <cellStyle name="20% - Accent3 5 6 4" xfId="19030"/>
    <cellStyle name="20% - Accent3 5 6 5" xfId="19031"/>
    <cellStyle name="20% - Accent3 5 6 6" xfId="19032"/>
    <cellStyle name="20% - Accent3 5 6 7" xfId="19033"/>
    <cellStyle name="20% - Accent3 5 7" xfId="19034"/>
    <cellStyle name="20% - Accent3 5 7 2" xfId="19035"/>
    <cellStyle name="20% - Accent3 5 7 2 2" xfId="19036"/>
    <cellStyle name="20% - Accent3 5 7 3" xfId="19037"/>
    <cellStyle name="20% - Accent3 5 7 4" xfId="19038"/>
    <cellStyle name="20% - Accent3 5 8" xfId="19039"/>
    <cellStyle name="20% - Accent3 5 8 2" xfId="19040"/>
    <cellStyle name="20% - Accent3 5 9" xfId="19041"/>
    <cellStyle name="20% - Accent3 6" xfId="124"/>
    <cellStyle name="20% - Accent3 6 2" xfId="125"/>
    <cellStyle name="20% - Accent3 6 2 2" xfId="12534"/>
    <cellStyle name="20% - Accent3 6 2 3" xfId="12535"/>
    <cellStyle name="20% - Accent3 6 2 3 2" xfId="18363"/>
    <cellStyle name="20% - Accent3 6 2 4" xfId="19042"/>
    <cellStyle name="20% - Accent3 6 3" xfId="12536"/>
    <cellStyle name="20% - Accent3 6 3 2" xfId="12537"/>
    <cellStyle name="20% - Accent3 6 4" xfId="12538"/>
    <cellStyle name="20% - Accent3 6 4 2" xfId="19043"/>
    <cellStyle name="20% - Accent3 6 4 2 2" xfId="19044"/>
    <cellStyle name="20% - Accent3 6 4 3" xfId="19045"/>
    <cellStyle name="20% - Accent3 6 4 4" xfId="19046"/>
    <cellStyle name="20% - Accent3 6 4 5" xfId="19047"/>
    <cellStyle name="20% - Accent3 6 4 6" xfId="19048"/>
    <cellStyle name="20% - Accent3 6 5" xfId="12539"/>
    <cellStyle name="20% - Accent3 6 5 2" xfId="18364"/>
    <cellStyle name="20% - Accent3 6 5 3" xfId="19049"/>
    <cellStyle name="20% - Accent3 6 5 4" xfId="19050"/>
    <cellStyle name="20% - Accent3 6 5 5" xfId="19051"/>
    <cellStyle name="20% - Accent3 6 6" xfId="19052"/>
    <cellStyle name="20% - Accent3 6 7" xfId="19053"/>
    <cellStyle name="20% - Accent3 6 8" xfId="19054"/>
    <cellStyle name="20% - Accent3 6 9" xfId="19055"/>
    <cellStyle name="20% - Accent3 7" xfId="126"/>
    <cellStyle name="20% - Accent3 7 2" xfId="12540"/>
    <cellStyle name="20% - Accent3 7 2 2" xfId="19056"/>
    <cellStyle name="20% - Accent3 7 2 2 2" xfId="19057"/>
    <cellStyle name="20% - Accent3 7 2 3" xfId="19058"/>
    <cellStyle name="20% - Accent3 7 2 4" xfId="19059"/>
    <cellStyle name="20% - Accent3 7 3" xfId="19060"/>
    <cellStyle name="20% - Accent3 7 3 2" xfId="19061"/>
    <cellStyle name="20% - Accent3 7 3 3" xfId="19062"/>
    <cellStyle name="20% - Accent3 7 4" xfId="19063"/>
    <cellStyle name="20% - Accent3 7 4 2" xfId="19064"/>
    <cellStyle name="20% - Accent3 7 4 3" xfId="19065"/>
    <cellStyle name="20% - Accent3 7 5" xfId="19066"/>
    <cellStyle name="20% - Accent3 7 6" xfId="19067"/>
    <cellStyle name="20% - Accent3 8" xfId="12541"/>
    <cellStyle name="20% - Accent3 8 2" xfId="12542"/>
    <cellStyle name="20% - Accent3 8 2 2" xfId="19068"/>
    <cellStyle name="20% - Accent3 8 2 2 2" xfId="19069"/>
    <cellStyle name="20% - Accent3 8 2 3" xfId="19070"/>
    <cellStyle name="20% - Accent3 8 2 4" xfId="19071"/>
    <cellStyle name="20% - Accent3 8 3" xfId="19072"/>
    <cellStyle name="20% - Accent3 8 3 2" xfId="19073"/>
    <cellStyle name="20% - Accent3 8 3 2 2" xfId="19074"/>
    <cellStyle name="20% - Accent3 8 3 3" xfId="19075"/>
    <cellStyle name="20% - Accent3 8 3 4" xfId="19076"/>
    <cellStyle name="20% - Accent3 8 4" xfId="19077"/>
    <cellStyle name="20% - Accent3 9" xfId="12543"/>
    <cellStyle name="20% - Accent3 9 2" xfId="12544"/>
    <cellStyle name="20% - Accent3 9 2 2" xfId="19078"/>
    <cellStyle name="20% - Accent3 9 2 3" xfId="19079"/>
    <cellStyle name="20% - Accent3 9 3" xfId="19080"/>
    <cellStyle name="20% - Accent3 9 4" xfId="19081"/>
    <cellStyle name="20% - Accent3 9 5" xfId="19082"/>
    <cellStyle name="20% - Accent4 10" xfId="12545"/>
    <cellStyle name="20% - Accent4 10 2" xfId="12546"/>
    <cellStyle name="20% - Accent4 10 2 2" xfId="19083"/>
    <cellStyle name="20% - Accent4 10 2 3" xfId="19084"/>
    <cellStyle name="20% - Accent4 11" xfId="12547"/>
    <cellStyle name="20% - Accent4 11 2" xfId="12548"/>
    <cellStyle name="20% - Accent4 11 2 2" xfId="18366"/>
    <cellStyle name="20% - Accent4 11 3" xfId="18365"/>
    <cellStyle name="20% - Accent4 12" xfId="12549"/>
    <cellStyle name="20% - Accent4 12 2" xfId="18367"/>
    <cellStyle name="20% - Accent4 2" xfId="127"/>
    <cellStyle name="20% - Accent4 2 10" xfId="19085"/>
    <cellStyle name="20% - Accent4 2 11" xfId="19086"/>
    <cellStyle name="20% - Accent4 2 12" xfId="19087"/>
    <cellStyle name="20% - Accent4 2 12 2" xfId="19088"/>
    <cellStyle name="20% - Accent4 2 2" xfId="128"/>
    <cellStyle name="20% - Accent4 2 2 2" xfId="129"/>
    <cellStyle name="20% - Accent4 2 2 2 2" xfId="130"/>
    <cellStyle name="20% - Accent4 2 2 2 2 2" xfId="12550"/>
    <cellStyle name="20% - Accent4 2 2 2 2 3" xfId="19089"/>
    <cellStyle name="20% - Accent4 2 2 2 3" xfId="12551"/>
    <cellStyle name="20% - Accent4 2 2 2 4" xfId="19090"/>
    <cellStyle name="20% - Accent4 2 2 2 5" xfId="19091"/>
    <cellStyle name="20% - Accent4 2 2 3" xfId="131"/>
    <cellStyle name="20% - Accent4 2 2 3 2" xfId="132"/>
    <cellStyle name="20% - Accent4 2 2 3 2 2" xfId="19092"/>
    <cellStyle name="20% - Accent4 2 2 3 2 3" xfId="19093"/>
    <cellStyle name="20% - Accent4 2 2 3 3" xfId="19094"/>
    <cellStyle name="20% - Accent4 2 2 3 4" xfId="19095"/>
    <cellStyle name="20% - Accent4 2 2 3 5" xfId="19096"/>
    <cellStyle name="20% - Accent4 2 2 4" xfId="133"/>
    <cellStyle name="20% - Accent4 2 2 4 2" xfId="19097"/>
    <cellStyle name="20% - Accent4 2 2 4 3" xfId="19098"/>
    <cellStyle name="20% - Accent4 2 2 4 4" xfId="19099"/>
    <cellStyle name="20% - Accent4 2 2 5" xfId="19100"/>
    <cellStyle name="20% - Accent4 2 2 5 2" xfId="19101"/>
    <cellStyle name="20% - Accent4 2 2 6" xfId="19102"/>
    <cellStyle name="20% - Accent4 2 2 7" xfId="19103"/>
    <cellStyle name="20% - Accent4 2 2 8" xfId="19104"/>
    <cellStyle name="20% - Accent4 2 3" xfId="134"/>
    <cellStyle name="20% - Accent4 2 3 2" xfId="135"/>
    <cellStyle name="20% - Accent4 2 3 2 2" xfId="136"/>
    <cellStyle name="20% - Accent4 2 3 2 2 2" xfId="12552"/>
    <cellStyle name="20% - Accent4 2 3 2 2 3" xfId="19105"/>
    <cellStyle name="20% - Accent4 2 3 2 3" xfId="12553"/>
    <cellStyle name="20% - Accent4 2 3 2 4" xfId="19106"/>
    <cellStyle name="20% - Accent4 2 3 2 5" xfId="19107"/>
    <cellStyle name="20% - Accent4 2 3 3" xfId="137"/>
    <cellStyle name="20% - Accent4 2 3 3 2" xfId="12554"/>
    <cellStyle name="20% - Accent4 2 3 3 3" xfId="19108"/>
    <cellStyle name="20% - Accent4 2 3 3 4" xfId="19109"/>
    <cellStyle name="20% - Accent4 2 3 4" xfId="12555"/>
    <cellStyle name="20% - Accent4 2 3 5" xfId="19110"/>
    <cellStyle name="20% - Accent4 2 3 6" xfId="19111"/>
    <cellStyle name="20% - Accent4 2 3 7" xfId="19112"/>
    <cellStyle name="20% - Accent4 2 4" xfId="138"/>
    <cellStyle name="20% - Accent4 2 4 2" xfId="139"/>
    <cellStyle name="20% - Accent4 2 4 2 2" xfId="12556"/>
    <cellStyle name="20% - Accent4 2 4 2 3" xfId="19113"/>
    <cellStyle name="20% - Accent4 2 4 2 4" xfId="19114"/>
    <cellStyle name="20% - Accent4 2 4 3" xfId="12557"/>
    <cellStyle name="20% - Accent4 2 4 3 2" xfId="12558"/>
    <cellStyle name="20% - Accent4 2 4 4" xfId="12559"/>
    <cellStyle name="20% - Accent4 2 4 5" xfId="19115"/>
    <cellStyle name="20% - Accent4 2 4 6" xfId="19116"/>
    <cellStyle name="20% - Accent4 2 5" xfId="140"/>
    <cellStyle name="20% - Accent4 2 5 2" xfId="12560"/>
    <cellStyle name="20% - Accent4 2 5 3" xfId="19117"/>
    <cellStyle name="20% - Accent4 2 5 4" xfId="19118"/>
    <cellStyle name="20% - Accent4 2 6" xfId="141"/>
    <cellStyle name="20% - Accent4 2 6 2" xfId="18256"/>
    <cellStyle name="20% - Accent4 2 6 2 2" xfId="19119"/>
    <cellStyle name="20% - Accent4 2 6 2 3" xfId="19120"/>
    <cellStyle name="20% - Accent4 2 6 2 4" xfId="19121"/>
    <cellStyle name="20% - Accent4 2 6 3" xfId="19122"/>
    <cellStyle name="20% - Accent4 2 6 3 2" xfId="19123"/>
    <cellStyle name="20% - Accent4 2 6 3 3" xfId="19124"/>
    <cellStyle name="20% - Accent4 2 6 4" xfId="19125"/>
    <cellStyle name="20% - Accent4 2 6 4 2" xfId="19126"/>
    <cellStyle name="20% - Accent4 2 6 5" xfId="19127"/>
    <cellStyle name="20% - Accent4 2 6 6" xfId="19128"/>
    <cellStyle name="20% - Accent4 2 6 7" xfId="19129"/>
    <cellStyle name="20% - Accent4 2 6 8" xfId="19130"/>
    <cellStyle name="20% - Accent4 2 7" xfId="142"/>
    <cellStyle name="20% - Accent4 2 7 2" xfId="19131"/>
    <cellStyle name="20% - Accent4 2 7 3" xfId="19132"/>
    <cellStyle name="20% - Accent4 2 7 4" xfId="19133"/>
    <cellStyle name="20% - Accent4 2 8" xfId="143"/>
    <cellStyle name="20% - Accent4 2 8 2" xfId="19134"/>
    <cellStyle name="20% - Accent4 2 9" xfId="19135"/>
    <cellStyle name="20% - Accent4 2 9 2" xfId="19136"/>
    <cellStyle name="20% - Accent4 2_12PCORC Wind Vestas and Royalties" xfId="12561"/>
    <cellStyle name="20% - Accent4 3" xfId="144"/>
    <cellStyle name="20% - Accent4 3 2" xfId="145"/>
    <cellStyle name="20% - Accent4 3 2 2" xfId="146"/>
    <cellStyle name="20% - Accent4 3 2 2 2" xfId="12562"/>
    <cellStyle name="20% - Accent4 3 2 2 3" xfId="19137"/>
    <cellStyle name="20% - Accent4 3 2 2 4" xfId="19138"/>
    <cellStyle name="20% - Accent4 3 2 3" xfId="147"/>
    <cellStyle name="20% - Accent4 3 2 3 2" xfId="12563"/>
    <cellStyle name="20% - Accent4 3 2 3 3" xfId="19139"/>
    <cellStyle name="20% - Accent4 3 2 3 4" xfId="19140"/>
    <cellStyle name="20% - Accent4 3 2 4" xfId="12564"/>
    <cellStyle name="20% - Accent4 3 2 4 2" xfId="12565"/>
    <cellStyle name="20% - Accent4 3 2 5" xfId="12566"/>
    <cellStyle name="20% - Accent4 3 2 6" xfId="19141"/>
    <cellStyle name="20% - Accent4 3 2 7" xfId="19142"/>
    <cellStyle name="20% - Accent4 3 3" xfId="148"/>
    <cellStyle name="20% - Accent4 3 3 2" xfId="149"/>
    <cellStyle name="20% - Accent4 3 3 2 2" xfId="12567"/>
    <cellStyle name="20% - Accent4 3 3 2 3" xfId="12568"/>
    <cellStyle name="20% - Accent4 3 3 2 3 2" xfId="18368"/>
    <cellStyle name="20% - Accent4 3 3 2 4" xfId="19143"/>
    <cellStyle name="20% - Accent4 3 3 3" xfId="12569"/>
    <cellStyle name="20% - Accent4 3 3 3 2" xfId="19144"/>
    <cellStyle name="20% - Accent4 3 3 4" xfId="12570"/>
    <cellStyle name="20% - Accent4 3 3 4 2" xfId="18369"/>
    <cellStyle name="20% - Accent4 3 3 5" xfId="19145"/>
    <cellStyle name="20% - Accent4 3 3 6" xfId="19146"/>
    <cellStyle name="20% - Accent4 3 4" xfId="150"/>
    <cellStyle name="20% - Accent4 3 4 2" xfId="12571"/>
    <cellStyle name="20% - Accent4 3 4 3" xfId="19147"/>
    <cellStyle name="20% - Accent4 3 4 4" xfId="19148"/>
    <cellStyle name="20% - Accent4 3 5" xfId="151"/>
    <cellStyle name="20% - Accent4 3 5 2" xfId="19149"/>
    <cellStyle name="20% - Accent4 3 6" xfId="19150"/>
    <cellStyle name="20% - Accent4 3 7" xfId="19151"/>
    <cellStyle name="20% - Accent4 3 8" xfId="19152"/>
    <cellStyle name="20% - Accent4 4" xfId="152"/>
    <cellStyle name="20% - Accent4 4 2" xfId="153"/>
    <cellStyle name="20% - Accent4 4 2 2" xfId="154"/>
    <cellStyle name="20% - Accent4 4 2 2 2" xfId="12572"/>
    <cellStyle name="20% - Accent4 4 2 2 3" xfId="19153"/>
    <cellStyle name="20% - Accent4 4 2 2 4" xfId="19154"/>
    <cellStyle name="20% - Accent4 4 2 3" xfId="12573"/>
    <cellStyle name="20% - Accent4 4 2 3 2" xfId="19155"/>
    <cellStyle name="20% - Accent4 4 2 4" xfId="19156"/>
    <cellStyle name="20% - Accent4 4 2 5" xfId="19157"/>
    <cellStyle name="20% - Accent4 4 2 6" xfId="19158"/>
    <cellStyle name="20% - Accent4 4 3" xfId="155"/>
    <cellStyle name="20% - Accent4 4 3 2" xfId="156"/>
    <cellStyle name="20% - Accent4 4 3 3" xfId="19159"/>
    <cellStyle name="20% - Accent4 4 3 4" xfId="19160"/>
    <cellStyle name="20% - Accent4 4 4" xfId="157"/>
    <cellStyle name="20% - Accent4 4 4 2" xfId="19161"/>
    <cellStyle name="20% - Accent4 4 4 3" xfId="19162"/>
    <cellStyle name="20% - Accent4 4 4 4" xfId="19163"/>
    <cellStyle name="20% - Accent4 4 5" xfId="158"/>
    <cellStyle name="20% - Accent4 4 5 2" xfId="19164"/>
    <cellStyle name="20% - Accent4 4 6" xfId="19165"/>
    <cellStyle name="20% - Accent4 4 6 2" xfId="19166"/>
    <cellStyle name="20% - Accent4 4 7" xfId="19167"/>
    <cellStyle name="20% - Accent4 4 8" xfId="19168"/>
    <cellStyle name="20% - Accent4 5" xfId="159"/>
    <cellStyle name="20% - Accent4 5 2" xfId="160"/>
    <cellStyle name="20% - Accent4 5 2 2" xfId="12574"/>
    <cellStyle name="20% - Accent4 5 2 2 2" xfId="19169"/>
    <cellStyle name="20% - Accent4 5 2 2 2 2" xfId="19170"/>
    <cellStyle name="20% - Accent4 5 2 2 2 3" xfId="19171"/>
    <cellStyle name="20% - Accent4 5 2 2 3" xfId="19172"/>
    <cellStyle name="20% - Accent4 5 2 2 3 2" xfId="19173"/>
    <cellStyle name="20% - Accent4 5 2 2 4" xfId="19174"/>
    <cellStyle name="20% - Accent4 5 2 2 5" xfId="19175"/>
    <cellStyle name="20% - Accent4 5 2 3" xfId="19176"/>
    <cellStyle name="20% - Accent4 5 2 4" xfId="19177"/>
    <cellStyle name="20% - Accent4 5 3" xfId="161"/>
    <cellStyle name="20% - Accent4 5 3 2" xfId="12575"/>
    <cellStyle name="20% - Accent4 5 3 3" xfId="19178"/>
    <cellStyle name="20% - Accent4 5 3 4" xfId="19179"/>
    <cellStyle name="20% - Accent4 5 4" xfId="12576"/>
    <cellStyle name="20% - Accent4 5 4 2" xfId="12577"/>
    <cellStyle name="20% - Accent4 5 5" xfId="12578"/>
    <cellStyle name="20% - Accent4 5 5 2" xfId="19180"/>
    <cellStyle name="20% - Accent4 5 5 2 2" xfId="19181"/>
    <cellStyle name="20% - Accent4 5 5 2 3" xfId="19182"/>
    <cellStyle name="20% - Accent4 5 5 3" xfId="19183"/>
    <cellStyle name="20% - Accent4 5 5 3 2" xfId="19184"/>
    <cellStyle name="20% - Accent4 5 5 4" xfId="19185"/>
    <cellStyle name="20% - Accent4 5 5 5" xfId="19186"/>
    <cellStyle name="20% - Accent4 5 6" xfId="19187"/>
    <cellStyle name="20% - Accent4 5 6 2" xfId="19188"/>
    <cellStyle name="20% - Accent4 5 6 2 2" xfId="19189"/>
    <cellStyle name="20% - Accent4 5 6 2 3" xfId="19190"/>
    <cellStyle name="20% - Accent4 5 6 3" xfId="19191"/>
    <cellStyle name="20% - Accent4 5 6 3 2" xfId="19192"/>
    <cellStyle name="20% - Accent4 5 6 4" xfId="19193"/>
    <cellStyle name="20% - Accent4 5 6 5" xfId="19194"/>
    <cellStyle name="20% - Accent4 5 6 6" xfId="19195"/>
    <cellStyle name="20% - Accent4 5 6 7" xfId="19196"/>
    <cellStyle name="20% - Accent4 5 7" xfId="19197"/>
    <cellStyle name="20% - Accent4 5 7 2" xfId="19198"/>
    <cellStyle name="20% - Accent4 5 7 2 2" xfId="19199"/>
    <cellStyle name="20% - Accent4 5 7 3" xfId="19200"/>
    <cellStyle name="20% - Accent4 5 7 4" xfId="19201"/>
    <cellStyle name="20% - Accent4 5 8" xfId="19202"/>
    <cellStyle name="20% - Accent4 5 8 2" xfId="19203"/>
    <cellStyle name="20% - Accent4 5 9" xfId="19204"/>
    <cellStyle name="20% - Accent4 6" xfId="162"/>
    <cellStyle name="20% - Accent4 6 2" xfId="163"/>
    <cellStyle name="20% - Accent4 6 2 2" xfId="12579"/>
    <cellStyle name="20% - Accent4 6 2 3" xfId="12580"/>
    <cellStyle name="20% - Accent4 6 2 3 2" xfId="18370"/>
    <cellStyle name="20% - Accent4 6 2 4" xfId="19205"/>
    <cellStyle name="20% - Accent4 6 3" xfId="12581"/>
    <cellStyle name="20% - Accent4 6 3 2" xfId="12582"/>
    <cellStyle name="20% - Accent4 6 4" xfId="12583"/>
    <cellStyle name="20% - Accent4 6 4 2" xfId="19206"/>
    <cellStyle name="20% - Accent4 6 4 2 2" xfId="19207"/>
    <cellStyle name="20% - Accent4 6 4 3" xfId="19208"/>
    <cellStyle name="20% - Accent4 6 4 4" xfId="19209"/>
    <cellStyle name="20% - Accent4 6 4 5" xfId="19210"/>
    <cellStyle name="20% - Accent4 6 4 6" xfId="19211"/>
    <cellStyle name="20% - Accent4 6 5" xfId="12584"/>
    <cellStyle name="20% - Accent4 6 5 2" xfId="18371"/>
    <cellStyle name="20% - Accent4 6 5 3" xfId="19212"/>
    <cellStyle name="20% - Accent4 6 5 4" xfId="19213"/>
    <cellStyle name="20% - Accent4 6 5 5" xfId="19214"/>
    <cellStyle name="20% - Accent4 6 6" xfId="19215"/>
    <cellStyle name="20% - Accent4 6 7" xfId="19216"/>
    <cellStyle name="20% - Accent4 6 8" xfId="19217"/>
    <cellStyle name="20% - Accent4 6 9" xfId="19218"/>
    <cellStyle name="20% - Accent4 7" xfId="164"/>
    <cellStyle name="20% - Accent4 7 2" xfId="12585"/>
    <cellStyle name="20% - Accent4 7 2 2" xfId="19219"/>
    <cellStyle name="20% - Accent4 7 2 2 2" xfId="19220"/>
    <cellStyle name="20% - Accent4 7 2 3" xfId="19221"/>
    <cellStyle name="20% - Accent4 7 2 4" xfId="19222"/>
    <cellStyle name="20% - Accent4 7 3" xfId="19223"/>
    <cellStyle name="20% - Accent4 7 3 2" xfId="19224"/>
    <cellStyle name="20% - Accent4 7 3 3" xfId="19225"/>
    <cellStyle name="20% - Accent4 7 4" xfId="19226"/>
    <cellStyle name="20% - Accent4 7 4 2" xfId="19227"/>
    <cellStyle name="20% - Accent4 7 4 3" xfId="19228"/>
    <cellStyle name="20% - Accent4 7 5" xfId="19229"/>
    <cellStyle name="20% - Accent4 7 6" xfId="19230"/>
    <cellStyle name="20% - Accent4 8" xfId="12586"/>
    <cellStyle name="20% - Accent4 8 2" xfId="12587"/>
    <cellStyle name="20% - Accent4 8 2 2" xfId="19231"/>
    <cellStyle name="20% - Accent4 8 2 2 2" xfId="19232"/>
    <cellStyle name="20% - Accent4 8 2 3" xfId="19233"/>
    <cellStyle name="20% - Accent4 8 2 4" xfId="19234"/>
    <cellStyle name="20% - Accent4 8 3" xfId="19235"/>
    <cellStyle name="20% - Accent4 8 3 2" xfId="19236"/>
    <cellStyle name="20% - Accent4 8 3 2 2" xfId="19237"/>
    <cellStyle name="20% - Accent4 8 3 3" xfId="19238"/>
    <cellStyle name="20% - Accent4 8 3 4" xfId="19239"/>
    <cellStyle name="20% - Accent4 8 4" xfId="19240"/>
    <cellStyle name="20% - Accent4 9" xfId="12588"/>
    <cellStyle name="20% - Accent4 9 2" xfId="12589"/>
    <cellStyle name="20% - Accent4 9 2 2" xfId="19241"/>
    <cellStyle name="20% - Accent4 9 2 3" xfId="19242"/>
    <cellStyle name="20% - Accent4 9 3" xfId="19243"/>
    <cellStyle name="20% - Accent4 9 4" xfId="19244"/>
    <cellStyle name="20% - Accent4 9 5" xfId="19245"/>
    <cellStyle name="20% - Accent5 10" xfId="12590"/>
    <cellStyle name="20% - Accent5 10 2" xfId="12591"/>
    <cellStyle name="20% - Accent5 10 2 2" xfId="19246"/>
    <cellStyle name="20% - Accent5 10 2 3" xfId="19247"/>
    <cellStyle name="20% - Accent5 11" xfId="12592"/>
    <cellStyle name="20% - Accent5 11 2" xfId="12593"/>
    <cellStyle name="20% - Accent5 11 2 2" xfId="18373"/>
    <cellStyle name="20% - Accent5 11 3" xfId="18372"/>
    <cellStyle name="20% - Accent5 12" xfId="12594"/>
    <cellStyle name="20% - Accent5 12 2" xfId="18374"/>
    <cellStyle name="20% - Accent5 2" xfId="165"/>
    <cellStyle name="20% - Accent5 2 10" xfId="19248"/>
    <cellStyle name="20% - Accent5 2 11" xfId="19249"/>
    <cellStyle name="20% - Accent5 2 12" xfId="19250"/>
    <cellStyle name="20% - Accent5 2 12 2" xfId="19251"/>
    <cellStyle name="20% - Accent5 2 2" xfId="166"/>
    <cellStyle name="20% - Accent5 2 2 2" xfId="167"/>
    <cellStyle name="20% - Accent5 2 2 2 2" xfId="168"/>
    <cellStyle name="20% - Accent5 2 2 2 2 2" xfId="12595"/>
    <cellStyle name="20% - Accent5 2 2 2 2 3" xfId="19252"/>
    <cellStyle name="20% - Accent5 2 2 2 3" xfId="12596"/>
    <cellStyle name="20% - Accent5 2 2 2 4" xfId="19253"/>
    <cellStyle name="20% - Accent5 2 2 2 5" xfId="19254"/>
    <cellStyle name="20% - Accent5 2 2 3" xfId="169"/>
    <cellStyle name="20% - Accent5 2 2 3 2" xfId="170"/>
    <cellStyle name="20% - Accent5 2 2 3 2 2" xfId="19255"/>
    <cellStyle name="20% - Accent5 2 2 3 2 3" xfId="19256"/>
    <cellStyle name="20% - Accent5 2 2 3 3" xfId="19257"/>
    <cellStyle name="20% - Accent5 2 2 3 4" xfId="19258"/>
    <cellStyle name="20% - Accent5 2 2 3 5" xfId="19259"/>
    <cellStyle name="20% - Accent5 2 2 4" xfId="171"/>
    <cellStyle name="20% - Accent5 2 2 4 2" xfId="19260"/>
    <cellStyle name="20% - Accent5 2 2 4 3" xfId="19261"/>
    <cellStyle name="20% - Accent5 2 2 4 4" xfId="19262"/>
    <cellStyle name="20% - Accent5 2 2 5" xfId="19263"/>
    <cellStyle name="20% - Accent5 2 2 5 2" xfId="19264"/>
    <cellStyle name="20% - Accent5 2 2 6" xfId="19265"/>
    <cellStyle name="20% - Accent5 2 2 7" xfId="19266"/>
    <cellStyle name="20% - Accent5 2 2 8" xfId="19267"/>
    <cellStyle name="20% - Accent5 2 3" xfId="172"/>
    <cellStyle name="20% - Accent5 2 3 2" xfId="173"/>
    <cellStyle name="20% - Accent5 2 3 2 2" xfId="174"/>
    <cellStyle name="20% - Accent5 2 3 2 2 2" xfId="12597"/>
    <cellStyle name="20% - Accent5 2 3 2 2 3" xfId="19268"/>
    <cellStyle name="20% - Accent5 2 3 2 3" xfId="12598"/>
    <cellStyle name="20% - Accent5 2 3 2 4" xfId="19269"/>
    <cellStyle name="20% - Accent5 2 3 2 5" xfId="19270"/>
    <cellStyle name="20% - Accent5 2 3 3" xfId="175"/>
    <cellStyle name="20% - Accent5 2 3 3 2" xfId="12599"/>
    <cellStyle name="20% - Accent5 2 3 3 3" xfId="19271"/>
    <cellStyle name="20% - Accent5 2 3 3 4" xfId="19272"/>
    <cellStyle name="20% - Accent5 2 3 4" xfId="12600"/>
    <cellStyle name="20% - Accent5 2 3 5" xfId="19273"/>
    <cellStyle name="20% - Accent5 2 3 6" xfId="19274"/>
    <cellStyle name="20% - Accent5 2 3 7" xfId="19275"/>
    <cellStyle name="20% - Accent5 2 4" xfId="176"/>
    <cellStyle name="20% - Accent5 2 4 2" xfId="177"/>
    <cellStyle name="20% - Accent5 2 4 2 2" xfId="12601"/>
    <cellStyle name="20% - Accent5 2 4 2 3" xfId="19276"/>
    <cellStyle name="20% - Accent5 2 4 2 4" xfId="19277"/>
    <cellStyle name="20% - Accent5 2 4 3" xfId="12602"/>
    <cellStyle name="20% - Accent5 2 4 3 2" xfId="12603"/>
    <cellStyle name="20% - Accent5 2 4 4" xfId="12604"/>
    <cellStyle name="20% - Accent5 2 4 5" xfId="19278"/>
    <cellStyle name="20% - Accent5 2 4 6" xfId="19279"/>
    <cellStyle name="20% - Accent5 2 5" xfId="178"/>
    <cellStyle name="20% - Accent5 2 5 2" xfId="12605"/>
    <cellStyle name="20% - Accent5 2 5 3" xfId="19280"/>
    <cellStyle name="20% - Accent5 2 5 4" xfId="19281"/>
    <cellStyle name="20% - Accent5 2 6" xfId="179"/>
    <cellStyle name="20% - Accent5 2 6 2" xfId="18257"/>
    <cellStyle name="20% - Accent5 2 6 2 2" xfId="19282"/>
    <cellStyle name="20% - Accent5 2 6 2 3" xfId="19283"/>
    <cellStyle name="20% - Accent5 2 6 2 4" xfId="19284"/>
    <cellStyle name="20% - Accent5 2 6 3" xfId="19285"/>
    <cellStyle name="20% - Accent5 2 6 3 2" xfId="19286"/>
    <cellStyle name="20% - Accent5 2 6 3 3" xfId="19287"/>
    <cellStyle name="20% - Accent5 2 6 4" xfId="19288"/>
    <cellStyle name="20% - Accent5 2 6 4 2" xfId="19289"/>
    <cellStyle name="20% - Accent5 2 6 5" xfId="19290"/>
    <cellStyle name="20% - Accent5 2 6 6" xfId="19291"/>
    <cellStyle name="20% - Accent5 2 6 7" xfId="19292"/>
    <cellStyle name="20% - Accent5 2 6 8" xfId="19293"/>
    <cellStyle name="20% - Accent5 2 7" xfId="180"/>
    <cellStyle name="20% - Accent5 2 7 2" xfId="19294"/>
    <cellStyle name="20% - Accent5 2 7 3" xfId="19295"/>
    <cellStyle name="20% - Accent5 2 7 4" xfId="19296"/>
    <cellStyle name="20% - Accent5 2 8" xfId="181"/>
    <cellStyle name="20% - Accent5 2 8 2" xfId="19297"/>
    <cellStyle name="20% - Accent5 2 9" xfId="19298"/>
    <cellStyle name="20% - Accent5 2 9 2" xfId="19299"/>
    <cellStyle name="20% - Accent5 2_12PCORC Wind Vestas and Royalties" xfId="12606"/>
    <cellStyle name="20% - Accent5 3" xfId="182"/>
    <cellStyle name="20% - Accent5 3 2" xfId="183"/>
    <cellStyle name="20% - Accent5 3 2 2" xfId="184"/>
    <cellStyle name="20% - Accent5 3 2 2 2" xfId="12607"/>
    <cellStyle name="20% - Accent5 3 2 2 3" xfId="19300"/>
    <cellStyle name="20% - Accent5 3 2 2 4" xfId="19301"/>
    <cellStyle name="20% - Accent5 3 2 3" xfId="185"/>
    <cellStyle name="20% - Accent5 3 2 3 2" xfId="12608"/>
    <cellStyle name="20% - Accent5 3 2 3 3" xfId="19302"/>
    <cellStyle name="20% - Accent5 3 2 3 4" xfId="19303"/>
    <cellStyle name="20% - Accent5 3 2 4" xfId="12609"/>
    <cellStyle name="20% - Accent5 3 2 4 2" xfId="12610"/>
    <cellStyle name="20% - Accent5 3 2 5" xfId="12611"/>
    <cellStyle name="20% - Accent5 3 2 6" xfId="19304"/>
    <cellStyle name="20% - Accent5 3 2 7" xfId="19305"/>
    <cellStyle name="20% - Accent5 3 3" xfId="186"/>
    <cellStyle name="20% - Accent5 3 3 2" xfId="187"/>
    <cellStyle name="20% - Accent5 3 3 2 2" xfId="12612"/>
    <cellStyle name="20% - Accent5 3 3 2 3" xfId="12613"/>
    <cellStyle name="20% - Accent5 3 3 2 3 2" xfId="18375"/>
    <cellStyle name="20% - Accent5 3 3 2 4" xfId="19306"/>
    <cellStyle name="20% - Accent5 3 3 3" xfId="12614"/>
    <cellStyle name="20% - Accent5 3 3 3 2" xfId="19307"/>
    <cellStyle name="20% - Accent5 3 3 4" xfId="12615"/>
    <cellStyle name="20% - Accent5 3 3 4 2" xfId="18376"/>
    <cellStyle name="20% - Accent5 3 3 5" xfId="19308"/>
    <cellStyle name="20% - Accent5 3 3 6" xfId="19309"/>
    <cellStyle name="20% - Accent5 3 4" xfId="188"/>
    <cellStyle name="20% - Accent5 3 4 2" xfId="12616"/>
    <cellStyle name="20% - Accent5 3 4 3" xfId="19310"/>
    <cellStyle name="20% - Accent5 3 4 4" xfId="19311"/>
    <cellStyle name="20% - Accent5 3 5" xfId="189"/>
    <cellStyle name="20% - Accent5 3 5 2" xfId="19312"/>
    <cellStyle name="20% - Accent5 3 6" xfId="19313"/>
    <cellStyle name="20% - Accent5 3 6 2" xfId="19314"/>
    <cellStyle name="20% - Accent5 3 7" xfId="19315"/>
    <cellStyle name="20% - Accent5 3 8" xfId="19316"/>
    <cellStyle name="20% - Accent5 4" xfId="190"/>
    <cellStyle name="20% - Accent5 4 2" xfId="191"/>
    <cellStyle name="20% - Accent5 4 2 2" xfId="192"/>
    <cellStyle name="20% - Accent5 4 2 2 2" xfId="12617"/>
    <cellStyle name="20% - Accent5 4 2 2 3" xfId="19317"/>
    <cellStyle name="20% - Accent5 4 2 2 4" xfId="19318"/>
    <cellStyle name="20% - Accent5 4 2 3" xfId="12618"/>
    <cellStyle name="20% - Accent5 4 2 3 2" xfId="19319"/>
    <cellStyle name="20% - Accent5 4 2 4" xfId="19320"/>
    <cellStyle name="20% - Accent5 4 2 5" xfId="19321"/>
    <cellStyle name="20% - Accent5 4 2 6" xfId="19322"/>
    <cellStyle name="20% - Accent5 4 3" xfId="193"/>
    <cellStyle name="20% - Accent5 4 3 2" xfId="194"/>
    <cellStyle name="20% - Accent5 4 3 3" xfId="19323"/>
    <cellStyle name="20% - Accent5 4 3 4" xfId="19324"/>
    <cellStyle name="20% - Accent5 4 4" xfId="195"/>
    <cellStyle name="20% - Accent5 4 4 2" xfId="19325"/>
    <cellStyle name="20% - Accent5 4 4 3" xfId="19326"/>
    <cellStyle name="20% - Accent5 4 4 4" xfId="19327"/>
    <cellStyle name="20% - Accent5 4 5" xfId="196"/>
    <cellStyle name="20% - Accent5 4 5 2" xfId="19328"/>
    <cellStyle name="20% - Accent5 4 6" xfId="19329"/>
    <cellStyle name="20% - Accent5 4 6 2" xfId="19330"/>
    <cellStyle name="20% - Accent5 4 7" xfId="19331"/>
    <cellStyle name="20% - Accent5 4 8" xfId="19332"/>
    <cellStyle name="20% - Accent5 5" xfId="197"/>
    <cellStyle name="20% - Accent5 5 2" xfId="198"/>
    <cellStyle name="20% - Accent5 5 2 2" xfId="12619"/>
    <cellStyle name="20% - Accent5 5 2 2 2" xfId="19333"/>
    <cellStyle name="20% - Accent5 5 2 2 2 2" xfId="19334"/>
    <cellStyle name="20% - Accent5 5 2 2 2 3" xfId="19335"/>
    <cellStyle name="20% - Accent5 5 2 2 3" xfId="19336"/>
    <cellStyle name="20% - Accent5 5 2 2 3 2" xfId="19337"/>
    <cellStyle name="20% - Accent5 5 2 2 4" xfId="19338"/>
    <cellStyle name="20% - Accent5 5 2 2 5" xfId="19339"/>
    <cellStyle name="20% - Accent5 5 2 3" xfId="19340"/>
    <cellStyle name="20% - Accent5 5 2 4" xfId="19341"/>
    <cellStyle name="20% - Accent5 5 3" xfId="12620"/>
    <cellStyle name="20% - Accent5 5 3 2" xfId="12621"/>
    <cellStyle name="20% - Accent5 5 4" xfId="12622"/>
    <cellStyle name="20% - Accent5 5 4 2" xfId="19342"/>
    <cellStyle name="20% - Accent5 5 4 2 2" xfId="19343"/>
    <cellStyle name="20% - Accent5 5 4 2 3" xfId="19344"/>
    <cellStyle name="20% - Accent5 5 4 3" xfId="19345"/>
    <cellStyle name="20% - Accent5 5 4 3 2" xfId="19346"/>
    <cellStyle name="20% - Accent5 5 4 4" xfId="19347"/>
    <cellStyle name="20% - Accent5 5 4 5" xfId="19348"/>
    <cellStyle name="20% - Accent5 5 5" xfId="19349"/>
    <cellStyle name="20% - Accent5 5 5 2" xfId="19350"/>
    <cellStyle name="20% - Accent5 5 5 2 2" xfId="19351"/>
    <cellStyle name="20% - Accent5 5 5 2 3" xfId="19352"/>
    <cellStyle name="20% - Accent5 5 5 3" xfId="19353"/>
    <cellStyle name="20% - Accent5 5 5 3 2" xfId="19354"/>
    <cellStyle name="20% - Accent5 5 5 4" xfId="19355"/>
    <cellStyle name="20% - Accent5 5 5 5" xfId="19356"/>
    <cellStyle name="20% - Accent5 5 5 6" xfId="19357"/>
    <cellStyle name="20% - Accent5 5 5 7" xfId="19358"/>
    <cellStyle name="20% - Accent5 5 6" xfId="19359"/>
    <cellStyle name="20% - Accent5 5 6 2" xfId="19360"/>
    <cellStyle name="20% - Accent5 5 6 2 2" xfId="19361"/>
    <cellStyle name="20% - Accent5 5 6 3" xfId="19362"/>
    <cellStyle name="20% - Accent5 5 6 4" xfId="19363"/>
    <cellStyle name="20% - Accent5 5 7" xfId="19364"/>
    <cellStyle name="20% - Accent5 5 7 2" xfId="19365"/>
    <cellStyle name="20% - Accent5 5 8" xfId="19366"/>
    <cellStyle name="20% - Accent5 6" xfId="199"/>
    <cellStyle name="20% - Accent5 6 2" xfId="200"/>
    <cellStyle name="20% - Accent5 6 2 2" xfId="12623"/>
    <cellStyle name="20% - Accent5 6 2 3" xfId="12624"/>
    <cellStyle name="20% - Accent5 6 2 3 2" xfId="18377"/>
    <cellStyle name="20% - Accent5 6 2 4" xfId="19367"/>
    <cellStyle name="20% - Accent5 6 3" xfId="12625"/>
    <cellStyle name="20% - Accent5 6 3 2" xfId="12626"/>
    <cellStyle name="20% - Accent5 6 4" xfId="12627"/>
    <cellStyle name="20% - Accent5 6 4 2" xfId="19368"/>
    <cellStyle name="20% - Accent5 6 4 2 2" xfId="19369"/>
    <cellStyle name="20% - Accent5 6 4 3" xfId="19370"/>
    <cellStyle name="20% - Accent5 6 4 4" xfId="19371"/>
    <cellStyle name="20% - Accent5 6 4 5" xfId="19372"/>
    <cellStyle name="20% - Accent5 6 4 6" xfId="19373"/>
    <cellStyle name="20% - Accent5 6 5" xfId="12628"/>
    <cellStyle name="20% - Accent5 6 5 2" xfId="18378"/>
    <cellStyle name="20% - Accent5 6 5 3" xfId="19374"/>
    <cellStyle name="20% - Accent5 6 5 4" xfId="19375"/>
    <cellStyle name="20% - Accent5 6 5 5" xfId="19376"/>
    <cellStyle name="20% - Accent5 6 6" xfId="19377"/>
    <cellStyle name="20% - Accent5 6 7" xfId="19378"/>
    <cellStyle name="20% - Accent5 6 8" xfId="19379"/>
    <cellStyle name="20% - Accent5 6 9" xfId="19380"/>
    <cellStyle name="20% - Accent5 7" xfId="201"/>
    <cellStyle name="20% - Accent5 7 2" xfId="12629"/>
    <cellStyle name="20% - Accent5 7 2 2" xfId="19381"/>
    <cellStyle name="20% - Accent5 7 2 2 2" xfId="19382"/>
    <cellStyle name="20% - Accent5 7 2 3" xfId="19383"/>
    <cellStyle name="20% - Accent5 7 2 4" xfId="19384"/>
    <cellStyle name="20% - Accent5 7 3" xfId="19385"/>
    <cellStyle name="20% - Accent5 7 3 2" xfId="19386"/>
    <cellStyle name="20% - Accent5 7 3 3" xfId="19387"/>
    <cellStyle name="20% - Accent5 7 4" xfId="19388"/>
    <cellStyle name="20% - Accent5 7 4 2" xfId="19389"/>
    <cellStyle name="20% - Accent5 7 4 3" xfId="19390"/>
    <cellStyle name="20% - Accent5 7 5" xfId="19391"/>
    <cellStyle name="20% - Accent5 7 6" xfId="19392"/>
    <cellStyle name="20% - Accent5 8" xfId="12630"/>
    <cellStyle name="20% - Accent5 8 2" xfId="12631"/>
    <cellStyle name="20% - Accent5 8 2 2" xfId="19393"/>
    <cellStyle name="20% - Accent5 8 2 2 2" xfId="19394"/>
    <cellStyle name="20% - Accent5 8 2 3" xfId="19395"/>
    <cellStyle name="20% - Accent5 8 2 4" xfId="19396"/>
    <cellStyle name="20% - Accent5 8 3" xfId="19397"/>
    <cellStyle name="20% - Accent5 8 3 2" xfId="19398"/>
    <cellStyle name="20% - Accent5 8 3 2 2" xfId="19399"/>
    <cellStyle name="20% - Accent5 8 3 3" xfId="19400"/>
    <cellStyle name="20% - Accent5 8 3 4" xfId="19401"/>
    <cellStyle name="20% - Accent5 8 4" xfId="19402"/>
    <cellStyle name="20% - Accent5 9" xfId="12632"/>
    <cellStyle name="20% - Accent5 9 2" xfId="12633"/>
    <cellStyle name="20% - Accent5 9 2 2" xfId="19403"/>
    <cellStyle name="20% - Accent5 9 2 3" xfId="19404"/>
    <cellStyle name="20% - Accent5 9 3" xfId="19405"/>
    <cellStyle name="20% - Accent5 9 4" xfId="19406"/>
    <cellStyle name="20% - Accent5 9 5" xfId="19407"/>
    <cellStyle name="20% - Accent6 10" xfId="12634"/>
    <cellStyle name="20% - Accent6 10 2" xfId="12635"/>
    <cellStyle name="20% - Accent6 10 2 2" xfId="19408"/>
    <cellStyle name="20% - Accent6 10 2 3" xfId="19409"/>
    <cellStyle name="20% - Accent6 11" xfId="12636"/>
    <cellStyle name="20% - Accent6 11 2" xfId="12637"/>
    <cellStyle name="20% - Accent6 11 2 2" xfId="18380"/>
    <cellStyle name="20% - Accent6 11 3" xfId="18379"/>
    <cellStyle name="20% - Accent6 12" xfId="12638"/>
    <cellStyle name="20% - Accent6 12 2" xfId="18381"/>
    <cellStyle name="20% - Accent6 2" xfId="202"/>
    <cellStyle name="20% - Accent6 2 10" xfId="19410"/>
    <cellStyle name="20% - Accent6 2 11" xfId="19411"/>
    <cellStyle name="20% - Accent6 2 12" xfId="19412"/>
    <cellStyle name="20% - Accent6 2 12 2" xfId="19413"/>
    <cellStyle name="20% - Accent6 2 2" xfId="203"/>
    <cellStyle name="20% - Accent6 2 2 2" xfId="204"/>
    <cellStyle name="20% - Accent6 2 2 2 2" xfId="205"/>
    <cellStyle name="20% - Accent6 2 2 2 2 2" xfId="12639"/>
    <cellStyle name="20% - Accent6 2 2 2 2 3" xfId="19414"/>
    <cellStyle name="20% - Accent6 2 2 2 3" xfId="12640"/>
    <cellStyle name="20% - Accent6 2 2 2 4" xfId="19415"/>
    <cellStyle name="20% - Accent6 2 2 2 5" xfId="19416"/>
    <cellStyle name="20% - Accent6 2 2 3" xfId="206"/>
    <cellStyle name="20% - Accent6 2 2 3 2" xfId="207"/>
    <cellStyle name="20% - Accent6 2 2 3 2 2" xfId="19417"/>
    <cellStyle name="20% - Accent6 2 2 3 2 3" xfId="19418"/>
    <cellStyle name="20% - Accent6 2 2 3 3" xfId="19419"/>
    <cellStyle name="20% - Accent6 2 2 3 4" xfId="19420"/>
    <cellStyle name="20% - Accent6 2 2 3 5" xfId="19421"/>
    <cellStyle name="20% - Accent6 2 2 4" xfId="208"/>
    <cellStyle name="20% - Accent6 2 2 4 2" xfId="19422"/>
    <cellStyle name="20% - Accent6 2 2 4 3" xfId="19423"/>
    <cellStyle name="20% - Accent6 2 2 4 4" xfId="19424"/>
    <cellStyle name="20% - Accent6 2 2 5" xfId="19425"/>
    <cellStyle name="20% - Accent6 2 2 5 2" xfId="19426"/>
    <cellStyle name="20% - Accent6 2 2 6" xfId="19427"/>
    <cellStyle name="20% - Accent6 2 2 7" xfId="19428"/>
    <cellStyle name="20% - Accent6 2 2 8" xfId="19429"/>
    <cellStyle name="20% - Accent6 2 3" xfId="209"/>
    <cellStyle name="20% - Accent6 2 3 2" xfId="210"/>
    <cellStyle name="20% - Accent6 2 3 2 2" xfId="211"/>
    <cellStyle name="20% - Accent6 2 3 2 2 2" xfId="12641"/>
    <cellStyle name="20% - Accent6 2 3 2 2 3" xfId="19430"/>
    <cellStyle name="20% - Accent6 2 3 2 3" xfId="12642"/>
    <cellStyle name="20% - Accent6 2 3 2 4" xfId="19431"/>
    <cellStyle name="20% - Accent6 2 3 2 5" xfId="19432"/>
    <cellStyle name="20% - Accent6 2 3 3" xfId="212"/>
    <cellStyle name="20% - Accent6 2 3 3 2" xfId="12643"/>
    <cellStyle name="20% - Accent6 2 3 3 3" xfId="19433"/>
    <cellStyle name="20% - Accent6 2 3 3 4" xfId="19434"/>
    <cellStyle name="20% - Accent6 2 3 4" xfId="12644"/>
    <cellStyle name="20% - Accent6 2 3 5" xfId="19435"/>
    <cellStyle name="20% - Accent6 2 3 6" xfId="19436"/>
    <cellStyle name="20% - Accent6 2 3 7" xfId="19437"/>
    <cellStyle name="20% - Accent6 2 4" xfId="213"/>
    <cellStyle name="20% - Accent6 2 4 2" xfId="214"/>
    <cellStyle name="20% - Accent6 2 4 2 2" xfId="12645"/>
    <cellStyle name="20% - Accent6 2 4 2 3" xfId="19438"/>
    <cellStyle name="20% - Accent6 2 4 2 4" xfId="19439"/>
    <cellStyle name="20% - Accent6 2 4 3" xfId="12646"/>
    <cellStyle name="20% - Accent6 2 4 3 2" xfId="12647"/>
    <cellStyle name="20% - Accent6 2 4 4" xfId="12648"/>
    <cellStyle name="20% - Accent6 2 4 5" xfId="19440"/>
    <cellStyle name="20% - Accent6 2 4 6" xfId="19441"/>
    <cellStyle name="20% - Accent6 2 5" xfId="215"/>
    <cellStyle name="20% - Accent6 2 5 2" xfId="12649"/>
    <cellStyle name="20% - Accent6 2 5 3" xfId="19442"/>
    <cellStyle name="20% - Accent6 2 5 4" xfId="19443"/>
    <cellStyle name="20% - Accent6 2 6" xfId="216"/>
    <cellStyle name="20% - Accent6 2 6 2" xfId="18258"/>
    <cellStyle name="20% - Accent6 2 6 2 2" xfId="19444"/>
    <cellStyle name="20% - Accent6 2 6 2 3" xfId="19445"/>
    <cellStyle name="20% - Accent6 2 6 2 4" xfId="19446"/>
    <cellStyle name="20% - Accent6 2 6 3" xfId="19447"/>
    <cellStyle name="20% - Accent6 2 6 3 2" xfId="19448"/>
    <cellStyle name="20% - Accent6 2 6 3 3" xfId="19449"/>
    <cellStyle name="20% - Accent6 2 6 4" xfId="19450"/>
    <cellStyle name="20% - Accent6 2 6 4 2" xfId="19451"/>
    <cellStyle name="20% - Accent6 2 6 5" xfId="19452"/>
    <cellStyle name="20% - Accent6 2 6 6" xfId="19453"/>
    <cellStyle name="20% - Accent6 2 6 7" xfId="19454"/>
    <cellStyle name="20% - Accent6 2 6 8" xfId="19455"/>
    <cellStyle name="20% - Accent6 2 7" xfId="217"/>
    <cellStyle name="20% - Accent6 2 7 2" xfId="19456"/>
    <cellStyle name="20% - Accent6 2 7 3" xfId="19457"/>
    <cellStyle name="20% - Accent6 2 7 4" xfId="19458"/>
    <cellStyle name="20% - Accent6 2 8" xfId="218"/>
    <cellStyle name="20% - Accent6 2 8 2" xfId="19459"/>
    <cellStyle name="20% - Accent6 2 9" xfId="19460"/>
    <cellStyle name="20% - Accent6 2 9 2" xfId="19461"/>
    <cellStyle name="20% - Accent6 2_12PCORC Wind Vestas and Royalties" xfId="12650"/>
    <cellStyle name="20% - Accent6 3" xfId="219"/>
    <cellStyle name="20% - Accent6 3 2" xfId="220"/>
    <cellStyle name="20% - Accent6 3 2 2" xfId="221"/>
    <cellStyle name="20% - Accent6 3 2 2 2" xfId="12651"/>
    <cellStyle name="20% - Accent6 3 2 2 3" xfId="19462"/>
    <cellStyle name="20% - Accent6 3 2 2 4" xfId="19463"/>
    <cellStyle name="20% - Accent6 3 2 3" xfId="222"/>
    <cellStyle name="20% - Accent6 3 2 3 2" xfId="12652"/>
    <cellStyle name="20% - Accent6 3 2 3 3" xfId="19464"/>
    <cellStyle name="20% - Accent6 3 2 3 4" xfId="19465"/>
    <cellStyle name="20% - Accent6 3 2 4" xfId="12653"/>
    <cellStyle name="20% - Accent6 3 2 4 2" xfId="12654"/>
    <cellStyle name="20% - Accent6 3 2 5" xfId="12655"/>
    <cellStyle name="20% - Accent6 3 2 6" xfId="19466"/>
    <cellStyle name="20% - Accent6 3 2 7" xfId="19467"/>
    <cellStyle name="20% - Accent6 3 3" xfId="223"/>
    <cellStyle name="20% - Accent6 3 3 2" xfId="224"/>
    <cellStyle name="20% - Accent6 3 3 2 2" xfId="12656"/>
    <cellStyle name="20% - Accent6 3 3 2 3" xfId="12657"/>
    <cellStyle name="20% - Accent6 3 3 2 3 2" xfId="18382"/>
    <cellStyle name="20% - Accent6 3 3 2 4" xfId="19468"/>
    <cellStyle name="20% - Accent6 3 3 3" xfId="12658"/>
    <cellStyle name="20% - Accent6 3 3 3 2" xfId="19469"/>
    <cellStyle name="20% - Accent6 3 3 4" xfId="12659"/>
    <cellStyle name="20% - Accent6 3 3 4 2" xfId="18383"/>
    <cellStyle name="20% - Accent6 3 3 5" xfId="19470"/>
    <cellStyle name="20% - Accent6 3 3 6" xfId="19471"/>
    <cellStyle name="20% - Accent6 3 4" xfId="225"/>
    <cellStyle name="20% - Accent6 3 4 2" xfId="12660"/>
    <cellStyle name="20% - Accent6 3 4 3" xfId="19472"/>
    <cellStyle name="20% - Accent6 3 4 4" xfId="19473"/>
    <cellStyle name="20% - Accent6 3 5" xfId="226"/>
    <cellStyle name="20% - Accent6 3 5 2" xfId="19474"/>
    <cellStyle name="20% - Accent6 3 6" xfId="19475"/>
    <cellStyle name="20% - Accent6 3 7" xfId="19476"/>
    <cellStyle name="20% - Accent6 3 8" xfId="19477"/>
    <cellStyle name="20% - Accent6 4" xfId="227"/>
    <cellStyle name="20% - Accent6 4 2" xfId="228"/>
    <cellStyle name="20% - Accent6 4 2 2" xfId="229"/>
    <cellStyle name="20% - Accent6 4 2 2 2" xfId="12661"/>
    <cellStyle name="20% - Accent6 4 2 2 3" xfId="19478"/>
    <cellStyle name="20% - Accent6 4 2 2 4" xfId="19479"/>
    <cellStyle name="20% - Accent6 4 2 3" xfId="12662"/>
    <cellStyle name="20% - Accent6 4 2 3 2" xfId="19480"/>
    <cellStyle name="20% - Accent6 4 2 4" xfId="19481"/>
    <cellStyle name="20% - Accent6 4 2 5" xfId="19482"/>
    <cellStyle name="20% - Accent6 4 2 6" xfId="19483"/>
    <cellStyle name="20% - Accent6 4 3" xfId="230"/>
    <cellStyle name="20% - Accent6 4 3 2" xfId="231"/>
    <cellStyle name="20% - Accent6 4 3 3" xfId="19484"/>
    <cellStyle name="20% - Accent6 4 3 4" xfId="19485"/>
    <cellStyle name="20% - Accent6 4 4" xfId="232"/>
    <cellStyle name="20% - Accent6 4 4 2" xfId="19486"/>
    <cellStyle name="20% - Accent6 4 4 3" xfId="19487"/>
    <cellStyle name="20% - Accent6 4 4 4" xfId="19488"/>
    <cellStyle name="20% - Accent6 4 5" xfId="233"/>
    <cellStyle name="20% - Accent6 4 5 2" xfId="19489"/>
    <cellStyle name="20% - Accent6 4 6" xfId="19490"/>
    <cellStyle name="20% - Accent6 4 6 2" xfId="19491"/>
    <cellStyle name="20% - Accent6 4 7" xfId="19492"/>
    <cellStyle name="20% - Accent6 4 8" xfId="19493"/>
    <cellStyle name="20% - Accent6 5" xfId="234"/>
    <cellStyle name="20% - Accent6 5 2" xfId="235"/>
    <cellStyle name="20% - Accent6 5 2 2" xfId="12663"/>
    <cellStyle name="20% - Accent6 5 2 2 2" xfId="19494"/>
    <cellStyle name="20% - Accent6 5 2 2 2 2" xfId="19495"/>
    <cellStyle name="20% - Accent6 5 2 2 2 3" xfId="19496"/>
    <cellStyle name="20% - Accent6 5 2 2 3" xfId="19497"/>
    <cellStyle name="20% - Accent6 5 2 2 3 2" xfId="19498"/>
    <cellStyle name="20% - Accent6 5 2 2 4" xfId="19499"/>
    <cellStyle name="20% - Accent6 5 2 2 5" xfId="19500"/>
    <cellStyle name="20% - Accent6 5 2 3" xfId="19501"/>
    <cellStyle name="20% - Accent6 5 2 4" xfId="19502"/>
    <cellStyle name="20% - Accent6 5 3" xfId="236"/>
    <cellStyle name="20% - Accent6 5 3 2" xfId="12664"/>
    <cellStyle name="20% - Accent6 5 3 3" xfId="19503"/>
    <cellStyle name="20% - Accent6 5 3 4" xfId="19504"/>
    <cellStyle name="20% - Accent6 5 4" xfId="12665"/>
    <cellStyle name="20% - Accent6 5 4 2" xfId="12666"/>
    <cellStyle name="20% - Accent6 5 5" xfId="12667"/>
    <cellStyle name="20% - Accent6 5 5 2" xfId="19505"/>
    <cellStyle name="20% - Accent6 5 5 2 2" xfId="19506"/>
    <cellStyle name="20% - Accent6 5 5 2 3" xfId="19507"/>
    <cellStyle name="20% - Accent6 5 5 3" xfId="19508"/>
    <cellStyle name="20% - Accent6 5 5 3 2" xfId="19509"/>
    <cellStyle name="20% - Accent6 5 5 4" xfId="19510"/>
    <cellStyle name="20% - Accent6 5 5 5" xfId="19511"/>
    <cellStyle name="20% - Accent6 5 6" xfId="19512"/>
    <cellStyle name="20% - Accent6 5 6 2" xfId="19513"/>
    <cellStyle name="20% - Accent6 5 6 2 2" xfId="19514"/>
    <cellStyle name="20% - Accent6 5 6 2 3" xfId="19515"/>
    <cellStyle name="20% - Accent6 5 6 3" xfId="19516"/>
    <cellStyle name="20% - Accent6 5 6 3 2" xfId="19517"/>
    <cellStyle name="20% - Accent6 5 6 4" xfId="19518"/>
    <cellStyle name="20% - Accent6 5 6 5" xfId="19519"/>
    <cellStyle name="20% - Accent6 5 6 6" xfId="19520"/>
    <cellStyle name="20% - Accent6 5 6 7" xfId="19521"/>
    <cellStyle name="20% - Accent6 5 7" xfId="19522"/>
    <cellStyle name="20% - Accent6 5 7 2" xfId="19523"/>
    <cellStyle name="20% - Accent6 5 7 2 2" xfId="19524"/>
    <cellStyle name="20% - Accent6 5 7 3" xfId="19525"/>
    <cellStyle name="20% - Accent6 5 7 4" xfId="19526"/>
    <cellStyle name="20% - Accent6 5 8" xfId="19527"/>
    <cellStyle name="20% - Accent6 5 8 2" xfId="19528"/>
    <cellStyle name="20% - Accent6 5 9" xfId="19529"/>
    <cellStyle name="20% - Accent6 6" xfId="237"/>
    <cellStyle name="20% - Accent6 6 2" xfId="238"/>
    <cellStyle name="20% - Accent6 6 2 2" xfId="12668"/>
    <cellStyle name="20% - Accent6 6 2 3" xfId="12669"/>
    <cellStyle name="20% - Accent6 6 2 3 2" xfId="18384"/>
    <cellStyle name="20% - Accent6 6 2 4" xfId="19530"/>
    <cellStyle name="20% - Accent6 6 3" xfId="12670"/>
    <cellStyle name="20% - Accent6 6 3 2" xfId="12671"/>
    <cellStyle name="20% - Accent6 6 4" xfId="12672"/>
    <cellStyle name="20% - Accent6 6 4 2" xfId="19531"/>
    <cellStyle name="20% - Accent6 6 4 2 2" xfId="19532"/>
    <cellStyle name="20% - Accent6 6 4 3" xfId="19533"/>
    <cellStyle name="20% - Accent6 6 4 4" xfId="19534"/>
    <cellStyle name="20% - Accent6 6 4 5" xfId="19535"/>
    <cellStyle name="20% - Accent6 6 4 6" xfId="19536"/>
    <cellStyle name="20% - Accent6 6 5" xfId="12673"/>
    <cellStyle name="20% - Accent6 6 5 2" xfId="18385"/>
    <cellStyle name="20% - Accent6 6 5 3" xfId="19537"/>
    <cellStyle name="20% - Accent6 6 5 4" xfId="19538"/>
    <cellStyle name="20% - Accent6 6 5 5" xfId="19539"/>
    <cellStyle name="20% - Accent6 6 6" xfId="19540"/>
    <cellStyle name="20% - Accent6 6 7" xfId="19541"/>
    <cellStyle name="20% - Accent6 6 8" xfId="19542"/>
    <cellStyle name="20% - Accent6 6 9" xfId="19543"/>
    <cellStyle name="20% - Accent6 7" xfId="239"/>
    <cellStyle name="20% - Accent6 7 2" xfId="12674"/>
    <cellStyle name="20% - Accent6 7 2 2" xfId="19544"/>
    <cellStyle name="20% - Accent6 7 2 2 2" xfId="19545"/>
    <cellStyle name="20% - Accent6 7 2 3" xfId="19546"/>
    <cellStyle name="20% - Accent6 7 2 4" xfId="19547"/>
    <cellStyle name="20% - Accent6 7 3" xfId="19548"/>
    <cellStyle name="20% - Accent6 7 3 2" xfId="19549"/>
    <cellStyle name="20% - Accent6 7 3 3" xfId="19550"/>
    <cellStyle name="20% - Accent6 7 4" xfId="19551"/>
    <cellStyle name="20% - Accent6 7 4 2" xfId="19552"/>
    <cellStyle name="20% - Accent6 7 4 3" xfId="19553"/>
    <cellStyle name="20% - Accent6 7 5" xfId="19554"/>
    <cellStyle name="20% - Accent6 7 6" xfId="19555"/>
    <cellStyle name="20% - Accent6 8" xfId="12675"/>
    <cellStyle name="20% - Accent6 8 2" xfId="12676"/>
    <cellStyle name="20% - Accent6 8 2 2" xfId="19556"/>
    <cellStyle name="20% - Accent6 8 2 2 2" xfId="19557"/>
    <cellStyle name="20% - Accent6 8 2 3" xfId="19558"/>
    <cellStyle name="20% - Accent6 8 2 4" xfId="19559"/>
    <cellStyle name="20% - Accent6 8 3" xfId="19560"/>
    <cellStyle name="20% - Accent6 8 3 2" xfId="19561"/>
    <cellStyle name="20% - Accent6 8 3 2 2" xfId="19562"/>
    <cellStyle name="20% - Accent6 8 3 3" xfId="19563"/>
    <cellStyle name="20% - Accent6 8 3 4" xfId="19564"/>
    <cellStyle name="20% - Accent6 8 4" xfId="19565"/>
    <cellStyle name="20% - Accent6 9" xfId="12677"/>
    <cellStyle name="20% - Accent6 9 2" xfId="12678"/>
    <cellStyle name="20% - Accent6 9 2 2" xfId="19566"/>
    <cellStyle name="20% - Accent6 9 2 3" xfId="19567"/>
    <cellStyle name="20% - Accent6 9 3" xfId="19568"/>
    <cellStyle name="20% - Accent6 9 4" xfId="19569"/>
    <cellStyle name="20% - Accent6 9 5" xfId="19570"/>
    <cellStyle name="40% - Accent1 10" xfId="12679"/>
    <cellStyle name="40% - Accent1 10 2" xfId="12680"/>
    <cellStyle name="40% - Accent1 10 2 2" xfId="19571"/>
    <cellStyle name="40% - Accent1 10 2 3" xfId="19572"/>
    <cellStyle name="40% - Accent1 11" xfId="12681"/>
    <cellStyle name="40% - Accent1 11 2" xfId="12682"/>
    <cellStyle name="40% - Accent1 11 2 2" xfId="18387"/>
    <cellStyle name="40% - Accent1 11 3" xfId="18386"/>
    <cellStyle name="40% - Accent1 12" xfId="12683"/>
    <cellStyle name="40% - Accent1 12 2" xfId="18388"/>
    <cellStyle name="40% - Accent1 2" xfId="240"/>
    <cellStyle name="40% - Accent1 2 10" xfId="19573"/>
    <cellStyle name="40% - Accent1 2 11" xfId="19574"/>
    <cellStyle name="40% - Accent1 2 12" xfId="19575"/>
    <cellStyle name="40% - Accent1 2 12 2" xfId="19576"/>
    <cellStyle name="40% - Accent1 2 2" xfId="241"/>
    <cellStyle name="40% - Accent1 2 2 2" xfId="242"/>
    <cellStyle name="40% - Accent1 2 2 2 2" xfId="243"/>
    <cellStyle name="40% - Accent1 2 2 2 2 2" xfId="12684"/>
    <cellStyle name="40% - Accent1 2 2 2 2 3" xfId="19577"/>
    <cellStyle name="40% - Accent1 2 2 2 3" xfId="12685"/>
    <cellStyle name="40% - Accent1 2 2 2 4" xfId="19578"/>
    <cellStyle name="40% - Accent1 2 2 2 5" xfId="19579"/>
    <cellStyle name="40% - Accent1 2 2 3" xfId="244"/>
    <cellStyle name="40% - Accent1 2 2 3 2" xfId="245"/>
    <cellStyle name="40% - Accent1 2 2 3 2 2" xfId="19580"/>
    <cellStyle name="40% - Accent1 2 2 3 2 3" xfId="19581"/>
    <cellStyle name="40% - Accent1 2 2 3 3" xfId="19582"/>
    <cellStyle name="40% - Accent1 2 2 3 4" xfId="19583"/>
    <cellStyle name="40% - Accent1 2 2 3 5" xfId="19584"/>
    <cellStyle name="40% - Accent1 2 2 4" xfId="246"/>
    <cellStyle name="40% - Accent1 2 2 4 2" xfId="19585"/>
    <cellStyle name="40% - Accent1 2 2 4 3" xfId="19586"/>
    <cellStyle name="40% - Accent1 2 2 4 4" xfId="19587"/>
    <cellStyle name="40% - Accent1 2 2 5" xfId="19588"/>
    <cellStyle name="40% - Accent1 2 2 5 2" xfId="19589"/>
    <cellStyle name="40% - Accent1 2 2 6" xfId="19590"/>
    <cellStyle name="40% - Accent1 2 2 7" xfId="19591"/>
    <cellStyle name="40% - Accent1 2 2 8" xfId="19592"/>
    <cellStyle name="40% - Accent1 2 3" xfId="247"/>
    <cellStyle name="40% - Accent1 2 3 2" xfId="248"/>
    <cellStyle name="40% - Accent1 2 3 2 2" xfId="249"/>
    <cellStyle name="40% - Accent1 2 3 2 2 2" xfId="12686"/>
    <cellStyle name="40% - Accent1 2 3 2 2 3" xfId="19593"/>
    <cellStyle name="40% - Accent1 2 3 2 3" xfId="12687"/>
    <cellStyle name="40% - Accent1 2 3 2 4" xfId="19594"/>
    <cellStyle name="40% - Accent1 2 3 2 5" xfId="19595"/>
    <cellStyle name="40% - Accent1 2 3 3" xfId="250"/>
    <cellStyle name="40% - Accent1 2 3 3 2" xfId="12688"/>
    <cellStyle name="40% - Accent1 2 3 3 3" xfId="19596"/>
    <cellStyle name="40% - Accent1 2 3 3 4" xfId="19597"/>
    <cellStyle name="40% - Accent1 2 3 4" xfId="12689"/>
    <cellStyle name="40% - Accent1 2 3 5" xfId="19598"/>
    <cellStyle name="40% - Accent1 2 3 6" xfId="19599"/>
    <cellStyle name="40% - Accent1 2 3 7" xfId="19600"/>
    <cellStyle name="40% - Accent1 2 4" xfId="251"/>
    <cellStyle name="40% - Accent1 2 4 2" xfId="252"/>
    <cellStyle name="40% - Accent1 2 4 2 2" xfId="12690"/>
    <cellStyle name="40% - Accent1 2 4 2 3" xfId="19601"/>
    <cellStyle name="40% - Accent1 2 4 2 4" xfId="19602"/>
    <cellStyle name="40% - Accent1 2 4 3" xfId="12691"/>
    <cellStyle name="40% - Accent1 2 4 3 2" xfId="12692"/>
    <cellStyle name="40% - Accent1 2 4 4" xfId="12693"/>
    <cellStyle name="40% - Accent1 2 4 5" xfId="19603"/>
    <cellStyle name="40% - Accent1 2 4 6" xfId="19604"/>
    <cellStyle name="40% - Accent1 2 5" xfId="253"/>
    <cellStyle name="40% - Accent1 2 5 2" xfId="12694"/>
    <cellStyle name="40% - Accent1 2 5 3" xfId="19605"/>
    <cellStyle name="40% - Accent1 2 5 4" xfId="19606"/>
    <cellStyle name="40% - Accent1 2 6" xfId="254"/>
    <cellStyle name="40% - Accent1 2 6 2" xfId="18259"/>
    <cellStyle name="40% - Accent1 2 6 2 2" xfId="19607"/>
    <cellStyle name="40% - Accent1 2 6 2 3" xfId="19608"/>
    <cellStyle name="40% - Accent1 2 6 2 4" xfId="19609"/>
    <cellStyle name="40% - Accent1 2 6 3" xfId="19610"/>
    <cellStyle name="40% - Accent1 2 6 3 2" xfId="19611"/>
    <cellStyle name="40% - Accent1 2 6 3 3" xfId="19612"/>
    <cellStyle name="40% - Accent1 2 6 4" xfId="19613"/>
    <cellStyle name="40% - Accent1 2 6 4 2" xfId="19614"/>
    <cellStyle name="40% - Accent1 2 6 5" xfId="19615"/>
    <cellStyle name="40% - Accent1 2 6 6" xfId="19616"/>
    <cellStyle name="40% - Accent1 2 6 7" xfId="19617"/>
    <cellStyle name="40% - Accent1 2 6 8" xfId="19618"/>
    <cellStyle name="40% - Accent1 2 7" xfId="255"/>
    <cellStyle name="40% - Accent1 2 7 2" xfId="19619"/>
    <cellStyle name="40% - Accent1 2 7 3" xfId="19620"/>
    <cellStyle name="40% - Accent1 2 7 4" xfId="19621"/>
    <cellStyle name="40% - Accent1 2 8" xfId="256"/>
    <cellStyle name="40% - Accent1 2 8 2" xfId="19622"/>
    <cellStyle name="40% - Accent1 2 9" xfId="19623"/>
    <cellStyle name="40% - Accent1 2 9 2" xfId="19624"/>
    <cellStyle name="40% - Accent1 2_12PCORC Wind Vestas and Royalties" xfId="12695"/>
    <cellStyle name="40% - Accent1 3" xfId="257"/>
    <cellStyle name="40% - Accent1 3 2" xfId="258"/>
    <cellStyle name="40% - Accent1 3 2 2" xfId="259"/>
    <cellStyle name="40% - Accent1 3 2 2 2" xfId="12696"/>
    <cellStyle name="40% - Accent1 3 2 2 3" xfId="19625"/>
    <cellStyle name="40% - Accent1 3 2 2 4" xfId="19626"/>
    <cellStyle name="40% - Accent1 3 2 3" xfId="260"/>
    <cellStyle name="40% - Accent1 3 2 3 2" xfId="12697"/>
    <cellStyle name="40% - Accent1 3 2 3 3" xfId="19627"/>
    <cellStyle name="40% - Accent1 3 2 3 4" xfId="19628"/>
    <cellStyle name="40% - Accent1 3 2 4" xfId="12698"/>
    <cellStyle name="40% - Accent1 3 2 4 2" xfId="12699"/>
    <cellStyle name="40% - Accent1 3 2 5" xfId="12700"/>
    <cellStyle name="40% - Accent1 3 2 6" xfId="19629"/>
    <cellStyle name="40% - Accent1 3 2 7" xfId="19630"/>
    <cellStyle name="40% - Accent1 3 3" xfId="261"/>
    <cellStyle name="40% - Accent1 3 3 2" xfId="262"/>
    <cellStyle name="40% - Accent1 3 3 2 2" xfId="12701"/>
    <cellStyle name="40% - Accent1 3 3 2 3" xfId="12702"/>
    <cellStyle name="40% - Accent1 3 3 2 3 2" xfId="18389"/>
    <cellStyle name="40% - Accent1 3 3 2 4" xfId="19631"/>
    <cellStyle name="40% - Accent1 3 3 3" xfId="12703"/>
    <cellStyle name="40% - Accent1 3 3 3 2" xfId="19632"/>
    <cellStyle name="40% - Accent1 3 3 4" xfId="12704"/>
    <cellStyle name="40% - Accent1 3 3 4 2" xfId="18390"/>
    <cellStyle name="40% - Accent1 3 3 5" xfId="19633"/>
    <cellStyle name="40% - Accent1 3 3 6" xfId="19634"/>
    <cellStyle name="40% - Accent1 3 4" xfId="263"/>
    <cellStyle name="40% - Accent1 3 4 2" xfId="12705"/>
    <cellStyle name="40% - Accent1 3 4 3" xfId="19635"/>
    <cellStyle name="40% - Accent1 3 4 4" xfId="19636"/>
    <cellStyle name="40% - Accent1 3 5" xfId="264"/>
    <cellStyle name="40% - Accent1 3 5 2" xfId="19637"/>
    <cellStyle name="40% - Accent1 3 6" xfId="19638"/>
    <cellStyle name="40% - Accent1 3 7" xfId="19639"/>
    <cellStyle name="40% - Accent1 3 8" xfId="19640"/>
    <cellStyle name="40% - Accent1 4" xfId="265"/>
    <cellStyle name="40% - Accent1 4 2" xfId="266"/>
    <cellStyle name="40% - Accent1 4 2 2" xfId="267"/>
    <cellStyle name="40% - Accent1 4 2 2 2" xfId="12706"/>
    <cellStyle name="40% - Accent1 4 2 2 3" xfId="19641"/>
    <cellStyle name="40% - Accent1 4 2 2 4" xfId="19642"/>
    <cellStyle name="40% - Accent1 4 2 3" xfId="12707"/>
    <cellStyle name="40% - Accent1 4 2 3 2" xfId="19643"/>
    <cellStyle name="40% - Accent1 4 2 4" xfId="19644"/>
    <cellStyle name="40% - Accent1 4 2 5" xfId="19645"/>
    <cellStyle name="40% - Accent1 4 2 6" xfId="19646"/>
    <cellStyle name="40% - Accent1 4 3" xfId="268"/>
    <cellStyle name="40% - Accent1 4 3 2" xfId="269"/>
    <cellStyle name="40% - Accent1 4 3 3" xfId="19647"/>
    <cellStyle name="40% - Accent1 4 3 4" xfId="19648"/>
    <cellStyle name="40% - Accent1 4 4" xfId="270"/>
    <cellStyle name="40% - Accent1 4 4 2" xfId="19649"/>
    <cellStyle name="40% - Accent1 4 4 3" xfId="19650"/>
    <cellStyle name="40% - Accent1 4 4 4" xfId="19651"/>
    <cellStyle name="40% - Accent1 4 5" xfId="271"/>
    <cellStyle name="40% - Accent1 4 5 2" xfId="19652"/>
    <cellStyle name="40% - Accent1 4 6" xfId="19653"/>
    <cellStyle name="40% - Accent1 4 6 2" xfId="19654"/>
    <cellStyle name="40% - Accent1 4 7" xfId="19655"/>
    <cellStyle name="40% - Accent1 4 8" xfId="19656"/>
    <cellStyle name="40% - Accent1 5" xfId="272"/>
    <cellStyle name="40% - Accent1 5 2" xfId="273"/>
    <cellStyle name="40% - Accent1 5 2 2" xfId="12708"/>
    <cellStyle name="40% - Accent1 5 2 2 2" xfId="19657"/>
    <cellStyle name="40% - Accent1 5 2 2 2 2" xfId="19658"/>
    <cellStyle name="40% - Accent1 5 2 2 2 3" xfId="19659"/>
    <cellStyle name="40% - Accent1 5 2 2 3" xfId="19660"/>
    <cellStyle name="40% - Accent1 5 2 2 3 2" xfId="19661"/>
    <cellStyle name="40% - Accent1 5 2 2 4" xfId="19662"/>
    <cellStyle name="40% - Accent1 5 2 2 5" xfId="19663"/>
    <cellStyle name="40% - Accent1 5 2 3" xfId="19664"/>
    <cellStyle name="40% - Accent1 5 2 4" xfId="19665"/>
    <cellStyle name="40% - Accent1 5 3" xfId="274"/>
    <cellStyle name="40% - Accent1 5 3 2" xfId="12709"/>
    <cellStyle name="40% - Accent1 5 3 3" xfId="19666"/>
    <cellStyle name="40% - Accent1 5 3 4" xfId="19667"/>
    <cellStyle name="40% - Accent1 5 4" xfId="12710"/>
    <cellStyle name="40% - Accent1 5 4 2" xfId="12711"/>
    <cellStyle name="40% - Accent1 5 5" xfId="12712"/>
    <cellStyle name="40% - Accent1 5 5 2" xfId="19668"/>
    <cellStyle name="40% - Accent1 5 5 2 2" xfId="19669"/>
    <cellStyle name="40% - Accent1 5 5 2 3" xfId="19670"/>
    <cellStyle name="40% - Accent1 5 5 3" xfId="19671"/>
    <cellStyle name="40% - Accent1 5 5 3 2" xfId="19672"/>
    <cellStyle name="40% - Accent1 5 5 4" xfId="19673"/>
    <cellStyle name="40% - Accent1 5 5 5" xfId="19674"/>
    <cellStyle name="40% - Accent1 5 6" xfId="19675"/>
    <cellStyle name="40% - Accent1 5 6 2" xfId="19676"/>
    <cellStyle name="40% - Accent1 5 6 2 2" xfId="19677"/>
    <cellStyle name="40% - Accent1 5 6 2 3" xfId="19678"/>
    <cellStyle name="40% - Accent1 5 6 3" xfId="19679"/>
    <cellStyle name="40% - Accent1 5 6 3 2" xfId="19680"/>
    <cellStyle name="40% - Accent1 5 6 4" xfId="19681"/>
    <cellStyle name="40% - Accent1 5 6 5" xfId="19682"/>
    <cellStyle name="40% - Accent1 5 6 6" xfId="19683"/>
    <cellStyle name="40% - Accent1 5 6 7" xfId="19684"/>
    <cellStyle name="40% - Accent1 5 7" xfId="19685"/>
    <cellStyle name="40% - Accent1 5 7 2" xfId="19686"/>
    <cellStyle name="40% - Accent1 5 7 2 2" xfId="19687"/>
    <cellStyle name="40% - Accent1 5 7 3" xfId="19688"/>
    <cellStyle name="40% - Accent1 5 7 4" xfId="19689"/>
    <cellStyle name="40% - Accent1 5 8" xfId="19690"/>
    <cellStyle name="40% - Accent1 5 8 2" xfId="19691"/>
    <cellStyle name="40% - Accent1 5 9" xfId="19692"/>
    <cellStyle name="40% - Accent1 6" xfId="275"/>
    <cellStyle name="40% - Accent1 6 2" xfId="276"/>
    <cellStyle name="40% - Accent1 6 2 2" xfId="12713"/>
    <cellStyle name="40% - Accent1 6 2 3" xfId="12714"/>
    <cellStyle name="40% - Accent1 6 2 3 2" xfId="18391"/>
    <cellStyle name="40% - Accent1 6 2 4" xfId="19693"/>
    <cellStyle name="40% - Accent1 6 3" xfId="12715"/>
    <cellStyle name="40% - Accent1 6 3 2" xfId="12716"/>
    <cellStyle name="40% - Accent1 6 4" xfId="12717"/>
    <cellStyle name="40% - Accent1 6 4 2" xfId="19694"/>
    <cellStyle name="40% - Accent1 6 4 2 2" xfId="19695"/>
    <cellStyle name="40% - Accent1 6 4 3" xfId="19696"/>
    <cellStyle name="40% - Accent1 6 4 4" xfId="19697"/>
    <cellStyle name="40% - Accent1 6 4 5" xfId="19698"/>
    <cellStyle name="40% - Accent1 6 4 6" xfId="19699"/>
    <cellStyle name="40% - Accent1 6 5" xfId="12718"/>
    <cellStyle name="40% - Accent1 6 5 2" xfId="18392"/>
    <cellStyle name="40% - Accent1 6 5 3" xfId="19700"/>
    <cellStyle name="40% - Accent1 6 5 4" xfId="19701"/>
    <cellStyle name="40% - Accent1 6 5 5" xfId="19702"/>
    <cellStyle name="40% - Accent1 6 6" xfId="19703"/>
    <cellStyle name="40% - Accent1 6 7" xfId="19704"/>
    <cellStyle name="40% - Accent1 6 8" xfId="19705"/>
    <cellStyle name="40% - Accent1 6 9" xfId="19706"/>
    <cellStyle name="40% - Accent1 7" xfId="277"/>
    <cellStyle name="40% - Accent1 7 2" xfId="12719"/>
    <cellStyle name="40% - Accent1 7 2 2" xfId="19707"/>
    <cellStyle name="40% - Accent1 7 2 2 2" xfId="19708"/>
    <cellStyle name="40% - Accent1 7 2 3" xfId="19709"/>
    <cellStyle name="40% - Accent1 7 2 4" xfId="19710"/>
    <cellStyle name="40% - Accent1 7 3" xfId="19711"/>
    <cellStyle name="40% - Accent1 7 3 2" xfId="19712"/>
    <cellStyle name="40% - Accent1 7 3 3" xfId="19713"/>
    <cellStyle name="40% - Accent1 7 4" xfId="19714"/>
    <cellStyle name="40% - Accent1 7 4 2" xfId="19715"/>
    <cellStyle name="40% - Accent1 7 4 3" xfId="19716"/>
    <cellStyle name="40% - Accent1 7 5" xfId="19717"/>
    <cellStyle name="40% - Accent1 7 6" xfId="19718"/>
    <cellStyle name="40% - Accent1 8" xfId="12720"/>
    <cellStyle name="40% - Accent1 8 2" xfId="12721"/>
    <cellStyle name="40% - Accent1 8 2 2" xfId="19719"/>
    <cellStyle name="40% - Accent1 8 2 2 2" xfId="19720"/>
    <cellStyle name="40% - Accent1 8 2 3" xfId="19721"/>
    <cellStyle name="40% - Accent1 8 2 4" xfId="19722"/>
    <cellStyle name="40% - Accent1 8 3" xfId="19723"/>
    <cellStyle name="40% - Accent1 8 3 2" xfId="19724"/>
    <cellStyle name="40% - Accent1 8 3 2 2" xfId="19725"/>
    <cellStyle name="40% - Accent1 8 3 3" xfId="19726"/>
    <cellStyle name="40% - Accent1 8 3 4" xfId="19727"/>
    <cellStyle name="40% - Accent1 8 4" xfId="19728"/>
    <cellStyle name="40% - Accent1 9" xfId="12722"/>
    <cellStyle name="40% - Accent1 9 2" xfId="12723"/>
    <cellStyle name="40% - Accent1 9 2 2" xfId="19729"/>
    <cellStyle name="40% - Accent1 9 2 3" xfId="19730"/>
    <cellStyle name="40% - Accent1 9 3" xfId="19731"/>
    <cellStyle name="40% - Accent1 9 4" xfId="19732"/>
    <cellStyle name="40% - Accent1 9 5" xfId="19733"/>
    <cellStyle name="40% - Accent2 10" xfId="12724"/>
    <cellStyle name="40% - Accent2 10 2" xfId="12725"/>
    <cellStyle name="40% - Accent2 10 2 2" xfId="19734"/>
    <cellStyle name="40% - Accent2 10 2 3" xfId="19735"/>
    <cellStyle name="40% - Accent2 11" xfId="12726"/>
    <cellStyle name="40% - Accent2 11 2" xfId="12727"/>
    <cellStyle name="40% - Accent2 11 2 2" xfId="18394"/>
    <cellStyle name="40% - Accent2 11 3" xfId="18393"/>
    <cellStyle name="40% - Accent2 12" xfId="12728"/>
    <cellStyle name="40% - Accent2 12 2" xfId="18395"/>
    <cellStyle name="40% - Accent2 2" xfId="278"/>
    <cellStyle name="40% - Accent2 2 10" xfId="19736"/>
    <cellStyle name="40% - Accent2 2 11" xfId="19737"/>
    <cellStyle name="40% - Accent2 2 12" xfId="19738"/>
    <cellStyle name="40% - Accent2 2 12 2" xfId="19739"/>
    <cellStyle name="40% - Accent2 2 2" xfId="279"/>
    <cellStyle name="40% - Accent2 2 2 2" xfId="280"/>
    <cellStyle name="40% - Accent2 2 2 2 2" xfId="281"/>
    <cellStyle name="40% - Accent2 2 2 2 2 2" xfId="12729"/>
    <cellStyle name="40% - Accent2 2 2 2 2 3" xfId="19740"/>
    <cellStyle name="40% - Accent2 2 2 2 3" xfId="12730"/>
    <cellStyle name="40% - Accent2 2 2 2 4" xfId="19741"/>
    <cellStyle name="40% - Accent2 2 2 2 5" xfId="19742"/>
    <cellStyle name="40% - Accent2 2 2 3" xfId="282"/>
    <cellStyle name="40% - Accent2 2 2 3 2" xfId="283"/>
    <cellStyle name="40% - Accent2 2 2 3 2 2" xfId="19743"/>
    <cellStyle name="40% - Accent2 2 2 3 2 3" xfId="19744"/>
    <cellStyle name="40% - Accent2 2 2 3 3" xfId="19745"/>
    <cellStyle name="40% - Accent2 2 2 3 4" xfId="19746"/>
    <cellStyle name="40% - Accent2 2 2 3 5" xfId="19747"/>
    <cellStyle name="40% - Accent2 2 2 4" xfId="284"/>
    <cellStyle name="40% - Accent2 2 2 4 2" xfId="19748"/>
    <cellStyle name="40% - Accent2 2 2 4 3" xfId="19749"/>
    <cellStyle name="40% - Accent2 2 2 4 4" xfId="19750"/>
    <cellStyle name="40% - Accent2 2 2 5" xfId="19751"/>
    <cellStyle name="40% - Accent2 2 2 5 2" xfId="19752"/>
    <cellStyle name="40% - Accent2 2 2 6" xfId="19753"/>
    <cellStyle name="40% - Accent2 2 2 7" xfId="19754"/>
    <cellStyle name="40% - Accent2 2 2 8" xfId="19755"/>
    <cellStyle name="40% - Accent2 2 3" xfId="285"/>
    <cellStyle name="40% - Accent2 2 3 2" xfId="286"/>
    <cellStyle name="40% - Accent2 2 3 2 2" xfId="287"/>
    <cellStyle name="40% - Accent2 2 3 2 2 2" xfId="12731"/>
    <cellStyle name="40% - Accent2 2 3 2 2 3" xfId="19756"/>
    <cellStyle name="40% - Accent2 2 3 2 3" xfId="12732"/>
    <cellStyle name="40% - Accent2 2 3 2 4" xfId="19757"/>
    <cellStyle name="40% - Accent2 2 3 2 5" xfId="19758"/>
    <cellStyle name="40% - Accent2 2 3 3" xfId="288"/>
    <cellStyle name="40% - Accent2 2 3 3 2" xfId="12733"/>
    <cellStyle name="40% - Accent2 2 3 3 3" xfId="19759"/>
    <cellStyle name="40% - Accent2 2 3 3 4" xfId="19760"/>
    <cellStyle name="40% - Accent2 2 3 4" xfId="12734"/>
    <cellStyle name="40% - Accent2 2 3 5" xfId="19761"/>
    <cellStyle name="40% - Accent2 2 3 6" xfId="19762"/>
    <cellStyle name="40% - Accent2 2 3 7" xfId="19763"/>
    <cellStyle name="40% - Accent2 2 4" xfId="289"/>
    <cellStyle name="40% - Accent2 2 4 2" xfId="290"/>
    <cellStyle name="40% - Accent2 2 4 2 2" xfId="12735"/>
    <cellStyle name="40% - Accent2 2 4 2 3" xfId="19764"/>
    <cellStyle name="40% - Accent2 2 4 2 4" xfId="19765"/>
    <cellStyle name="40% - Accent2 2 4 3" xfId="12736"/>
    <cellStyle name="40% - Accent2 2 4 3 2" xfId="12737"/>
    <cellStyle name="40% - Accent2 2 4 4" xfId="12738"/>
    <cellStyle name="40% - Accent2 2 4 5" xfId="19766"/>
    <cellStyle name="40% - Accent2 2 4 6" xfId="19767"/>
    <cellStyle name="40% - Accent2 2 5" xfId="291"/>
    <cellStyle name="40% - Accent2 2 5 2" xfId="12739"/>
    <cellStyle name="40% - Accent2 2 5 3" xfId="19768"/>
    <cellStyle name="40% - Accent2 2 5 4" xfId="19769"/>
    <cellStyle name="40% - Accent2 2 6" xfId="292"/>
    <cellStyle name="40% - Accent2 2 6 2" xfId="18260"/>
    <cellStyle name="40% - Accent2 2 6 2 2" xfId="19770"/>
    <cellStyle name="40% - Accent2 2 6 2 3" xfId="19771"/>
    <cellStyle name="40% - Accent2 2 6 2 4" xfId="19772"/>
    <cellStyle name="40% - Accent2 2 6 3" xfId="19773"/>
    <cellStyle name="40% - Accent2 2 6 3 2" xfId="19774"/>
    <cellStyle name="40% - Accent2 2 6 3 3" xfId="19775"/>
    <cellStyle name="40% - Accent2 2 6 4" xfId="19776"/>
    <cellStyle name="40% - Accent2 2 6 4 2" xfId="19777"/>
    <cellStyle name="40% - Accent2 2 6 5" xfId="19778"/>
    <cellStyle name="40% - Accent2 2 6 6" xfId="19779"/>
    <cellStyle name="40% - Accent2 2 6 7" xfId="19780"/>
    <cellStyle name="40% - Accent2 2 6 8" xfId="19781"/>
    <cellStyle name="40% - Accent2 2 7" xfId="293"/>
    <cellStyle name="40% - Accent2 2 7 2" xfId="19782"/>
    <cellStyle name="40% - Accent2 2 7 3" xfId="19783"/>
    <cellStyle name="40% - Accent2 2 7 4" xfId="19784"/>
    <cellStyle name="40% - Accent2 2 8" xfId="294"/>
    <cellStyle name="40% - Accent2 2 8 2" xfId="19785"/>
    <cellStyle name="40% - Accent2 2 9" xfId="19786"/>
    <cellStyle name="40% - Accent2 2 9 2" xfId="19787"/>
    <cellStyle name="40% - Accent2 2_12PCORC Wind Vestas and Royalties" xfId="12740"/>
    <cellStyle name="40% - Accent2 3" xfId="295"/>
    <cellStyle name="40% - Accent2 3 2" xfId="296"/>
    <cellStyle name="40% - Accent2 3 2 2" xfId="297"/>
    <cellStyle name="40% - Accent2 3 2 2 2" xfId="12741"/>
    <cellStyle name="40% - Accent2 3 2 2 3" xfId="19788"/>
    <cellStyle name="40% - Accent2 3 2 2 4" xfId="19789"/>
    <cellStyle name="40% - Accent2 3 2 3" xfId="298"/>
    <cellStyle name="40% - Accent2 3 2 3 2" xfId="12742"/>
    <cellStyle name="40% - Accent2 3 2 3 3" xfId="19790"/>
    <cellStyle name="40% - Accent2 3 2 3 4" xfId="19791"/>
    <cellStyle name="40% - Accent2 3 2 4" xfId="12743"/>
    <cellStyle name="40% - Accent2 3 2 4 2" xfId="12744"/>
    <cellStyle name="40% - Accent2 3 2 5" xfId="12745"/>
    <cellStyle name="40% - Accent2 3 2 6" xfId="19792"/>
    <cellStyle name="40% - Accent2 3 2 7" xfId="19793"/>
    <cellStyle name="40% - Accent2 3 3" xfId="299"/>
    <cellStyle name="40% - Accent2 3 3 2" xfId="300"/>
    <cellStyle name="40% - Accent2 3 3 2 2" xfId="12746"/>
    <cellStyle name="40% - Accent2 3 3 2 3" xfId="12747"/>
    <cellStyle name="40% - Accent2 3 3 2 3 2" xfId="18396"/>
    <cellStyle name="40% - Accent2 3 3 2 4" xfId="19794"/>
    <cellStyle name="40% - Accent2 3 3 3" xfId="12748"/>
    <cellStyle name="40% - Accent2 3 3 3 2" xfId="19795"/>
    <cellStyle name="40% - Accent2 3 3 4" xfId="12749"/>
    <cellStyle name="40% - Accent2 3 3 4 2" xfId="18397"/>
    <cellStyle name="40% - Accent2 3 3 5" xfId="19796"/>
    <cellStyle name="40% - Accent2 3 3 6" xfId="19797"/>
    <cellStyle name="40% - Accent2 3 4" xfId="301"/>
    <cellStyle name="40% - Accent2 3 4 2" xfId="12750"/>
    <cellStyle name="40% - Accent2 3 4 3" xfId="19798"/>
    <cellStyle name="40% - Accent2 3 4 4" xfId="19799"/>
    <cellStyle name="40% - Accent2 3 5" xfId="302"/>
    <cellStyle name="40% - Accent2 3 5 2" xfId="19800"/>
    <cellStyle name="40% - Accent2 3 6" xfId="19801"/>
    <cellStyle name="40% - Accent2 3 6 2" xfId="19802"/>
    <cellStyle name="40% - Accent2 3 7" xfId="19803"/>
    <cellStyle name="40% - Accent2 3 8" xfId="19804"/>
    <cellStyle name="40% - Accent2 4" xfId="303"/>
    <cellStyle name="40% - Accent2 4 2" xfId="304"/>
    <cellStyle name="40% - Accent2 4 2 2" xfId="305"/>
    <cellStyle name="40% - Accent2 4 2 2 2" xfId="12751"/>
    <cellStyle name="40% - Accent2 4 2 2 3" xfId="19805"/>
    <cellStyle name="40% - Accent2 4 2 2 4" xfId="19806"/>
    <cellStyle name="40% - Accent2 4 2 3" xfId="12752"/>
    <cellStyle name="40% - Accent2 4 2 3 2" xfId="19807"/>
    <cellStyle name="40% - Accent2 4 2 4" xfId="19808"/>
    <cellStyle name="40% - Accent2 4 2 5" xfId="19809"/>
    <cellStyle name="40% - Accent2 4 2 6" xfId="19810"/>
    <cellStyle name="40% - Accent2 4 3" xfId="306"/>
    <cellStyle name="40% - Accent2 4 3 2" xfId="307"/>
    <cellStyle name="40% - Accent2 4 3 3" xfId="19811"/>
    <cellStyle name="40% - Accent2 4 3 4" xfId="19812"/>
    <cellStyle name="40% - Accent2 4 4" xfId="308"/>
    <cellStyle name="40% - Accent2 4 4 2" xfId="19813"/>
    <cellStyle name="40% - Accent2 4 4 3" xfId="19814"/>
    <cellStyle name="40% - Accent2 4 4 4" xfId="19815"/>
    <cellStyle name="40% - Accent2 4 5" xfId="309"/>
    <cellStyle name="40% - Accent2 4 5 2" xfId="19816"/>
    <cellStyle name="40% - Accent2 4 6" xfId="19817"/>
    <cellStyle name="40% - Accent2 4 6 2" xfId="19818"/>
    <cellStyle name="40% - Accent2 4 7" xfId="19819"/>
    <cellStyle name="40% - Accent2 4 8" xfId="19820"/>
    <cellStyle name="40% - Accent2 5" xfId="310"/>
    <cellStyle name="40% - Accent2 5 2" xfId="311"/>
    <cellStyle name="40% - Accent2 5 2 2" xfId="12753"/>
    <cellStyle name="40% - Accent2 5 2 2 2" xfId="19821"/>
    <cellStyle name="40% - Accent2 5 2 2 2 2" xfId="19822"/>
    <cellStyle name="40% - Accent2 5 2 2 2 3" xfId="19823"/>
    <cellStyle name="40% - Accent2 5 2 2 3" xfId="19824"/>
    <cellStyle name="40% - Accent2 5 2 2 3 2" xfId="19825"/>
    <cellStyle name="40% - Accent2 5 2 2 4" xfId="19826"/>
    <cellStyle name="40% - Accent2 5 2 2 5" xfId="19827"/>
    <cellStyle name="40% - Accent2 5 2 3" xfId="19828"/>
    <cellStyle name="40% - Accent2 5 2 4" xfId="19829"/>
    <cellStyle name="40% - Accent2 5 3" xfId="12754"/>
    <cellStyle name="40% - Accent2 5 3 2" xfId="12755"/>
    <cellStyle name="40% - Accent2 5 4" xfId="12756"/>
    <cellStyle name="40% - Accent2 5 4 2" xfId="19830"/>
    <cellStyle name="40% - Accent2 5 4 2 2" xfId="19831"/>
    <cellStyle name="40% - Accent2 5 4 2 3" xfId="19832"/>
    <cellStyle name="40% - Accent2 5 4 3" xfId="19833"/>
    <cellStyle name="40% - Accent2 5 4 3 2" xfId="19834"/>
    <cellStyle name="40% - Accent2 5 4 4" xfId="19835"/>
    <cellStyle name="40% - Accent2 5 4 5" xfId="19836"/>
    <cellStyle name="40% - Accent2 5 5" xfId="19837"/>
    <cellStyle name="40% - Accent2 5 5 2" xfId="19838"/>
    <cellStyle name="40% - Accent2 5 5 2 2" xfId="19839"/>
    <cellStyle name="40% - Accent2 5 5 2 3" xfId="19840"/>
    <cellStyle name="40% - Accent2 5 5 3" xfId="19841"/>
    <cellStyle name="40% - Accent2 5 5 3 2" xfId="19842"/>
    <cellStyle name="40% - Accent2 5 5 4" xfId="19843"/>
    <cellStyle name="40% - Accent2 5 5 5" xfId="19844"/>
    <cellStyle name="40% - Accent2 5 5 6" xfId="19845"/>
    <cellStyle name="40% - Accent2 5 5 7" xfId="19846"/>
    <cellStyle name="40% - Accent2 5 6" xfId="19847"/>
    <cellStyle name="40% - Accent2 5 6 2" xfId="19848"/>
    <cellStyle name="40% - Accent2 5 6 2 2" xfId="19849"/>
    <cellStyle name="40% - Accent2 5 6 3" xfId="19850"/>
    <cellStyle name="40% - Accent2 5 6 4" xfId="19851"/>
    <cellStyle name="40% - Accent2 5 7" xfId="19852"/>
    <cellStyle name="40% - Accent2 5 7 2" xfId="19853"/>
    <cellStyle name="40% - Accent2 5 8" xfId="19854"/>
    <cellStyle name="40% - Accent2 6" xfId="312"/>
    <cellStyle name="40% - Accent2 6 2" xfId="313"/>
    <cellStyle name="40% - Accent2 6 2 2" xfId="12757"/>
    <cellStyle name="40% - Accent2 6 2 3" xfId="12758"/>
    <cellStyle name="40% - Accent2 6 2 3 2" xfId="18398"/>
    <cellStyle name="40% - Accent2 6 2 4" xfId="19855"/>
    <cellStyle name="40% - Accent2 6 3" xfId="12759"/>
    <cellStyle name="40% - Accent2 6 3 2" xfId="12760"/>
    <cellStyle name="40% - Accent2 6 4" xfId="12761"/>
    <cellStyle name="40% - Accent2 6 4 2" xfId="19856"/>
    <cellStyle name="40% - Accent2 6 4 2 2" xfId="19857"/>
    <cellStyle name="40% - Accent2 6 4 3" xfId="19858"/>
    <cellStyle name="40% - Accent2 6 4 4" xfId="19859"/>
    <cellStyle name="40% - Accent2 6 4 5" xfId="19860"/>
    <cellStyle name="40% - Accent2 6 4 6" xfId="19861"/>
    <cellStyle name="40% - Accent2 6 5" xfId="12762"/>
    <cellStyle name="40% - Accent2 6 5 2" xfId="18399"/>
    <cellStyle name="40% - Accent2 6 5 3" xfId="19862"/>
    <cellStyle name="40% - Accent2 6 5 4" xfId="19863"/>
    <cellStyle name="40% - Accent2 6 5 5" xfId="19864"/>
    <cellStyle name="40% - Accent2 6 6" xfId="19865"/>
    <cellStyle name="40% - Accent2 6 7" xfId="19866"/>
    <cellStyle name="40% - Accent2 6 8" xfId="19867"/>
    <cellStyle name="40% - Accent2 6 9" xfId="19868"/>
    <cellStyle name="40% - Accent2 7" xfId="314"/>
    <cellStyle name="40% - Accent2 7 2" xfId="12763"/>
    <cellStyle name="40% - Accent2 7 2 2" xfId="19869"/>
    <cellStyle name="40% - Accent2 7 2 2 2" xfId="19870"/>
    <cellStyle name="40% - Accent2 7 2 3" xfId="19871"/>
    <cellStyle name="40% - Accent2 7 2 4" xfId="19872"/>
    <cellStyle name="40% - Accent2 7 3" xfId="19873"/>
    <cellStyle name="40% - Accent2 7 3 2" xfId="19874"/>
    <cellStyle name="40% - Accent2 7 3 3" xfId="19875"/>
    <cellStyle name="40% - Accent2 7 4" xfId="19876"/>
    <cellStyle name="40% - Accent2 7 4 2" xfId="19877"/>
    <cellStyle name="40% - Accent2 7 4 3" xfId="19878"/>
    <cellStyle name="40% - Accent2 7 5" xfId="19879"/>
    <cellStyle name="40% - Accent2 7 6" xfId="19880"/>
    <cellStyle name="40% - Accent2 8" xfId="12764"/>
    <cellStyle name="40% - Accent2 8 2" xfId="12765"/>
    <cellStyle name="40% - Accent2 8 2 2" xfId="19881"/>
    <cellStyle name="40% - Accent2 8 2 2 2" xfId="19882"/>
    <cellStyle name="40% - Accent2 8 2 3" xfId="19883"/>
    <cellStyle name="40% - Accent2 8 2 4" xfId="19884"/>
    <cellStyle name="40% - Accent2 8 3" xfId="19885"/>
    <cellStyle name="40% - Accent2 8 3 2" xfId="19886"/>
    <cellStyle name="40% - Accent2 8 3 2 2" xfId="19887"/>
    <cellStyle name="40% - Accent2 8 3 3" xfId="19888"/>
    <cellStyle name="40% - Accent2 8 3 4" xfId="19889"/>
    <cellStyle name="40% - Accent2 8 4" xfId="19890"/>
    <cellStyle name="40% - Accent2 9" xfId="12766"/>
    <cellStyle name="40% - Accent2 9 2" xfId="12767"/>
    <cellStyle name="40% - Accent2 9 2 2" xfId="19891"/>
    <cellStyle name="40% - Accent2 9 2 3" xfId="19892"/>
    <cellStyle name="40% - Accent2 9 3" xfId="19893"/>
    <cellStyle name="40% - Accent2 9 4" xfId="19894"/>
    <cellStyle name="40% - Accent2 9 5" xfId="19895"/>
    <cellStyle name="40% - Accent3 10" xfId="12768"/>
    <cellStyle name="40% - Accent3 10 2" xfId="12769"/>
    <cellStyle name="40% - Accent3 10 2 2" xfId="19896"/>
    <cellStyle name="40% - Accent3 10 2 3" xfId="19897"/>
    <cellStyle name="40% - Accent3 11" xfId="12770"/>
    <cellStyle name="40% - Accent3 11 2" xfId="12771"/>
    <cellStyle name="40% - Accent3 11 2 2" xfId="18401"/>
    <cellStyle name="40% - Accent3 11 3" xfId="18400"/>
    <cellStyle name="40% - Accent3 12" xfId="12772"/>
    <cellStyle name="40% - Accent3 12 2" xfId="18402"/>
    <cellStyle name="40% - Accent3 2" xfId="315"/>
    <cellStyle name="40% - Accent3 2 10" xfId="19898"/>
    <cellStyle name="40% - Accent3 2 11" xfId="19899"/>
    <cellStyle name="40% - Accent3 2 12" xfId="19900"/>
    <cellStyle name="40% - Accent3 2 12 2" xfId="19901"/>
    <cellStyle name="40% - Accent3 2 2" xfId="316"/>
    <cellStyle name="40% - Accent3 2 2 2" xfId="317"/>
    <cellStyle name="40% - Accent3 2 2 2 2" xfId="318"/>
    <cellStyle name="40% - Accent3 2 2 2 2 2" xfId="12773"/>
    <cellStyle name="40% - Accent3 2 2 2 2 3" xfId="19902"/>
    <cellStyle name="40% - Accent3 2 2 2 3" xfId="12774"/>
    <cellStyle name="40% - Accent3 2 2 2 4" xfId="19903"/>
    <cellStyle name="40% - Accent3 2 2 2 5" xfId="19904"/>
    <cellStyle name="40% - Accent3 2 2 3" xfId="319"/>
    <cellStyle name="40% - Accent3 2 2 3 2" xfId="320"/>
    <cellStyle name="40% - Accent3 2 2 3 2 2" xfId="19905"/>
    <cellStyle name="40% - Accent3 2 2 3 2 3" xfId="19906"/>
    <cellStyle name="40% - Accent3 2 2 3 3" xfId="19907"/>
    <cellStyle name="40% - Accent3 2 2 3 4" xfId="19908"/>
    <cellStyle name="40% - Accent3 2 2 3 5" xfId="19909"/>
    <cellStyle name="40% - Accent3 2 2 4" xfId="321"/>
    <cellStyle name="40% - Accent3 2 2 4 2" xfId="19910"/>
    <cellStyle name="40% - Accent3 2 2 4 3" xfId="19911"/>
    <cellStyle name="40% - Accent3 2 2 4 4" xfId="19912"/>
    <cellStyle name="40% - Accent3 2 2 5" xfId="19913"/>
    <cellStyle name="40% - Accent3 2 2 5 2" xfId="19914"/>
    <cellStyle name="40% - Accent3 2 2 6" xfId="19915"/>
    <cellStyle name="40% - Accent3 2 2 7" xfId="19916"/>
    <cellStyle name="40% - Accent3 2 2 8" xfId="19917"/>
    <cellStyle name="40% - Accent3 2 3" xfId="322"/>
    <cellStyle name="40% - Accent3 2 3 2" xfId="323"/>
    <cellStyle name="40% - Accent3 2 3 2 2" xfId="324"/>
    <cellStyle name="40% - Accent3 2 3 2 2 2" xfId="12775"/>
    <cellStyle name="40% - Accent3 2 3 2 2 3" xfId="19918"/>
    <cellStyle name="40% - Accent3 2 3 2 3" xfId="12776"/>
    <cellStyle name="40% - Accent3 2 3 2 4" xfId="19919"/>
    <cellStyle name="40% - Accent3 2 3 2 5" xfId="19920"/>
    <cellStyle name="40% - Accent3 2 3 3" xfId="325"/>
    <cellStyle name="40% - Accent3 2 3 3 2" xfId="12777"/>
    <cellStyle name="40% - Accent3 2 3 3 3" xfId="19921"/>
    <cellStyle name="40% - Accent3 2 3 3 4" xfId="19922"/>
    <cellStyle name="40% - Accent3 2 3 4" xfId="12778"/>
    <cellStyle name="40% - Accent3 2 3 5" xfId="19923"/>
    <cellStyle name="40% - Accent3 2 3 6" xfId="19924"/>
    <cellStyle name="40% - Accent3 2 3 7" xfId="19925"/>
    <cellStyle name="40% - Accent3 2 4" xfId="326"/>
    <cellStyle name="40% - Accent3 2 4 2" xfId="327"/>
    <cellStyle name="40% - Accent3 2 4 2 2" xfId="12779"/>
    <cellStyle name="40% - Accent3 2 4 2 3" xfId="19926"/>
    <cellStyle name="40% - Accent3 2 4 2 4" xfId="19927"/>
    <cellStyle name="40% - Accent3 2 4 3" xfId="12780"/>
    <cellStyle name="40% - Accent3 2 4 3 2" xfId="12781"/>
    <cellStyle name="40% - Accent3 2 4 4" xfId="12782"/>
    <cellStyle name="40% - Accent3 2 4 5" xfId="19928"/>
    <cellStyle name="40% - Accent3 2 4 6" xfId="19929"/>
    <cellStyle name="40% - Accent3 2 5" xfId="328"/>
    <cellStyle name="40% - Accent3 2 5 2" xfId="12783"/>
    <cellStyle name="40% - Accent3 2 5 3" xfId="19930"/>
    <cellStyle name="40% - Accent3 2 5 4" xfId="19931"/>
    <cellStyle name="40% - Accent3 2 6" xfId="329"/>
    <cellStyle name="40% - Accent3 2 6 2" xfId="18261"/>
    <cellStyle name="40% - Accent3 2 6 2 2" xfId="19932"/>
    <cellStyle name="40% - Accent3 2 6 2 3" xfId="19933"/>
    <cellStyle name="40% - Accent3 2 6 2 4" xfId="19934"/>
    <cellStyle name="40% - Accent3 2 6 3" xfId="19935"/>
    <cellStyle name="40% - Accent3 2 6 3 2" xfId="19936"/>
    <cellStyle name="40% - Accent3 2 6 3 3" xfId="19937"/>
    <cellStyle name="40% - Accent3 2 6 4" xfId="19938"/>
    <cellStyle name="40% - Accent3 2 6 4 2" xfId="19939"/>
    <cellStyle name="40% - Accent3 2 6 5" xfId="19940"/>
    <cellStyle name="40% - Accent3 2 6 6" xfId="19941"/>
    <cellStyle name="40% - Accent3 2 6 7" xfId="19942"/>
    <cellStyle name="40% - Accent3 2 6 8" xfId="19943"/>
    <cellStyle name="40% - Accent3 2 7" xfId="330"/>
    <cellStyle name="40% - Accent3 2 7 2" xfId="19944"/>
    <cellStyle name="40% - Accent3 2 7 3" xfId="19945"/>
    <cellStyle name="40% - Accent3 2 7 4" xfId="19946"/>
    <cellStyle name="40% - Accent3 2 8" xfId="331"/>
    <cellStyle name="40% - Accent3 2 8 2" xfId="19947"/>
    <cellStyle name="40% - Accent3 2 9" xfId="19948"/>
    <cellStyle name="40% - Accent3 2 9 2" xfId="19949"/>
    <cellStyle name="40% - Accent3 2_12PCORC Wind Vestas and Royalties" xfId="12784"/>
    <cellStyle name="40% - Accent3 3" xfId="332"/>
    <cellStyle name="40% - Accent3 3 2" xfId="333"/>
    <cellStyle name="40% - Accent3 3 2 2" xfId="334"/>
    <cellStyle name="40% - Accent3 3 2 2 2" xfId="12785"/>
    <cellStyle name="40% - Accent3 3 2 2 3" xfId="19950"/>
    <cellStyle name="40% - Accent3 3 2 2 4" xfId="19951"/>
    <cellStyle name="40% - Accent3 3 2 3" xfId="335"/>
    <cellStyle name="40% - Accent3 3 2 3 2" xfId="12786"/>
    <cellStyle name="40% - Accent3 3 2 3 3" xfId="19952"/>
    <cellStyle name="40% - Accent3 3 2 3 4" xfId="19953"/>
    <cellStyle name="40% - Accent3 3 2 4" xfId="12787"/>
    <cellStyle name="40% - Accent3 3 2 4 2" xfId="12788"/>
    <cellStyle name="40% - Accent3 3 2 5" xfId="12789"/>
    <cellStyle name="40% - Accent3 3 2 6" xfId="19954"/>
    <cellStyle name="40% - Accent3 3 2 7" xfId="19955"/>
    <cellStyle name="40% - Accent3 3 3" xfId="336"/>
    <cellStyle name="40% - Accent3 3 3 2" xfId="337"/>
    <cellStyle name="40% - Accent3 3 3 2 2" xfId="12790"/>
    <cellStyle name="40% - Accent3 3 3 2 3" xfId="12791"/>
    <cellStyle name="40% - Accent3 3 3 2 3 2" xfId="18403"/>
    <cellStyle name="40% - Accent3 3 3 2 4" xfId="19956"/>
    <cellStyle name="40% - Accent3 3 3 3" xfId="12792"/>
    <cellStyle name="40% - Accent3 3 3 3 2" xfId="19957"/>
    <cellStyle name="40% - Accent3 3 3 4" xfId="12793"/>
    <cellStyle name="40% - Accent3 3 3 4 2" xfId="18404"/>
    <cellStyle name="40% - Accent3 3 3 5" xfId="19958"/>
    <cellStyle name="40% - Accent3 3 3 6" xfId="19959"/>
    <cellStyle name="40% - Accent3 3 4" xfId="338"/>
    <cellStyle name="40% - Accent3 3 4 2" xfId="12794"/>
    <cellStyle name="40% - Accent3 3 4 3" xfId="19960"/>
    <cellStyle name="40% - Accent3 3 4 4" xfId="19961"/>
    <cellStyle name="40% - Accent3 3 5" xfId="339"/>
    <cellStyle name="40% - Accent3 3 5 2" xfId="19962"/>
    <cellStyle name="40% - Accent3 3 6" xfId="19963"/>
    <cellStyle name="40% - Accent3 3 7" xfId="19964"/>
    <cellStyle name="40% - Accent3 3 8" xfId="19965"/>
    <cellStyle name="40% - Accent3 4" xfId="340"/>
    <cellStyle name="40% - Accent3 4 2" xfId="341"/>
    <cellStyle name="40% - Accent3 4 2 2" xfId="342"/>
    <cellStyle name="40% - Accent3 4 2 2 2" xfId="12795"/>
    <cellStyle name="40% - Accent3 4 2 2 3" xfId="19966"/>
    <cellStyle name="40% - Accent3 4 2 2 4" xfId="19967"/>
    <cellStyle name="40% - Accent3 4 2 3" xfId="12796"/>
    <cellStyle name="40% - Accent3 4 2 3 2" xfId="19968"/>
    <cellStyle name="40% - Accent3 4 2 4" xfId="19969"/>
    <cellStyle name="40% - Accent3 4 2 5" xfId="19970"/>
    <cellStyle name="40% - Accent3 4 2 6" xfId="19971"/>
    <cellStyle name="40% - Accent3 4 3" xfId="343"/>
    <cellStyle name="40% - Accent3 4 3 2" xfId="344"/>
    <cellStyle name="40% - Accent3 4 3 3" xfId="19972"/>
    <cellStyle name="40% - Accent3 4 3 4" xfId="19973"/>
    <cellStyle name="40% - Accent3 4 4" xfId="345"/>
    <cellStyle name="40% - Accent3 4 4 2" xfId="19974"/>
    <cellStyle name="40% - Accent3 4 4 3" xfId="19975"/>
    <cellStyle name="40% - Accent3 4 4 4" xfId="19976"/>
    <cellStyle name="40% - Accent3 4 5" xfId="346"/>
    <cellStyle name="40% - Accent3 4 5 2" xfId="19977"/>
    <cellStyle name="40% - Accent3 4 6" xfId="19978"/>
    <cellStyle name="40% - Accent3 4 6 2" xfId="19979"/>
    <cellStyle name="40% - Accent3 4 7" xfId="19980"/>
    <cellStyle name="40% - Accent3 4 8" xfId="19981"/>
    <cellStyle name="40% - Accent3 5" xfId="347"/>
    <cellStyle name="40% - Accent3 5 2" xfId="348"/>
    <cellStyle name="40% - Accent3 5 2 2" xfId="12797"/>
    <cellStyle name="40% - Accent3 5 2 2 2" xfId="19982"/>
    <cellStyle name="40% - Accent3 5 2 2 2 2" xfId="19983"/>
    <cellStyle name="40% - Accent3 5 2 2 2 3" xfId="19984"/>
    <cellStyle name="40% - Accent3 5 2 2 3" xfId="19985"/>
    <cellStyle name="40% - Accent3 5 2 2 3 2" xfId="19986"/>
    <cellStyle name="40% - Accent3 5 2 2 4" xfId="19987"/>
    <cellStyle name="40% - Accent3 5 2 2 5" xfId="19988"/>
    <cellStyle name="40% - Accent3 5 2 3" xfId="19989"/>
    <cellStyle name="40% - Accent3 5 2 4" xfId="19990"/>
    <cellStyle name="40% - Accent3 5 3" xfId="349"/>
    <cellStyle name="40% - Accent3 5 3 2" xfId="12798"/>
    <cellStyle name="40% - Accent3 5 3 3" xfId="19991"/>
    <cellStyle name="40% - Accent3 5 3 4" xfId="19992"/>
    <cellStyle name="40% - Accent3 5 4" xfId="12799"/>
    <cellStyle name="40% - Accent3 5 4 2" xfId="12800"/>
    <cellStyle name="40% - Accent3 5 5" xfId="12801"/>
    <cellStyle name="40% - Accent3 5 5 2" xfId="19993"/>
    <cellStyle name="40% - Accent3 5 5 2 2" xfId="19994"/>
    <cellStyle name="40% - Accent3 5 5 2 3" xfId="19995"/>
    <cellStyle name="40% - Accent3 5 5 3" xfId="19996"/>
    <cellStyle name="40% - Accent3 5 5 3 2" xfId="19997"/>
    <cellStyle name="40% - Accent3 5 5 4" xfId="19998"/>
    <cellStyle name="40% - Accent3 5 5 5" xfId="19999"/>
    <cellStyle name="40% - Accent3 5 6" xfId="20000"/>
    <cellStyle name="40% - Accent3 5 6 2" xfId="20001"/>
    <cellStyle name="40% - Accent3 5 6 2 2" xfId="20002"/>
    <cellStyle name="40% - Accent3 5 6 2 3" xfId="20003"/>
    <cellStyle name="40% - Accent3 5 6 3" xfId="20004"/>
    <cellStyle name="40% - Accent3 5 6 3 2" xfId="20005"/>
    <cellStyle name="40% - Accent3 5 6 4" xfId="20006"/>
    <cellStyle name="40% - Accent3 5 6 5" xfId="20007"/>
    <cellStyle name="40% - Accent3 5 6 6" xfId="20008"/>
    <cellStyle name="40% - Accent3 5 6 7" xfId="20009"/>
    <cellStyle name="40% - Accent3 5 7" xfId="20010"/>
    <cellStyle name="40% - Accent3 5 7 2" xfId="20011"/>
    <cellStyle name="40% - Accent3 5 7 2 2" xfId="20012"/>
    <cellStyle name="40% - Accent3 5 7 3" xfId="20013"/>
    <cellStyle name="40% - Accent3 5 7 4" xfId="20014"/>
    <cellStyle name="40% - Accent3 5 8" xfId="20015"/>
    <cellStyle name="40% - Accent3 5 8 2" xfId="20016"/>
    <cellStyle name="40% - Accent3 5 9" xfId="20017"/>
    <cellStyle name="40% - Accent3 6" xfId="350"/>
    <cellStyle name="40% - Accent3 6 2" xfId="351"/>
    <cellStyle name="40% - Accent3 6 2 2" xfId="12802"/>
    <cellStyle name="40% - Accent3 6 2 3" xfId="12803"/>
    <cellStyle name="40% - Accent3 6 2 3 2" xfId="18405"/>
    <cellStyle name="40% - Accent3 6 2 4" xfId="20018"/>
    <cellStyle name="40% - Accent3 6 3" xfId="12804"/>
    <cellStyle name="40% - Accent3 6 3 2" xfId="12805"/>
    <cellStyle name="40% - Accent3 6 4" xfId="12806"/>
    <cellStyle name="40% - Accent3 6 4 2" xfId="20019"/>
    <cellStyle name="40% - Accent3 6 4 2 2" xfId="20020"/>
    <cellStyle name="40% - Accent3 6 4 3" xfId="20021"/>
    <cellStyle name="40% - Accent3 6 4 4" xfId="20022"/>
    <cellStyle name="40% - Accent3 6 4 5" xfId="20023"/>
    <cellStyle name="40% - Accent3 6 4 6" xfId="20024"/>
    <cellStyle name="40% - Accent3 6 5" xfId="12807"/>
    <cellStyle name="40% - Accent3 6 5 2" xfId="18406"/>
    <cellStyle name="40% - Accent3 6 5 3" xfId="20025"/>
    <cellStyle name="40% - Accent3 6 5 4" xfId="20026"/>
    <cellStyle name="40% - Accent3 6 5 5" xfId="20027"/>
    <cellStyle name="40% - Accent3 6 6" xfId="20028"/>
    <cellStyle name="40% - Accent3 6 7" xfId="20029"/>
    <cellStyle name="40% - Accent3 6 8" xfId="20030"/>
    <cellStyle name="40% - Accent3 6 9" xfId="20031"/>
    <cellStyle name="40% - Accent3 7" xfId="352"/>
    <cellStyle name="40% - Accent3 7 2" xfId="12808"/>
    <cellStyle name="40% - Accent3 7 2 2" xfId="20032"/>
    <cellStyle name="40% - Accent3 7 2 2 2" xfId="20033"/>
    <cellStyle name="40% - Accent3 7 2 3" xfId="20034"/>
    <cellStyle name="40% - Accent3 7 2 4" xfId="20035"/>
    <cellStyle name="40% - Accent3 7 3" xfId="20036"/>
    <cellStyle name="40% - Accent3 7 3 2" xfId="20037"/>
    <cellStyle name="40% - Accent3 7 3 3" xfId="20038"/>
    <cellStyle name="40% - Accent3 7 4" xfId="20039"/>
    <cellStyle name="40% - Accent3 7 4 2" xfId="20040"/>
    <cellStyle name="40% - Accent3 7 4 3" xfId="20041"/>
    <cellStyle name="40% - Accent3 7 5" xfId="20042"/>
    <cellStyle name="40% - Accent3 7 6" xfId="20043"/>
    <cellStyle name="40% - Accent3 8" xfId="12809"/>
    <cellStyle name="40% - Accent3 8 2" xfId="12810"/>
    <cellStyle name="40% - Accent3 8 2 2" xfId="20044"/>
    <cellStyle name="40% - Accent3 8 2 2 2" xfId="20045"/>
    <cellStyle name="40% - Accent3 8 2 3" xfId="20046"/>
    <cellStyle name="40% - Accent3 8 2 4" xfId="20047"/>
    <cellStyle name="40% - Accent3 8 3" xfId="20048"/>
    <cellStyle name="40% - Accent3 8 3 2" xfId="20049"/>
    <cellStyle name="40% - Accent3 8 3 2 2" xfId="20050"/>
    <cellStyle name="40% - Accent3 8 3 3" xfId="20051"/>
    <cellStyle name="40% - Accent3 8 3 4" xfId="20052"/>
    <cellStyle name="40% - Accent3 8 4" xfId="20053"/>
    <cellStyle name="40% - Accent3 9" xfId="12811"/>
    <cellStyle name="40% - Accent3 9 2" xfId="12812"/>
    <cellStyle name="40% - Accent3 9 2 2" xfId="20054"/>
    <cellStyle name="40% - Accent3 9 2 3" xfId="20055"/>
    <cellStyle name="40% - Accent3 9 3" xfId="20056"/>
    <cellStyle name="40% - Accent3 9 4" xfId="20057"/>
    <cellStyle name="40% - Accent3 9 5" xfId="20058"/>
    <cellStyle name="40% - Accent4 10" xfId="12813"/>
    <cellStyle name="40% - Accent4 10 2" xfId="12814"/>
    <cellStyle name="40% - Accent4 10 2 2" xfId="20059"/>
    <cellStyle name="40% - Accent4 10 2 3" xfId="20060"/>
    <cellStyle name="40% - Accent4 11" xfId="12815"/>
    <cellStyle name="40% - Accent4 11 2" xfId="12816"/>
    <cellStyle name="40% - Accent4 11 2 2" xfId="18408"/>
    <cellStyle name="40% - Accent4 11 3" xfId="18407"/>
    <cellStyle name="40% - Accent4 12" xfId="12817"/>
    <cellStyle name="40% - Accent4 12 2" xfId="18409"/>
    <cellStyle name="40% - Accent4 2" xfId="353"/>
    <cellStyle name="40% - Accent4 2 10" xfId="20061"/>
    <cellStyle name="40% - Accent4 2 11" xfId="20062"/>
    <cellStyle name="40% - Accent4 2 12" xfId="20063"/>
    <cellStyle name="40% - Accent4 2 12 2" xfId="20064"/>
    <cellStyle name="40% - Accent4 2 2" xfId="354"/>
    <cellStyle name="40% - Accent4 2 2 2" xfId="355"/>
    <cellStyle name="40% - Accent4 2 2 2 2" xfId="356"/>
    <cellStyle name="40% - Accent4 2 2 2 2 2" xfId="12818"/>
    <cellStyle name="40% - Accent4 2 2 2 2 3" xfId="20065"/>
    <cellStyle name="40% - Accent4 2 2 2 3" xfId="12819"/>
    <cellStyle name="40% - Accent4 2 2 2 4" xfId="20066"/>
    <cellStyle name="40% - Accent4 2 2 2 5" xfId="20067"/>
    <cellStyle name="40% - Accent4 2 2 3" xfId="357"/>
    <cellStyle name="40% - Accent4 2 2 3 2" xfId="358"/>
    <cellStyle name="40% - Accent4 2 2 3 2 2" xfId="20068"/>
    <cellStyle name="40% - Accent4 2 2 3 2 3" xfId="20069"/>
    <cellStyle name="40% - Accent4 2 2 3 3" xfId="20070"/>
    <cellStyle name="40% - Accent4 2 2 3 4" xfId="20071"/>
    <cellStyle name="40% - Accent4 2 2 3 5" xfId="20072"/>
    <cellStyle name="40% - Accent4 2 2 4" xfId="359"/>
    <cellStyle name="40% - Accent4 2 2 4 2" xfId="20073"/>
    <cellStyle name="40% - Accent4 2 2 4 3" xfId="20074"/>
    <cellStyle name="40% - Accent4 2 2 4 4" xfId="20075"/>
    <cellStyle name="40% - Accent4 2 2 5" xfId="20076"/>
    <cellStyle name="40% - Accent4 2 2 5 2" xfId="20077"/>
    <cellStyle name="40% - Accent4 2 2 6" xfId="20078"/>
    <cellStyle name="40% - Accent4 2 2 7" xfId="20079"/>
    <cellStyle name="40% - Accent4 2 2 8" xfId="20080"/>
    <cellStyle name="40% - Accent4 2 3" xfId="360"/>
    <cellStyle name="40% - Accent4 2 3 2" xfId="361"/>
    <cellStyle name="40% - Accent4 2 3 2 2" xfId="362"/>
    <cellStyle name="40% - Accent4 2 3 2 2 2" xfId="12820"/>
    <cellStyle name="40% - Accent4 2 3 2 2 3" xfId="20081"/>
    <cellStyle name="40% - Accent4 2 3 2 3" xfId="12821"/>
    <cellStyle name="40% - Accent4 2 3 2 4" xfId="20082"/>
    <cellStyle name="40% - Accent4 2 3 2 5" xfId="20083"/>
    <cellStyle name="40% - Accent4 2 3 3" xfId="363"/>
    <cellStyle name="40% - Accent4 2 3 3 2" xfId="12822"/>
    <cellStyle name="40% - Accent4 2 3 3 3" xfId="20084"/>
    <cellStyle name="40% - Accent4 2 3 3 4" xfId="20085"/>
    <cellStyle name="40% - Accent4 2 3 4" xfId="12823"/>
    <cellStyle name="40% - Accent4 2 3 5" xfId="20086"/>
    <cellStyle name="40% - Accent4 2 3 6" xfId="20087"/>
    <cellStyle name="40% - Accent4 2 3 7" xfId="20088"/>
    <cellStyle name="40% - Accent4 2 4" xfId="364"/>
    <cellStyle name="40% - Accent4 2 4 2" xfId="365"/>
    <cellStyle name="40% - Accent4 2 4 2 2" xfId="12824"/>
    <cellStyle name="40% - Accent4 2 4 2 3" xfId="20089"/>
    <cellStyle name="40% - Accent4 2 4 2 4" xfId="20090"/>
    <cellStyle name="40% - Accent4 2 4 3" xfId="12825"/>
    <cellStyle name="40% - Accent4 2 4 3 2" xfId="12826"/>
    <cellStyle name="40% - Accent4 2 4 4" xfId="12827"/>
    <cellStyle name="40% - Accent4 2 4 5" xfId="20091"/>
    <cellStyle name="40% - Accent4 2 4 6" xfId="20092"/>
    <cellStyle name="40% - Accent4 2 5" xfId="366"/>
    <cellStyle name="40% - Accent4 2 5 2" xfId="12828"/>
    <cellStyle name="40% - Accent4 2 5 3" xfId="20093"/>
    <cellStyle name="40% - Accent4 2 5 4" xfId="20094"/>
    <cellStyle name="40% - Accent4 2 6" xfId="367"/>
    <cellStyle name="40% - Accent4 2 6 2" xfId="18262"/>
    <cellStyle name="40% - Accent4 2 6 2 2" xfId="20095"/>
    <cellStyle name="40% - Accent4 2 6 2 3" xfId="20096"/>
    <cellStyle name="40% - Accent4 2 6 2 4" xfId="20097"/>
    <cellStyle name="40% - Accent4 2 6 3" xfId="20098"/>
    <cellStyle name="40% - Accent4 2 6 3 2" xfId="20099"/>
    <cellStyle name="40% - Accent4 2 6 3 3" xfId="20100"/>
    <cellStyle name="40% - Accent4 2 6 4" xfId="20101"/>
    <cellStyle name="40% - Accent4 2 6 4 2" xfId="20102"/>
    <cellStyle name="40% - Accent4 2 6 5" xfId="20103"/>
    <cellStyle name="40% - Accent4 2 6 6" xfId="20104"/>
    <cellStyle name="40% - Accent4 2 6 7" xfId="20105"/>
    <cellStyle name="40% - Accent4 2 6 8" xfId="20106"/>
    <cellStyle name="40% - Accent4 2 7" xfId="368"/>
    <cellStyle name="40% - Accent4 2 7 2" xfId="20107"/>
    <cellStyle name="40% - Accent4 2 7 3" xfId="20108"/>
    <cellStyle name="40% - Accent4 2 7 4" xfId="20109"/>
    <cellStyle name="40% - Accent4 2 8" xfId="369"/>
    <cellStyle name="40% - Accent4 2 8 2" xfId="20110"/>
    <cellStyle name="40% - Accent4 2 9" xfId="20111"/>
    <cellStyle name="40% - Accent4 2 9 2" xfId="20112"/>
    <cellStyle name="40% - Accent4 2_12PCORC Wind Vestas and Royalties" xfId="12829"/>
    <cellStyle name="40% - Accent4 3" xfId="370"/>
    <cellStyle name="40% - Accent4 3 2" xfId="371"/>
    <cellStyle name="40% - Accent4 3 2 2" xfId="372"/>
    <cellStyle name="40% - Accent4 3 2 2 2" xfId="12830"/>
    <cellStyle name="40% - Accent4 3 2 2 3" xfId="20113"/>
    <cellStyle name="40% - Accent4 3 2 2 4" xfId="20114"/>
    <cellStyle name="40% - Accent4 3 2 3" xfId="373"/>
    <cellStyle name="40% - Accent4 3 2 3 2" xfId="12831"/>
    <cellStyle name="40% - Accent4 3 2 3 3" xfId="20115"/>
    <cellStyle name="40% - Accent4 3 2 3 4" xfId="20116"/>
    <cellStyle name="40% - Accent4 3 2 4" xfId="12832"/>
    <cellStyle name="40% - Accent4 3 2 4 2" xfId="12833"/>
    <cellStyle name="40% - Accent4 3 2 5" xfId="12834"/>
    <cellStyle name="40% - Accent4 3 2 6" xfId="20117"/>
    <cellStyle name="40% - Accent4 3 2 7" xfId="20118"/>
    <cellStyle name="40% - Accent4 3 3" xfId="374"/>
    <cellStyle name="40% - Accent4 3 3 2" xfId="375"/>
    <cellStyle name="40% - Accent4 3 3 2 2" xfId="12835"/>
    <cellStyle name="40% - Accent4 3 3 2 3" xfId="12836"/>
    <cellStyle name="40% - Accent4 3 3 2 3 2" xfId="18410"/>
    <cellStyle name="40% - Accent4 3 3 2 4" xfId="20119"/>
    <cellStyle name="40% - Accent4 3 3 3" xfId="12837"/>
    <cellStyle name="40% - Accent4 3 3 3 2" xfId="20120"/>
    <cellStyle name="40% - Accent4 3 3 4" xfId="12838"/>
    <cellStyle name="40% - Accent4 3 3 4 2" xfId="18411"/>
    <cellStyle name="40% - Accent4 3 3 5" xfId="20121"/>
    <cellStyle name="40% - Accent4 3 3 6" xfId="20122"/>
    <cellStyle name="40% - Accent4 3 4" xfId="376"/>
    <cellStyle name="40% - Accent4 3 4 2" xfId="12839"/>
    <cellStyle name="40% - Accent4 3 4 3" xfId="20123"/>
    <cellStyle name="40% - Accent4 3 4 4" xfId="20124"/>
    <cellStyle name="40% - Accent4 3 5" xfId="377"/>
    <cellStyle name="40% - Accent4 3 5 2" xfId="20125"/>
    <cellStyle name="40% - Accent4 3 6" xfId="20126"/>
    <cellStyle name="40% - Accent4 3 7" xfId="20127"/>
    <cellStyle name="40% - Accent4 3 8" xfId="20128"/>
    <cellStyle name="40% - Accent4 4" xfId="378"/>
    <cellStyle name="40% - Accent4 4 2" xfId="379"/>
    <cellStyle name="40% - Accent4 4 2 2" xfId="380"/>
    <cellStyle name="40% - Accent4 4 2 2 2" xfId="12840"/>
    <cellStyle name="40% - Accent4 4 2 2 3" xfId="20129"/>
    <cellStyle name="40% - Accent4 4 2 2 4" xfId="20130"/>
    <cellStyle name="40% - Accent4 4 2 3" xfId="12841"/>
    <cellStyle name="40% - Accent4 4 2 3 2" xfId="20131"/>
    <cellStyle name="40% - Accent4 4 2 4" xfId="20132"/>
    <cellStyle name="40% - Accent4 4 2 5" xfId="20133"/>
    <cellStyle name="40% - Accent4 4 2 6" xfId="20134"/>
    <cellStyle name="40% - Accent4 4 3" xfId="381"/>
    <cellStyle name="40% - Accent4 4 3 2" xfId="382"/>
    <cellStyle name="40% - Accent4 4 3 3" xfId="20135"/>
    <cellStyle name="40% - Accent4 4 3 4" xfId="20136"/>
    <cellStyle name="40% - Accent4 4 4" xfId="383"/>
    <cellStyle name="40% - Accent4 4 4 2" xfId="20137"/>
    <cellStyle name="40% - Accent4 4 4 3" xfId="20138"/>
    <cellStyle name="40% - Accent4 4 4 4" xfId="20139"/>
    <cellStyle name="40% - Accent4 4 5" xfId="384"/>
    <cellStyle name="40% - Accent4 4 5 2" xfId="20140"/>
    <cellStyle name="40% - Accent4 4 6" xfId="20141"/>
    <cellStyle name="40% - Accent4 4 6 2" xfId="20142"/>
    <cellStyle name="40% - Accent4 4 7" xfId="20143"/>
    <cellStyle name="40% - Accent4 4 8" xfId="20144"/>
    <cellStyle name="40% - Accent4 5" xfId="385"/>
    <cellStyle name="40% - Accent4 5 2" xfId="386"/>
    <cellStyle name="40% - Accent4 5 2 2" xfId="12842"/>
    <cellStyle name="40% - Accent4 5 2 2 2" xfId="20145"/>
    <cellStyle name="40% - Accent4 5 2 2 2 2" xfId="20146"/>
    <cellStyle name="40% - Accent4 5 2 2 2 3" xfId="20147"/>
    <cellStyle name="40% - Accent4 5 2 2 3" xfId="20148"/>
    <cellStyle name="40% - Accent4 5 2 2 3 2" xfId="20149"/>
    <cellStyle name="40% - Accent4 5 2 2 4" xfId="20150"/>
    <cellStyle name="40% - Accent4 5 2 2 5" xfId="20151"/>
    <cellStyle name="40% - Accent4 5 2 3" xfId="20152"/>
    <cellStyle name="40% - Accent4 5 2 4" xfId="20153"/>
    <cellStyle name="40% - Accent4 5 3" xfId="387"/>
    <cellStyle name="40% - Accent4 5 3 2" xfId="12843"/>
    <cellStyle name="40% - Accent4 5 3 3" xfId="20154"/>
    <cellStyle name="40% - Accent4 5 3 4" xfId="20155"/>
    <cellStyle name="40% - Accent4 5 4" xfId="12844"/>
    <cellStyle name="40% - Accent4 5 4 2" xfId="12845"/>
    <cellStyle name="40% - Accent4 5 5" xfId="12846"/>
    <cellStyle name="40% - Accent4 5 5 2" xfId="20156"/>
    <cellStyle name="40% - Accent4 5 5 2 2" xfId="20157"/>
    <cellStyle name="40% - Accent4 5 5 2 3" xfId="20158"/>
    <cellStyle name="40% - Accent4 5 5 3" xfId="20159"/>
    <cellStyle name="40% - Accent4 5 5 3 2" xfId="20160"/>
    <cellStyle name="40% - Accent4 5 5 4" xfId="20161"/>
    <cellStyle name="40% - Accent4 5 5 5" xfId="20162"/>
    <cellStyle name="40% - Accent4 5 6" xfId="20163"/>
    <cellStyle name="40% - Accent4 5 6 2" xfId="20164"/>
    <cellStyle name="40% - Accent4 5 6 2 2" xfId="20165"/>
    <cellStyle name="40% - Accent4 5 6 2 3" xfId="20166"/>
    <cellStyle name="40% - Accent4 5 6 3" xfId="20167"/>
    <cellStyle name="40% - Accent4 5 6 3 2" xfId="20168"/>
    <cellStyle name="40% - Accent4 5 6 4" xfId="20169"/>
    <cellStyle name="40% - Accent4 5 6 5" xfId="20170"/>
    <cellStyle name="40% - Accent4 5 6 6" xfId="20171"/>
    <cellStyle name="40% - Accent4 5 6 7" xfId="20172"/>
    <cellStyle name="40% - Accent4 5 7" xfId="20173"/>
    <cellStyle name="40% - Accent4 5 7 2" xfId="20174"/>
    <cellStyle name="40% - Accent4 5 7 2 2" xfId="20175"/>
    <cellStyle name="40% - Accent4 5 7 3" xfId="20176"/>
    <cellStyle name="40% - Accent4 5 7 4" xfId="20177"/>
    <cellStyle name="40% - Accent4 5 8" xfId="20178"/>
    <cellStyle name="40% - Accent4 5 8 2" xfId="20179"/>
    <cellStyle name="40% - Accent4 5 9" xfId="20180"/>
    <cellStyle name="40% - Accent4 6" xfId="388"/>
    <cellStyle name="40% - Accent4 6 2" xfId="389"/>
    <cellStyle name="40% - Accent4 6 2 2" xfId="12847"/>
    <cellStyle name="40% - Accent4 6 2 3" xfId="12848"/>
    <cellStyle name="40% - Accent4 6 2 3 2" xfId="18412"/>
    <cellStyle name="40% - Accent4 6 2 4" xfId="20181"/>
    <cellStyle name="40% - Accent4 6 3" xfId="12849"/>
    <cellStyle name="40% - Accent4 6 3 2" xfId="12850"/>
    <cellStyle name="40% - Accent4 6 4" xfId="12851"/>
    <cellStyle name="40% - Accent4 6 4 2" xfId="20182"/>
    <cellStyle name="40% - Accent4 6 4 2 2" xfId="20183"/>
    <cellStyle name="40% - Accent4 6 4 3" xfId="20184"/>
    <cellStyle name="40% - Accent4 6 4 4" xfId="20185"/>
    <cellStyle name="40% - Accent4 6 4 5" xfId="20186"/>
    <cellStyle name="40% - Accent4 6 4 6" xfId="20187"/>
    <cellStyle name="40% - Accent4 6 5" xfId="12852"/>
    <cellStyle name="40% - Accent4 6 5 2" xfId="18413"/>
    <cellStyle name="40% - Accent4 6 5 3" xfId="20188"/>
    <cellStyle name="40% - Accent4 6 5 4" xfId="20189"/>
    <cellStyle name="40% - Accent4 6 5 5" xfId="20190"/>
    <cellStyle name="40% - Accent4 6 6" xfId="20191"/>
    <cellStyle name="40% - Accent4 6 7" xfId="20192"/>
    <cellStyle name="40% - Accent4 6 8" xfId="20193"/>
    <cellStyle name="40% - Accent4 6 9" xfId="20194"/>
    <cellStyle name="40% - Accent4 7" xfId="390"/>
    <cellStyle name="40% - Accent4 7 2" xfId="12853"/>
    <cellStyle name="40% - Accent4 7 2 2" xfId="20195"/>
    <cellStyle name="40% - Accent4 7 2 2 2" xfId="20196"/>
    <cellStyle name="40% - Accent4 7 2 3" xfId="20197"/>
    <cellStyle name="40% - Accent4 7 2 4" xfId="20198"/>
    <cellStyle name="40% - Accent4 7 3" xfId="20199"/>
    <cellStyle name="40% - Accent4 7 3 2" xfId="20200"/>
    <cellStyle name="40% - Accent4 7 3 3" xfId="20201"/>
    <cellStyle name="40% - Accent4 7 4" xfId="20202"/>
    <cellStyle name="40% - Accent4 7 4 2" xfId="20203"/>
    <cellStyle name="40% - Accent4 7 4 3" xfId="20204"/>
    <cellStyle name="40% - Accent4 7 5" xfId="20205"/>
    <cellStyle name="40% - Accent4 7 6" xfId="20206"/>
    <cellStyle name="40% - Accent4 8" xfId="12854"/>
    <cellStyle name="40% - Accent4 8 2" xfId="12855"/>
    <cellStyle name="40% - Accent4 8 2 2" xfId="20207"/>
    <cellStyle name="40% - Accent4 8 2 2 2" xfId="20208"/>
    <cellStyle name="40% - Accent4 8 2 3" xfId="20209"/>
    <cellStyle name="40% - Accent4 8 2 4" xfId="20210"/>
    <cellStyle name="40% - Accent4 8 3" xfId="20211"/>
    <cellStyle name="40% - Accent4 8 3 2" xfId="20212"/>
    <cellStyle name="40% - Accent4 8 3 2 2" xfId="20213"/>
    <cellStyle name="40% - Accent4 8 3 3" xfId="20214"/>
    <cellStyle name="40% - Accent4 8 3 4" xfId="20215"/>
    <cellStyle name="40% - Accent4 8 4" xfId="20216"/>
    <cellStyle name="40% - Accent4 9" xfId="12856"/>
    <cellStyle name="40% - Accent4 9 2" xfId="12857"/>
    <cellStyle name="40% - Accent4 9 2 2" xfId="20217"/>
    <cellStyle name="40% - Accent4 9 2 3" xfId="20218"/>
    <cellStyle name="40% - Accent4 9 3" xfId="20219"/>
    <cellStyle name="40% - Accent4 9 4" xfId="20220"/>
    <cellStyle name="40% - Accent4 9 5" xfId="20221"/>
    <cellStyle name="40% - Accent5 10" xfId="12858"/>
    <cellStyle name="40% - Accent5 10 2" xfId="12859"/>
    <cellStyle name="40% - Accent5 10 2 2" xfId="20222"/>
    <cellStyle name="40% - Accent5 10 2 3" xfId="20223"/>
    <cellStyle name="40% - Accent5 11" xfId="12860"/>
    <cellStyle name="40% - Accent5 11 2" xfId="12861"/>
    <cellStyle name="40% - Accent5 11 2 2" xfId="18415"/>
    <cellStyle name="40% - Accent5 11 3" xfId="18414"/>
    <cellStyle name="40% - Accent5 12" xfId="12862"/>
    <cellStyle name="40% - Accent5 12 2" xfId="18416"/>
    <cellStyle name="40% - Accent5 2" xfId="391"/>
    <cellStyle name="40% - Accent5 2 10" xfId="20224"/>
    <cellStyle name="40% - Accent5 2 11" xfId="20225"/>
    <cellStyle name="40% - Accent5 2 12" xfId="20226"/>
    <cellStyle name="40% - Accent5 2 12 2" xfId="20227"/>
    <cellStyle name="40% - Accent5 2 2" xfId="392"/>
    <cellStyle name="40% - Accent5 2 2 2" xfId="393"/>
    <cellStyle name="40% - Accent5 2 2 2 2" xfId="394"/>
    <cellStyle name="40% - Accent5 2 2 2 2 2" xfId="12863"/>
    <cellStyle name="40% - Accent5 2 2 2 2 3" xfId="20228"/>
    <cellStyle name="40% - Accent5 2 2 2 3" xfId="12864"/>
    <cellStyle name="40% - Accent5 2 2 2 4" xfId="20229"/>
    <cellStyle name="40% - Accent5 2 2 2 5" xfId="20230"/>
    <cellStyle name="40% - Accent5 2 2 3" xfId="395"/>
    <cellStyle name="40% - Accent5 2 2 3 2" xfId="396"/>
    <cellStyle name="40% - Accent5 2 2 3 2 2" xfId="20231"/>
    <cellStyle name="40% - Accent5 2 2 3 2 3" xfId="20232"/>
    <cellStyle name="40% - Accent5 2 2 3 3" xfId="20233"/>
    <cellStyle name="40% - Accent5 2 2 3 4" xfId="20234"/>
    <cellStyle name="40% - Accent5 2 2 3 5" xfId="20235"/>
    <cellStyle name="40% - Accent5 2 2 4" xfId="397"/>
    <cellStyle name="40% - Accent5 2 2 4 2" xfId="20236"/>
    <cellStyle name="40% - Accent5 2 2 4 3" xfId="20237"/>
    <cellStyle name="40% - Accent5 2 2 4 4" xfId="20238"/>
    <cellStyle name="40% - Accent5 2 2 5" xfId="20239"/>
    <cellStyle name="40% - Accent5 2 2 5 2" xfId="20240"/>
    <cellStyle name="40% - Accent5 2 2 6" xfId="20241"/>
    <cellStyle name="40% - Accent5 2 2 7" xfId="20242"/>
    <cellStyle name="40% - Accent5 2 2 8" xfId="20243"/>
    <cellStyle name="40% - Accent5 2 3" xfId="398"/>
    <cellStyle name="40% - Accent5 2 3 2" xfId="399"/>
    <cellStyle name="40% - Accent5 2 3 2 2" xfId="400"/>
    <cellStyle name="40% - Accent5 2 3 2 2 2" xfId="12865"/>
    <cellStyle name="40% - Accent5 2 3 2 2 3" xfId="20244"/>
    <cellStyle name="40% - Accent5 2 3 2 3" xfId="12866"/>
    <cellStyle name="40% - Accent5 2 3 2 4" xfId="20245"/>
    <cellStyle name="40% - Accent5 2 3 2 5" xfId="20246"/>
    <cellStyle name="40% - Accent5 2 3 3" xfId="401"/>
    <cellStyle name="40% - Accent5 2 3 3 2" xfId="12867"/>
    <cellStyle name="40% - Accent5 2 3 3 3" xfId="20247"/>
    <cellStyle name="40% - Accent5 2 3 3 4" xfId="20248"/>
    <cellStyle name="40% - Accent5 2 3 4" xfId="12868"/>
    <cellStyle name="40% - Accent5 2 3 5" xfId="20249"/>
    <cellStyle name="40% - Accent5 2 3 6" xfId="20250"/>
    <cellStyle name="40% - Accent5 2 3 7" xfId="20251"/>
    <cellStyle name="40% - Accent5 2 4" xfId="402"/>
    <cellStyle name="40% - Accent5 2 4 2" xfId="403"/>
    <cellStyle name="40% - Accent5 2 4 2 2" xfId="12869"/>
    <cellStyle name="40% - Accent5 2 4 2 3" xfId="20252"/>
    <cellStyle name="40% - Accent5 2 4 2 4" xfId="20253"/>
    <cellStyle name="40% - Accent5 2 4 3" xfId="12870"/>
    <cellStyle name="40% - Accent5 2 4 3 2" xfId="12871"/>
    <cellStyle name="40% - Accent5 2 4 4" xfId="12872"/>
    <cellStyle name="40% - Accent5 2 4 5" xfId="20254"/>
    <cellStyle name="40% - Accent5 2 4 6" xfId="20255"/>
    <cellStyle name="40% - Accent5 2 5" xfId="404"/>
    <cellStyle name="40% - Accent5 2 5 2" xfId="12873"/>
    <cellStyle name="40% - Accent5 2 5 3" xfId="20256"/>
    <cellStyle name="40% - Accent5 2 5 4" xfId="20257"/>
    <cellStyle name="40% - Accent5 2 6" xfId="405"/>
    <cellStyle name="40% - Accent5 2 6 2" xfId="18263"/>
    <cellStyle name="40% - Accent5 2 6 2 2" xfId="20258"/>
    <cellStyle name="40% - Accent5 2 6 2 3" xfId="20259"/>
    <cellStyle name="40% - Accent5 2 6 2 4" xfId="20260"/>
    <cellStyle name="40% - Accent5 2 6 3" xfId="20261"/>
    <cellStyle name="40% - Accent5 2 6 3 2" xfId="20262"/>
    <cellStyle name="40% - Accent5 2 6 3 3" xfId="20263"/>
    <cellStyle name="40% - Accent5 2 6 4" xfId="20264"/>
    <cellStyle name="40% - Accent5 2 6 4 2" xfId="20265"/>
    <cellStyle name="40% - Accent5 2 6 5" xfId="20266"/>
    <cellStyle name="40% - Accent5 2 6 6" xfId="20267"/>
    <cellStyle name="40% - Accent5 2 6 7" xfId="20268"/>
    <cellStyle name="40% - Accent5 2 6 8" xfId="20269"/>
    <cellStyle name="40% - Accent5 2 7" xfId="406"/>
    <cellStyle name="40% - Accent5 2 7 2" xfId="20270"/>
    <cellStyle name="40% - Accent5 2 7 3" xfId="20271"/>
    <cellStyle name="40% - Accent5 2 7 4" xfId="20272"/>
    <cellStyle name="40% - Accent5 2 8" xfId="407"/>
    <cellStyle name="40% - Accent5 2 8 2" xfId="20273"/>
    <cellStyle name="40% - Accent5 2 9" xfId="20274"/>
    <cellStyle name="40% - Accent5 2 9 2" xfId="20275"/>
    <cellStyle name="40% - Accent5 2_12PCORC Wind Vestas and Royalties" xfId="12874"/>
    <cellStyle name="40% - Accent5 3" xfId="408"/>
    <cellStyle name="40% - Accent5 3 2" xfId="409"/>
    <cellStyle name="40% - Accent5 3 2 2" xfId="410"/>
    <cellStyle name="40% - Accent5 3 2 2 2" xfId="12875"/>
    <cellStyle name="40% - Accent5 3 2 2 3" xfId="20276"/>
    <cellStyle name="40% - Accent5 3 2 2 4" xfId="20277"/>
    <cellStyle name="40% - Accent5 3 2 3" xfId="411"/>
    <cellStyle name="40% - Accent5 3 2 3 2" xfId="12876"/>
    <cellStyle name="40% - Accent5 3 2 3 3" xfId="20278"/>
    <cellStyle name="40% - Accent5 3 2 3 4" xfId="20279"/>
    <cellStyle name="40% - Accent5 3 2 4" xfId="12877"/>
    <cellStyle name="40% - Accent5 3 2 4 2" xfId="12878"/>
    <cellStyle name="40% - Accent5 3 2 5" xfId="12879"/>
    <cellStyle name="40% - Accent5 3 2 6" xfId="20280"/>
    <cellStyle name="40% - Accent5 3 2 7" xfId="20281"/>
    <cellStyle name="40% - Accent5 3 3" xfId="412"/>
    <cellStyle name="40% - Accent5 3 3 2" xfId="413"/>
    <cellStyle name="40% - Accent5 3 3 2 2" xfId="12880"/>
    <cellStyle name="40% - Accent5 3 3 2 3" xfId="12881"/>
    <cellStyle name="40% - Accent5 3 3 2 3 2" xfId="18417"/>
    <cellStyle name="40% - Accent5 3 3 2 4" xfId="20282"/>
    <cellStyle name="40% - Accent5 3 3 3" xfId="12882"/>
    <cellStyle name="40% - Accent5 3 3 3 2" xfId="20283"/>
    <cellStyle name="40% - Accent5 3 3 4" xfId="12883"/>
    <cellStyle name="40% - Accent5 3 3 4 2" xfId="18418"/>
    <cellStyle name="40% - Accent5 3 3 5" xfId="20284"/>
    <cellStyle name="40% - Accent5 3 3 6" xfId="20285"/>
    <cellStyle name="40% - Accent5 3 4" xfId="414"/>
    <cellStyle name="40% - Accent5 3 4 2" xfId="12884"/>
    <cellStyle name="40% - Accent5 3 4 3" xfId="20286"/>
    <cellStyle name="40% - Accent5 3 4 4" xfId="20287"/>
    <cellStyle name="40% - Accent5 3 5" xfId="415"/>
    <cellStyle name="40% - Accent5 3 5 2" xfId="20288"/>
    <cellStyle name="40% - Accent5 3 6" xfId="20289"/>
    <cellStyle name="40% - Accent5 3 7" xfId="20290"/>
    <cellStyle name="40% - Accent5 3 8" xfId="20291"/>
    <cellStyle name="40% - Accent5 4" xfId="416"/>
    <cellStyle name="40% - Accent5 4 2" xfId="417"/>
    <cellStyle name="40% - Accent5 4 2 2" xfId="418"/>
    <cellStyle name="40% - Accent5 4 2 2 2" xfId="12885"/>
    <cellStyle name="40% - Accent5 4 2 2 3" xfId="20292"/>
    <cellStyle name="40% - Accent5 4 2 2 4" xfId="20293"/>
    <cellStyle name="40% - Accent5 4 2 3" xfId="12886"/>
    <cellStyle name="40% - Accent5 4 2 3 2" xfId="20294"/>
    <cellStyle name="40% - Accent5 4 2 4" xfId="20295"/>
    <cellStyle name="40% - Accent5 4 2 5" xfId="20296"/>
    <cellStyle name="40% - Accent5 4 2 6" xfId="20297"/>
    <cellStyle name="40% - Accent5 4 3" xfId="419"/>
    <cellStyle name="40% - Accent5 4 3 2" xfId="420"/>
    <cellStyle name="40% - Accent5 4 3 3" xfId="20298"/>
    <cellStyle name="40% - Accent5 4 3 4" xfId="20299"/>
    <cellStyle name="40% - Accent5 4 4" xfId="421"/>
    <cellStyle name="40% - Accent5 4 4 2" xfId="20300"/>
    <cellStyle name="40% - Accent5 4 4 3" xfId="20301"/>
    <cellStyle name="40% - Accent5 4 4 4" xfId="20302"/>
    <cellStyle name="40% - Accent5 4 5" xfId="422"/>
    <cellStyle name="40% - Accent5 4 5 2" xfId="20303"/>
    <cellStyle name="40% - Accent5 4 6" xfId="20304"/>
    <cellStyle name="40% - Accent5 4 6 2" xfId="20305"/>
    <cellStyle name="40% - Accent5 4 7" xfId="20306"/>
    <cellStyle name="40% - Accent5 4 8" xfId="20307"/>
    <cellStyle name="40% - Accent5 5" xfId="423"/>
    <cellStyle name="40% - Accent5 5 2" xfId="424"/>
    <cellStyle name="40% - Accent5 5 2 2" xfId="12887"/>
    <cellStyle name="40% - Accent5 5 2 2 2" xfId="20308"/>
    <cellStyle name="40% - Accent5 5 2 2 2 2" xfId="20309"/>
    <cellStyle name="40% - Accent5 5 2 2 2 3" xfId="20310"/>
    <cellStyle name="40% - Accent5 5 2 2 3" xfId="20311"/>
    <cellStyle name="40% - Accent5 5 2 2 3 2" xfId="20312"/>
    <cellStyle name="40% - Accent5 5 2 2 4" xfId="20313"/>
    <cellStyle name="40% - Accent5 5 2 2 5" xfId="20314"/>
    <cellStyle name="40% - Accent5 5 2 3" xfId="20315"/>
    <cellStyle name="40% - Accent5 5 2 4" xfId="20316"/>
    <cellStyle name="40% - Accent5 5 3" xfId="425"/>
    <cellStyle name="40% - Accent5 5 3 2" xfId="12888"/>
    <cellStyle name="40% - Accent5 5 3 3" xfId="20317"/>
    <cellStyle name="40% - Accent5 5 3 4" xfId="20318"/>
    <cellStyle name="40% - Accent5 5 4" xfId="12889"/>
    <cellStyle name="40% - Accent5 5 4 2" xfId="12890"/>
    <cellStyle name="40% - Accent5 5 5" xfId="12891"/>
    <cellStyle name="40% - Accent5 5 5 2" xfId="20319"/>
    <cellStyle name="40% - Accent5 5 5 2 2" xfId="20320"/>
    <cellStyle name="40% - Accent5 5 5 2 3" xfId="20321"/>
    <cellStyle name="40% - Accent5 5 5 3" xfId="20322"/>
    <cellStyle name="40% - Accent5 5 5 3 2" xfId="20323"/>
    <cellStyle name="40% - Accent5 5 5 4" xfId="20324"/>
    <cellStyle name="40% - Accent5 5 5 5" xfId="20325"/>
    <cellStyle name="40% - Accent5 5 6" xfId="20326"/>
    <cellStyle name="40% - Accent5 5 6 2" xfId="20327"/>
    <cellStyle name="40% - Accent5 5 6 2 2" xfId="20328"/>
    <cellStyle name="40% - Accent5 5 6 2 3" xfId="20329"/>
    <cellStyle name="40% - Accent5 5 6 3" xfId="20330"/>
    <cellStyle name="40% - Accent5 5 6 3 2" xfId="20331"/>
    <cellStyle name="40% - Accent5 5 6 4" xfId="20332"/>
    <cellStyle name="40% - Accent5 5 6 5" xfId="20333"/>
    <cellStyle name="40% - Accent5 5 6 6" xfId="20334"/>
    <cellStyle name="40% - Accent5 5 6 7" xfId="20335"/>
    <cellStyle name="40% - Accent5 5 7" xfId="20336"/>
    <cellStyle name="40% - Accent5 5 7 2" xfId="20337"/>
    <cellStyle name="40% - Accent5 5 7 2 2" xfId="20338"/>
    <cellStyle name="40% - Accent5 5 7 3" xfId="20339"/>
    <cellStyle name="40% - Accent5 5 7 4" xfId="20340"/>
    <cellStyle name="40% - Accent5 5 8" xfId="20341"/>
    <cellStyle name="40% - Accent5 5 8 2" xfId="20342"/>
    <cellStyle name="40% - Accent5 5 9" xfId="20343"/>
    <cellStyle name="40% - Accent5 6" xfId="426"/>
    <cellStyle name="40% - Accent5 6 2" xfId="427"/>
    <cellStyle name="40% - Accent5 6 2 2" xfId="12892"/>
    <cellStyle name="40% - Accent5 6 2 3" xfId="12893"/>
    <cellStyle name="40% - Accent5 6 2 3 2" xfId="18419"/>
    <cellStyle name="40% - Accent5 6 2 4" xfId="20344"/>
    <cellStyle name="40% - Accent5 6 3" xfId="12894"/>
    <cellStyle name="40% - Accent5 6 3 2" xfId="12895"/>
    <cellStyle name="40% - Accent5 6 4" xfId="12896"/>
    <cellStyle name="40% - Accent5 6 4 2" xfId="20345"/>
    <cellStyle name="40% - Accent5 6 4 2 2" xfId="20346"/>
    <cellStyle name="40% - Accent5 6 4 3" xfId="20347"/>
    <cellStyle name="40% - Accent5 6 4 4" xfId="20348"/>
    <cellStyle name="40% - Accent5 6 4 5" xfId="20349"/>
    <cellStyle name="40% - Accent5 6 4 6" xfId="20350"/>
    <cellStyle name="40% - Accent5 6 5" xfId="12897"/>
    <cellStyle name="40% - Accent5 6 5 2" xfId="18420"/>
    <cellStyle name="40% - Accent5 6 5 3" xfId="20351"/>
    <cellStyle name="40% - Accent5 6 5 4" xfId="20352"/>
    <cellStyle name="40% - Accent5 6 5 5" xfId="20353"/>
    <cellStyle name="40% - Accent5 6 6" xfId="20354"/>
    <cellStyle name="40% - Accent5 6 7" xfId="20355"/>
    <cellStyle name="40% - Accent5 6 8" xfId="20356"/>
    <cellStyle name="40% - Accent5 6 9" xfId="20357"/>
    <cellStyle name="40% - Accent5 7" xfId="428"/>
    <cellStyle name="40% - Accent5 7 2" xfId="12898"/>
    <cellStyle name="40% - Accent5 7 2 2" xfId="20358"/>
    <cellStyle name="40% - Accent5 7 2 2 2" xfId="20359"/>
    <cellStyle name="40% - Accent5 7 2 3" xfId="20360"/>
    <cellStyle name="40% - Accent5 7 2 4" xfId="20361"/>
    <cellStyle name="40% - Accent5 7 3" xfId="20362"/>
    <cellStyle name="40% - Accent5 7 3 2" xfId="20363"/>
    <cellStyle name="40% - Accent5 7 3 3" xfId="20364"/>
    <cellStyle name="40% - Accent5 7 4" xfId="20365"/>
    <cellStyle name="40% - Accent5 7 4 2" xfId="20366"/>
    <cellStyle name="40% - Accent5 7 4 3" xfId="20367"/>
    <cellStyle name="40% - Accent5 7 5" xfId="20368"/>
    <cellStyle name="40% - Accent5 7 6" xfId="20369"/>
    <cellStyle name="40% - Accent5 8" xfId="12899"/>
    <cellStyle name="40% - Accent5 8 2" xfId="12900"/>
    <cellStyle name="40% - Accent5 8 2 2" xfId="20370"/>
    <cellStyle name="40% - Accent5 8 2 2 2" xfId="20371"/>
    <cellStyle name="40% - Accent5 8 2 3" xfId="20372"/>
    <cellStyle name="40% - Accent5 8 2 4" xfId="20373"/>
    <cellStyle name="40% - Accent5 8 3" xfId="20374"/>
    <cellStyle name="40% - Accent5 8 3 2" xfId="20375"/>
    <cellStyle name="40% - Accent5 8 3 2 2" xfId="20376"/>
    <cellStyle name="40% - Accent5 8 3 3" xfId="20377"/>
    <cellStyle name="40% - Accent5 8 3 4" xfId="20378"/>
    <cellStyle name="40% - Accent5 8 4" xfId="20379"/>
    <cellStyle name="40% - Accent5 9" xfId="12901"/>
    <cellStyle name="40% - Accent5 9 2" xfId="12902"/>
    <cellStyle name="40% - Accent5 9 2 2" xfId="20380"/>
    <cellStyle name="40% - Accent5 9 2 3" xfId="20381"/>
    <cellStyle name="40% - Accent5 9 3" xfId="20382"/>
    <cellStyle name="40% - Accent5 9 4" xfId="20383"/>
    <cellStyle name="40% - Accent5 9 5" xfId="20384"/>
    <cellStyle name="40% - Accent6 10" xfId="12903"/>
    <cellStyle name="40% - Accent6 10 2" xfId="12904"/>
    <cellStyle name="40% - Accent6 10 2 2" xfId="20385"/>
    <cellStyle name="40% - Accent6 10 2 3" xfId="20386"/>
    <cellStyle name="40% - Accent6 11" xfId="12905"/>
    <cellStyle name="40% - Accent6 11 2" xfId="12906"/>
    <cellStyle name="40% - Accent6 11 2 2" xfId="18422"/>
    <cellStyle name="40% - Accent6 11 3" xfId="18421"/>
    <cellStyle name="40% - Accent6 12" xfId="12907"/>
    <cellStyle name="40% - Accent6 12 2" xfId="18423"/>
    <cellStyle name="40% - Accent6 2" xfId="429"/>
    <cellStyle name="40% - Accent6 2 10" xfId="20387"/>
    <cellStyle name="40% - Accent6 2 11" xfId="20388"/>
    <cellStyle name="40% - Accent6 2 12" xfId="20389"/>
    <cellStyle name="40% - Accent6 2 12 2" xfId="20390"/>
    <cellStyle name="40% - Accent6 2 2" xfId="430"/>
    <cellStyle name="40% - Accent6 2 2 2" xfId="431"/>
    <cellStyle name="40% - Accent6 2 2 2 2" xfId="432"/>
    <cellStyle name="40% - Accent6 2 2 2 2 2" xfId="12908"/>
    <cellStyle name="40% - Accent6 2 2 2 2 3" xfId="20391"/>
    <cellStyle name="40% - Accent6 2 2 2 3" xfId="12909"/>
    <cellStyle name="40% - Accent6 2 2 2 4" xfId="20392"/>
    <cellStyle name="40% - Accent6 2 2 2 5" xfId="20393"/>
    <cellStyle name="40% - Accent6 2 2 3" xfId="433"/>
    <cellStyle name="40% - Accent6 2 2 3 2" xfId="434"/>
    <cellStyle name="40% - Accent6 2 2 3 2 2" xfId="20394"/>
    <cellStyle name="40% - Accent6 2 2 3 2 3" xfId="20395"/>
    <cellStyle name="40% - Accent6 2 2 3 3" xfId="20396"/>
    <cellStyle name="40% - Accent6 2 2 3 4" xfId="20397"/>
    <cellStyle name="40% - Accent6 2 2 3 5" xfId="20398"/>
    <cellStyle name="40% - Accent6 2 2 4" xfId="435"/>
    <cellStyle name="40% - Accent6 2 2 4 2" xfId="20399"/>
    <cellStyle name="40% - Accent6 2 2 4 3" xfId="20400"/>
    <cellStyle name="40% - Accent6 2 2 4 4" xfId="20401"/>
    <cellStyle name="40% - Accent6 2 2 5" xfId="20402"/>
    <cellStyle name="40% - Accent6 2 2 5 2" xfId="20403"/>
    <cellStyle name="40% - Accent6 2 2 6" xfId="20404"/>
    <cellStyle name="40% - Accent6 2 2 7" xfId="20405"/>
    <cellStyle name="40% - Accent6 2 2 8" xfId="20406"/>
    <cellStyle name="40% - Accent6 2 3" xfId="436"/>
    <cellStyle name="40% - Accent6 2 3 2" xfId="437"/>
    <cellStyle name="40% - Accent6 2 3 2 2" xfId="438"/>
    <cellStyle name="40% - Accent6 2 3 2 2 2" xfId="12910"/>
    <cellStyle name="40% - Accent6 2 3 2 2 3" xfId="20407"/>
    <cellStyle name="40% - Accent6 2 3 2 3" xfId="12911"/>
    <cellStyle name="40% - Accent6 2 3 2 4" xfId="20408"/>
    <cellStyle name="40% - Accent6 2 3 2 5" xfId="20409"/>
    <cellStyle name="40% - Accent6 2 3 3" xfId="439"/>
    <cellStyle name="40% - Accent6 2 3 3 2" xfId="12912"/>
    <cellStyle name="40% - Accent6 2 3 3 3" xfId="20410"/>
    <cellStyle name="40% - Accent6 2 3 3 4" xfId="20411"/>
    <cellStyle name="40% - Accent6 2 3 4" xfId="12913"/>
    <cellStyle name="40% - Accent6 2 3 5" xfId="20412"/>
    <cellStyle name="40% - Accent6 2 3 6" xfId="20413"/>
    <cellStyle name="40% - Accent6 2 3 7" xfId="20414"/>
    <cellStyle name="40% - Accent6 2 4" xfId="440"/>
    <cellStyle name="40% - Accent6 2 4 2" xfId="441"/>
    <cellStyle name="40% - Accent6 2 4 2 2" xfId="12914"/>
    <cellStyle name="40% - Accent6 2 4 2 3" xfId="20415"/>
    <cellStyle name="40% - Accent6 2 4 2 4" xfId="20416"/>
    <cellStyle name="40% - Accent6 2 4 3" xfId="12915"/>
    <cellStyle name="40% - Accent6 2 4 3 2" xfId="12916"/>
    <cellStyle name="40% - Accent6 2 4 4" xfId="12917"/>
    <cellStyle name="40% - Accent6 2 4 5" xfId="20417"/>
    <cellStyle name="40% - Accent6 2 4 6" xfId="20418"/>
    <cellStyle name="40% - Accent6 2 5" xfId="442"/>
    <cellStyle name="40% - Accent6 2 5 2" xfId="12918"/>
    <cellStyle name="40% - Accent6 2 5 3" xfId="20419"/>
    <cellStyle name="40% - Accent6 2 5 4" xfId="20420"/>
    <cellStyle name="40% - Accent6 2 6" xfId="443"/>
    <cellStyle name="40% - Accent6 2 6 2" xfId="18264"/>
    <cellStyle name="40% - Accent6 2 6 2 2" xfId="20421"/>
    <cellStyle name="40% - Accent6 2 6 2 3" xfId="20422"/>
    <cellStyle name="40% - Accent6 2 6 2 4" xfId="20423"/>
    <cellStyle name="40% - Accent6 2 6 3" xfId="20424"/>
    <cellStyle name="40% - Accent6 2 6 3 2" xfId="20425"/>
    <cellStyle name="40% - Accent6 2 6 3 3" xfId="20426"/>
    <cellStyle name="40% - Accent6 2 6 4" xfId="20427"/>
    <cellStyle name="40% - Accent6 2 6 4 2" xfId="20428"/>
    <cellStyle name="40% - Accent6 2 6 5" xfId="20429"/>
    <cellStyle name="40% - Accent6 2 6 6" xfId="20430"/>
    <cellStyle name="40% - Accent6 2 6 7" xfId="20431"/>
    <cellStyle name="40% - Accent6 2 6 8" xfId="20432"/>
    <cellStyle name="40% - Accent6 2 7" xfId="444"/>
    <cellStyle name="40% - Accent6 2 7 2" xfId="20433"/>
    <cellStyle name="40% - Accent6 2 7 3" xfId="20434"/>
    <cellStyle name="40% - Accent6 2 7 4" xfId="20435"/>
    <cellStyle name="40% - Accent6 2 8" xfId="445"/>
    <cellStyle name="40% - Accent6 2 8 2" xfId="20436"/>
    <cellStyle name="40% - Accent6 2 9" xfId="20437"/>
    <cellStyle name="40% - Accent6 2 9 2" xfId="20438"/>
    <cellStyle name="40% - Accent6 2_12PCORC Wind Vestas and Royalties" xfId="12919"/>
    <cellStyle name="40% - Accent6 3" xfId="446"/>
    <cellStyle name="40% - Accent6 3 2" xfId="447"/>
    <cellStyle name="40% - Accent6 3 2 2" xfId="448"/>
    <cellStyle name="40% - Accent6 3 2 2 2" xfId="12920"/>
    <cellStyle name="40% - Accent6 3 2 2 3" xfId="20439"/>
    <cellStyle name="40% - Accent6 3 2 2 4" xfId="20440"/>
    <cellStyle name="40% - Accent6 3 2 3" xfId="449"/>
    <cellStyle name="40% - Accent6 3 2 3 2" xfId="12921"/>
    <cellStyle name="40% - Accent6 3 2 3 3" xfId="20441"/>
    <cellStyle name="40% - Accent6 3 2 3 4" xfId="20442"/>
    <cellStyle name="40% - Accent6 3 2 4" xfId="12922"/>
    <cellStyle name="40% - Accent6 3 2 4 2" xfId="12923"/>
    <cellStyle name="40% - Accent6 3 2 5" xfId="12924"/>
    <cellStyle name="40% - Accent6 3 2 6" xfId="20443"/>
    <cellStyle name="40% - Accent6 3 2 7" xfId="20444"/>
    <cellStyle name="40% - Accent6 3 3" xfId="450"/>
    <cellStyle name="40% - Accent6 3 3 2" xfId="451"/>
    <cellStyle name="40% - Accent6 3 3 2 2" xfId="12925"/>
    <cellStyle name="40% - Accent6 3 3 2 3" xfId="12926"/>
    <cellStyle name="40% - Accent6 3 3 2 3 2" xfId="18424"/>
    <cellStyle name="40% - Accent6 3 3 2 4" xfId="20445"/>
    <cellStyle name="40% - Accent6 3 3 3" xfId="12927"/>
    <cellStyle name="40% - Accent6 3 3 3 2" xfId="20446"/>
    <cellStyle name="40% - Accent6 3 3 4" xfId="12928"/>
    <cellStyle name="40% - Accent6 3 3 4 2" xfId="18425"/>
    <cellStyle name="40% - Accent6 3 3 5" xfId="20447"/>
    <cellStyle name="40% - Accent6 3 3 6" xfId="20448"/>
    <cellStyle name="40% - Accent6 3 4" xfId="452"/>
    <cellStyle name="40% - Accent6 3 4 2" xfId="12929"/>
    <cellStyle name="40% - Accent6 3 4 3" xfId="20449"/>
    <cellStyle name="40% - Accent6 3 4 4" xfId="20450"/>
    <cellStyle name="40% - Accent6 3 5" xfId="453"/>
    <cellStyle name="40% - Accent6 3 5 2" xfId="20451"/>
    <cellStyle name="40% - Accent6 3 6" xfId="20452"/>
    <cellStyle name="40% - Accent6 3 7" xfId="20453"/>
    <cellStyle name="40% - Accent6 3 8" xfId="20454"/>
    <cellStyle name="40% - Accent6 4" xfId="454"/>
    <cellStyle name="40% - Accent6 4 2" xfId="455"/>
    <cellStyle name="40% - Accent6 4 2 2" xfId="456"/>
    <cellStyle name="40% - Accent6 4 2 2 2" xfId="12930"/>
    <cellStyle name="40% - Accent6 4 2 2 3" xfId="20455"/>
    <cellStyle name="40% - Accent6 4 2 2 4" xfId="20456"/>
    <cellStyle name="40% - Accent6 4 2 3" xfId="12931"/>
    <cellStyle name="40% - Accent6 4 2 3 2" xfId="20457"/>
    <cellStyle name="40% - Accent6 4 2 4" xfId="20458"/>
    <cellStyle name="40% - Accent6 4 2 5" xfId="20459"/>
    <cellStyle name="40% - Accent6 4 2 6" xfId="20460"/>
    <cellStyle name="40% - Accent6 4 3" xfId="457"/>
    <cellStyle name="40% - Accent6 4 3 2" xfId="458"/>
    <cellStyle name="40% - Accent6 4 3 3" xfId="20461"/>
    <cellStyle name="40% - Accent6 4 3 4" xfId="20462"/>
    <cellStyle name="40% - Accent6 4 4" xfId="459"/>
    <cellStyle name="40% - Accent6 4 4 2" xfId="20463"/>
    <cellStyle name="40% - Accent6 4 4 3" xfId="20464"/>
    <cellStyle name="40% - Accent6 4 4 4" xfId="20465"/>
    <cellStyle name="40% - Accent6 4 5" xfId="460"/>
    <cellStyle name="40% - Accent6 4 5 2" xfId="20466"/>
    <cellStyle name="40% - Accent6 4 6" xfId="20467"/>
    <cellStyle name="40% - Accent6 4 6 2" xfId="20468"/>
    <cellStyle name="40% - Accent6 4 7" xfId="20469"/>
    <cellStyle name="40% - Accent6 4 8" xfId="20470"/>
    <cellStyle name="40% - Accent6 5" xfId="461"/>
    <cellStyle name="40% - Accent6 5 2" xfId="462"/>
    <cellStyle name="40% - Accent6 5 2 2" xfId="12932"/>
    <cellStyle name="40% - Accent6 5 2 2 2" xfId="20471"/>
    <cellStyle name="40% - Accent6 5 2 2 2 2" xfId="20472"/>
    <cellStyle name="40% - Accent6 5 2 2 2 3" xfId="20473"/>
    <cellStyle name="40% - Accent6 5 2 2 3" xfId="20474"/>
    <cellStyle name="40% - Accent6 5 2 2 3 2" xfId="20475"/>
    <cellStyle name="40% - Accent6 5 2 2 4" xfId="20476"/>
    <cellStyle name="40% - Accent6 5 2 2 5" xfId="20477"/>
    <cellStyle name="40% - Accent6 5 2 3" xfId="20478"/>
    <cellStyle name="40% - Accent6 5 2 4" xfId="20479"/>
    <cellStyle name="40% - Accent6 5 3" xfId="463"/>
    <cellStyle name="40% - Accent6 5 3 2" xfId="12933"/>
    <cellStyle name="40% - Accent6 5 3 3" xfId="20480"/>
    <cellStyle name="40% - Accent6 5 3 4" xfId="20481"/>
    <cellStyle name="40% - Accent6 5 4" xfId="12934"/>
    <cellStyle name="40% - Accent6 5 4 2" xfId="12935"/>
    <cellStyle name="40% - Accent6 5 5" xfId="12936"/>
    <cellStyle name="40% - Accent6 5 5 2" xfId="20482"/>
    <cellStyle name="40% - Accent6 5 5 2 2" xfId="20483"/>
    <cellStyle name="40% - Accent6 5 5 2 3" xfId="20484"/>
    <cellStyle name="40% - Accent6 5 5 3" xfId="20485"/>
    <cellStyle name="40% - Accent6 5 5 3 2" xfId="20486"/>
    <cellStyle name="40% - Accent6 5 5 4" xfId="20487"/>
    <cellStyle name="40% - Accent6 5 5 5" xfId="20488"/>
    <cellStyle name="40% - Accent6 5 6" xfId="20489"/>
    <cellStyle name="40% - Accent6 5 6 2" xfId="20490"/>
    <cellStyle name="40% - Accent6 5 6 2 2" xfId="20491"/>
    <cellStyle name="40% - Accent6 5 6 2 3" xfId="20492"/>
    <cellStyle name="40% - Accent6 5 6 3" xfId="20493"/>
    <cellStyle name="40% - Accent6 5 6 3 2" xfId="20494"/>
    <cellStyle name="40% - Accent6 5 6 4" xfId="20495"/>
    <cellStyle name="40% - Accent6 5 6 5" xfId="20496"/>
    <cellStyle name="40% - Accent6 5 6 6" xfId="20497"/>
    <cellStyle name="40% - Accent6 5 6 7" xfId="20498"/>
    <cellStyle name="40% - Accent6 5 7" xfId="20499"/>
    <cellStyle name="40% - Accent6 5 7 2" xfId="20500"/>
    <cellStyle name="40% - Accent6 5 7 2 2" xfId="20501"/>
    <cellStyle name="40% - Accent6 5 7 3" xfId="20502"/>
    <cellStyle name="40% - Accent6 5 7 4" xfId="20503"/>
    <cellStyle name="40% - Accent6 5 8" xfId="20504"/>
    <cellStyle name="40% - Accent6 5 8 2" xfId="20505"/>
    <cellStyle name="40% - Accent6 5 9" xfId="20506"/>
    <cellStyle name="40% - Accent6 6" xfId="464"/>
    <cellStyle name="40% - Accent6 6 2" xfId="465"/>
    <cellStyle name="40% - Accent6 6 2 2" xfId="12937"/>
    <cellStyle name="40% - Accent6 6 2 3" xfId="12938"/>
    <cellStyle name="40% - Accent6 6 2 3 2" xfId="18426"/>
    <cellStyle name="40% - Accent6 6 2 4" xfId="20507"/>
    <cellStyle name="40% - Accent6 6 3" xfId="12939"/>
    <cellStyle name="40% - Accent6 6 3 2" xfId="12940"/>
    <cellStyle name="40% - Accent6 6 4" xfId="12941"/>
    <cellStyle name="40% - Accent6 6 4 2" xfId="20508"/>
    <cellStyle name="40% - Accent6 6 4 2 2" xfId="20509"/>
    <cellStyle name="40% - Accent6 6 4 3" xfId="20510"/>
    <cellStyle name="40% - Accent6 6 4 4" xfId="20511"/>
    <cellStyle name="40% - Accent6 6 4 5" xfId="20512"/>
    <cellStyle name="40% - Accent6 6 4 6" xfId="20513"/>
    <cellStyle name="40% - Accent6 6 5" xfId="12942"/>
    <cellStyle name="40% - Accent6 6 5 2" xfId="18427"/>
    <cellStyle name="40% - Accent6 6 5 3" xfId="20514"/>
    <cellStyle name="40% - Accent6 6 5 4" xfId="20515"/>
    <cellStyle name="40% - Accent6 6 5 5" xfId="20516"/>
    <cellStyle name="40% - Accent6 6 6" xfId="20517"/>
    <cellStyle name="40% - Accent6 6 7" xfId="20518"/>
    <cellStyle name="40% - Accent6 6 8" xfId="20519"/>
    <cellStyle name="40% - Accent6 6 9" xfId="20520"/>
    <cellStyle name="40% - Accent6 7" xfId="466"/>
    <cellStyle name="40% - Accent6 7 2" xfId="12943"/>
    <cellStyle name="40% - Accent6 7 2 2" xfId="20521"/>
    <cellStyle name="40% - Accent6 7 2 2 2" xfId="20522"/>
    <cellStyle name="40% - Accent6 7 2 3" xfId="20523"/>
    <cellStyle name="40% - Accent6 7 2 4" xfId="20524"/>
    <cellStyle name="40% - Accent6 7 3" xfId="20525"/>
    <cellStyle name="40% - Accent6 7 3 2" xfId="20526"/>
    <cellStyle name="40% - Accent6 7 3 3" xfId="20527"/>
    <cellStyle name="40% - Accent6 7 4" xfId="20528"/>
    <cellStyle name="40% - Accent6 7 4 2" xfId="20529"/>
    <cellStyle name="40% - Accent6 7 4 3" xfId="20530"/>
    <cellStyle name="40% - Accent6 7 5" xfId="20531"/>
    <cellStyle name="40% - Accent6 7 6" xfId="20532"/>
    <cellStyle name="40% - Accent6 8" xfId="12944"/>
    <cellStyle name="40% - Accent6 8 2" xfId="12945"/>
    <cellStyle name="40% - Accent6 8 2 2" xfId="20533"/>
    <cellStyle name="40% - Accent6 8 2 2 2" xfId="20534"/>
    <cellStyle name="40% - Accent6 8 2 3" xfId="20535"/>
    <cellStyle name="40% - Accent6 8 2 4" xfId="20536"/>
    <cellStyle name="40% - Accent6 8 3" xfId="20537"/>
    <cellStyle name="40% - Accent6 8 3 2" xfId="20538"/>
    <cellStyle name="40% - Accent6 8 3 2 2" xfId="20539"/>
    <cellStyle name="40% - Accent6 8 3 3" xfId="20540"/>
    <cellStyle name="40% - Accent6 8 3 4" xfId="20541"/>
    <cellStyle name="40% - Accent6 8 4" xfId="20542"/>
    <cellStyle name="40% - Accent6 9" xfId="12946"/>
    <cellStyle name="40% - Accent6 9 2" xfId="12947"/>
    <cellStyle name="40% - Accent6 9 2 2" xfId="20543"/>
    <cellStyle name="40% - Accent6 9 2 3" xfId="20544"/>
    <cellStyle name="40% - Accent6 9 3" xfId="20545"/>
    <cellStyle name="40% - Accent6 9 4" xfId="20546"/>
    <cellStyle name="40% - Accent6 9 5" xfId="20547"/>
    <cellStyle name="60% - Accent1 2" xfId="467"/>
    <cellStyle name="60% - Accent1 2 2" xfId="468"/>
    <cellStyle name="60% - Accent1 2 2 2" xfId="12948"/>
    <cellStyle name="60% - Accent1 2 2 2 2" xfId="12949"/>
    <cellStyle name="60% - Accent1 2 2 3" xfId="12950"/>
    <cellStyle name="60% - Accent1 2 3" xfId="12951"/>
    <cellStyle name="60% - Accent1 2 3 2" xfId="12952"/>
    <cellStyle name="60% - Accent1 2 3 2 2" xfId="12953"/>
    <cellStyle name="60% - Accent1 2 3 3" xfId="12954"/>
    <cellStyle name="60% - Accent1 2 3 3 2" xfId="12955"/>
    <cellStyle name="60% - Accent1 2 3 4" xfId="12956"/>
    <cellStyle name="60% - Accent1 2 4" xfId="12957"/>
    <cellStyle name="60% - Accent1 2 4 2" xfId="12958"/>
    <cellStyle name="60% - Accent1 2 5" xfId="12959"/>
    <cellStyle name="60% - Accent1 3" xfId="469"/>
    <cellStyle name="60% - Accent1 3 2" xfId="470"/>
    <cellStyle name="60% - Accent1 3 2 2" xfId="12960"/>
    <cellStyle name="60% - Accent1 3 3" xfId="12961"/>
    <cellStyle name="60% - Accent1 4" xfId="471"/>
    <cellStyle name="60% - Accent1 4 2" xfId="12962"/>
    <cellStyle name="60% - Accent1 4 2 2" xfId="12963"/>
    <cellStyle name="60% - Accent1 4 3" xfId="12964"/>
    <cellStyle name="60% - Accent1 5" xfId="12965"/>
    <cellStyle name="60% - Accent1 5 2" xfId="12966"/>
    <cellStyle name="60% - Accent1 5 2 2" xfId="12967"/>
    <cellStyle name="60% - Accent1 5 3" xfId="12968"/>
    <cellStyle name="60% - Accent1 6" xfId="12969"/>
    <cellStyle name="60% - Accent1 6 2" xfId="12970"/>
    <cellStyle name="60% - Accent2 2" xfId="472"/>
    <cellStyle name="60% - Accent2 2 2" xfId="473"/>
    <cellStyle name="60% - Accent2 2 2 2" xfId="12971"/>
    <cellStyle name="60% - Accent2 2 2 2 2" xfId="12972"/>
    <cellStyle name="60% - Accent2 2 2 3" xfId="12973"/>
    <cellStyle name="60% - Accent2 2 3" xfId="12974"/>
    <cellStyle name="60% - Accent2 2 3 2" xfId="12975"/>
    <cellStyle name="60% - Accent2 2 3 2 2" xfId="12976"/>
    <cellStyle name="60% - Accent2 2 3 3" xfId="12977"/>
    <cellStyle name="60% - Accent2 2 3 3 2" xfId="12978"/>
    <cellStyle name="60% - Accent2 2 3 4" xfId="12979"/>
    <cellStyle name="60% - Accent2 2 4" xfId="12980"/>
    <cellStyle name="60% - Accent2 2 4 2" xfId="12981"/>
    <cellStyle name="60% - Accent2 2 5" xfId="12982"/>
    <cellStyle name="60% - Accent2 3" xfId="474"/>
    <cellStyle name="60% - Accent2 3 2" xfId="475"/>
    <cellStyle name="60% - Accent2 3 2 2" xfId="12983"/>
    <cellStyle name="60% - Accent2 3 3" xfId="12984"/>
    <cellStyle name="60% - Accent2 4" xfId="476"/>
    <cellStyle name="60% - Accent2 4 2" xfId="12985"/>
    <cellStyle name="60% - Accent2 4 2 2" xfId="12986"/>
    <cellStyle name="60% - Accent2 4 3" xfId="12987"/>
    <cellStyle name="60% - Accent2 5" xfId="12988"/>
    <cellStyle name="60% - Accent2 5 2" xfId="12989"/>
    <cellStyle name="60% - Accent2 5 2 2" xfId="12990"/>
    <cellStyle name="60% - Accent2 5 3" xfId="12991"/>
    <cellStyle name="60% - Accent2 6" xfId="12992"/>
    <cellStyle name="60% - Accent2 6 2" xfId="12993"/>
    <cellStyle name="60% - Accent3 2" xfId="477"/>
    <cellStyle name="60% - Accent3 2 2" xfId="478"/>
    <cellStyle name="60% - Accent3 2 2 2" xfId="12994"/>
    <cellStyle name="60% - Accent3 2 2 2 2" xfId="12995"/>
    <cellStyle name="60% - Accent3 2 2 3" xfId="12996"/>
    <cellStyle name="60% - Accent3 2 3" xfId="12997"/>
    <cellStyle name="60% - Accent3 2 3 2" xfId="12998"/>
    <cellStyle name="60% - Accent3 2 3 2 2" xfId="12999"/>
    <cellStyle name="60% - Accent3 2 3 3" xfId="13000"/>
    <cellStyle name="60% - Accent3 2 3 3 2" xfId="13001"/>
    <cellStyle name="60% - Accent3 2 3 4" xfId="13002"/>
    <cellStyle name="60% - Accent3 2 4" xfId="13003"/>
    <cellStyle name="60% - Accent3 2 4 2" xfId="13004"/>
    <cellStyle name="60% - Accent3 2 5" xfId="13005"/>
    <cellStyle name="60% - Accent3 3" xfId="479"/>
    <cellStyle name="60% - Accent3 3 2" xfId="480"/>
    <cellStyle name="60% - Accent3 3 2 2" xfId="13006"/>
    <cellStyle name="60% - Accent3 3 3" xfId="13007"/>
    <cellStyle name="60% - Accent3 4" xfId="481"/>
    <cellStyle name="60% - Accent3 4 2" xfId="13008"/>
    <cellStyle name="60% - Accent3 4 2 2" xfId="13009"/>
    <cellStyle name="60% - Accent3 4 3" xfId="13010"/>
    <cellStyle name="60% - Accent3 5" xfId="13011"/>
    <cellStyle name="60% - Accent3 5 2" xfId="13012"/>
    <cellStyle name="60% - Accent3 5 2 2" xfId="13013"/>
    <cellStyle name="60% - Accent3 5 3" xfId="13014"/>
    <cellStyle name="60% - Accent3 6" xfId="13015"/>
    <cellStyle name="60% - Accent3 6 2" xfId="13016"/>
    <cellStyle name="60% - Accent4 2" xfId="482"/>
    <cellStyle name="60% - Accent4 2 2" xfId="483"/>
    <cellStyle name="60% - Accent4 2 2 2" xfId="13017"/>
    <cellStyle name="60% - Accent4 2 2 2 2" xfId="13018"/>
    <cellStyle name="60% - Accent4 2 2 3" xfId="13019"/>
    <cellStyle name="60% - Accent4 2 3" xfId="13020"/>
    <cellStyle name="60% - Accent4 2 3 2" xfId="13021"/>
    <cellStyle name="60% - Accent4 2 3 2 2" xfId="13022"/>
    <cellStyle name="60% - Accent4 2 3 3" xfId="13023"/>
    <cellStyle name="60% - Accent4 2 3 3 2" xfId="13024"/>
    <cellStyle name="60% - Accent4 2 3 4" xfId="13025"/>
    <cellStyle name="60% - Accent4 2 4" xfId="13026"/>
    <cellStyle name="60% - Accent4 2 4 2" xfId="13027"/>
    <cellStyle name="60% - Accent4 2 5" xfId="13028"/>
    <cellStyle name="60% - Accent4 3" xfId="484"/>
    <cellStyle name="60% - Accent4 3 2" xfId="485"/>
    <cellStyle name="60% - Accent4 3 2 2" xfId="13029"/>
    <cellStyle name="60% - Accent4 3 3" xfId="13030"/>
    <cellStyle name="60% - Accent4 4" xfId="486"/>
    <cellStyle name="60% - Accent4 4 2" xfId="13031"/>
    <cellStyle name="60% - Accent4 4 2 2" xfId="13032"/>
    <cellStyle name="60% - Accent4 4 3" xfId="13033"/>
    <cellStyle name="60% - Accent4 5" xfId="13034"/>
    <cellStyle name="60% - Accent4 5 2" xfId="13035"/>
    <cellStyle name="60% - Accent4 5 2 2" xfId="13036"/>
    <cellStyle name="60% - Accent4 5 3" xfId="13037"/>
    <cellStyle name="60% - Accent4 6" xfId="13038"/>
    <cellStyle name="60% - Accent4 6 2" xfId="13039"/>
    <cellStyle name="60% - Accent5 2" xfId="487"/>
    <cellStyle name="60% - Accent5 2 2" xfId="488"/>
    <cellStyle name="60% - Accent5 2 2 2" xfId="13040"/>
    <cellStyle name="60% - Accent5 2 2 2 2" xfId="13041"/>
    <cellStyle name="60% - Accent5 2 2 3" xfId="13042"/>
    <cellStyle name="60% - Accent5 2 3" xfId="13043"/>
    <cellStyle name="60% - Accent5 2 3 2" xfId="13044"/>
    <cellStyle name="60% - Accent5 2 3 2 2" xfId="13045"/>
    <cellStyle name="60% - Accent5 2 3 3" xfId="13046"/>
    <cellStyle name="60% - Accent5 2 3 3 2" xfId="13047"/>
    <cellStyle name="60% - Accent5 2 3 4" xfId="13048"/>
    <cellStyle name="60% - Accent5 2 4" xfId="13049"/>
    <cellStyle name="60% - Accent5 2 4 2" xfId="13050"/>
    <cellStyle name="60% - Accent5 2 5" xfId="13051"/>
    <cellStyle name="60% - Accent5 3" xfId="489"/>
    <cellStyle name="60% - Accent5 3 2" xfId="490"/>
    <cellStyle name="60% - Accent5 3 2 2" xfId="13052"/>
    <cellStyle name="60% - Accent5 3 3" xfId="13053"/>
    <cellStyle name="60% - Accent5 4" xfId="491"/>
    <cellStyle name="60% - Accent5 4 2" xfId="13054"/>
    <cellStyle name="60% - Accent5 4 2 2" xfId="13055"/>
    <cellStyle name="60% - Accent5 4 3" xfId="13056"/>
    <cellStyle name="60% - Accent5 5" xfId="13057"/>
    <cellStyle name="60% - Accent5 5 2" xfId="13058"/>
    <cellStyle name="60% - Accent5 5 2 2" xfId="13059"/>
    <cellStyle name="60% - Accent5 5 3" xfId="13060"/>
    <cellStyle name="60% - Accent5 6" xfId="13061"/>
    <cellStyle name="60% - Accent5 6 2" xfId="13062"/>
    <cellStyle name="60% - Accent6 2" xfId="492"/>
    <cellStyle name="60% - Accent6 2 2" xfId="493"/>
    <cellStyle name="60% - Accent6 2 2 2" xfId="13063"/>
    <cellStyle name="60% - Accent6 2 2 2 2" xfId="13064"/>
    <cellStyle name="60% - Accent6 2 2 3" xfId="13065"/>
    <cellStyle name="60% - Accent6 2 3" xfId="13066"/>
    <cellStyle name="60% - Accent6 2 3 2" xfId="13067"/>
    <cellStyle name="60% - Accent6 2 3 2 2" xfId="13068"/>
    <cellStyle name="60% - Accent6 2 3 3" xfId="13069"/>
    <cellStyle name="60% - Accent6 2 3 3 2" xfId="13070"/>
    <cellStyle name="60% - Accent6 2 3 4" xfId="13071"/>
    <cellStyle name="60% - Accent6 2 4" xfId="13072"/>
    <cellStyle name="60% - Accent6 2 4 2" xfId="13073"/>
    <cellStyle name="60% - Accent6 2 5" xfId="13074"/>
    <cellStyle name="60% - Accent6 3" xfId="494"/>
    <cellStyle name="60% - Accent6 3 2" xfId="495"/>
    <cellStyle name="60% - Accent6 3 2 2" xfId="13075"/>
    <cellStyle name="60% - Accent6 3 3" xfId="13076"/>
    <cellStyle name="60% - Accent6 4" xfId="496"/>
    <cellStyle name="60% - Accent6 4 2" xfId="13077"/>
    <cellStyle name="60% - Accent6 4 2 2" xfId="13078"/>
    <cellStyle name="60% - Accent6 4 3" xfId="13079"/>
    <cellStyle name="60% - Accent6 5" xfId="13080"/>
    <cellStyle name="60% - Accent6 5 2" xfId="13081"/>
    <cellStyle name="60% - Accent6 5 2 2" xfId="13082"/>
    <cellStyle name="60% - Accent6 5 3" xfId="13083"/>
    <cellStyle name="60% - Accent6 6" xfId="13084"/>
    <cellStyle name="60% - Accent6 6 2" xfId="13085"/>
    <cellStyle name="Accent1 - 20%" xfId="13086"/>
    <cellStyle name="Accent1 - 20% 2" xfId="13087"/>
    <cellStyle name="Accent1 - 40%" xfId="13088"/>
    <cellStyle name="Accent1 - 40% 2" xfId="13089"/>
    <cellStyle name="Accent1 - 60%" xfId="13090"/>
    <cellStyle name="Accent1 - 60% 2" xfId="13091"/>
    <cellStyle name="Accent1 2" xfId="497"/>
    <cellStyle name="Accent1 2 2" xfId="498"/>
    <cellStyle name="Accent1 2 2 2" xfId="13092"/>
    <cellStyle name="Accent1 2 2 2 2" xfId="13093"/>
    <cellStyle name="Accent1 2 2 3" xfId="13094"/>
    <cellStyle name="Accent1 2 3" xfId="13095"/>
    <cellStyle name="Accent1 2 3 2" xfId="13096"/>
    <cellStyle name="Accent1 2 3 2 2" xfId="13097"/>
    <cellStyle name="Accent1 2 3 3" xfId="13098"/>
    <cellStyle name="Accent1 2 3 3 2" xfId="13099"/>
    <cellStyle name="Accent1 2 3 4" xfId="13100"/>
    <cellStyle name="Accent1 2 4" xfId="13101"/>
    <cellStyle name="Accent1 2 4 2" xfId="13102"/>
    <cellStyle name="Accent1 2 5" xfId="13103"/>
    <cellStyle name="Accent1 3" xfId="499"/>
    <cellStyle name="Accent1 3 2" xfId="500"/>
    <cellStyle name="Accent1 3 2 2" xfId="13104"/>
    <cellStyle name="Accent1 3 3" xfId="13105"/>
    <cellStyle name="Accent1 4" xfId="501"/>
    <cellStyle name="Accent1 4 2" xfId="13106"/>
    <cellStyle name="Accent1 4 2 2" xfId="13107"/>
    <cellStyle name="Accent1 4 3" xfId="13108"/>
    <cellStyle name="Accent1 5" xfId="13109"/>
    <cellStyle name="Accent1 5 2" xfId="13110"/>
    <cellStyle name="Accent1 5 2 2" xfId="13111"/>
    <cellStyle name="Accent1 5 3" xfId="13112"/>
    <cellStyle name="Accent1 6" xfId="13113"/>
    <cellStyle name="Accent1 6 2" xfId="13114"/>
    <cellStyle name="Accent1 7" xfId="13115"/>
    <cellStyle name="Accent1 8" xfId="13116"/>
    <cellStyle name="Accent1 9" xfId="13117"/>
    <cellStyle name="Accent2 - 20%" xfId="13118"/>
    <cellStyle name="Accent2 - 20% 2" xfId="13119"/>
    <cellStyle name="Accent2 - 40%" xfId="13120"/>
    <cellStyle name="Accent2 - 40% 2" xfId="13121"/>
    <cellStyle name="Accent2 - 60%" xfId="13122"/>
    <cellStyle name="Accent2 - 60% 2" xfId="13123"/>
    <cellStyle name="Accent2 2" xfId="502"/>
    <cellStyle name="Accent2 2 2" xfId="503"/>
    <cellStyle name="Accent2 2 2 2" xfId="13124"/>
    <cellStyle name="Accent2 2 2 2 2" xfId="13125"/>
    <cellStyle name="Accent2 2 2 3" xfId="13126"/>
    <cellStyle name="Accent2 2 3" xfId="13127"/>
    <cellStyle name="Accent2 2 3 2" xfId="13128"/>
    <cellStyle name="Accent2 2 3 2 2" xfId="13129"/>
    <cellStyle name="Accent2 2 3 3" xfId="13130"/>
    <cellStyle name="Accent2 2 3 3 2" xfId="13131"/>
    <cellStyle name="Accent2 2 3 4" xfId="13132"/>
    <cellStyle name="Accent2 2 4" xfId="13133"/>
    <cellStyle name="Accent2 2 4 2" xfId="13134"/>
    <cellStyle name="Accent2 2 5" xfId="13135"/>
    <cellStyle name="Accent2 3" xfId="504"/>
    <cellStyle name="Accent2 3 2" xfId="505"/>
    <cellStyle name="Accent2 3 2 2" xfId="13136"/>
    <cellStyle name="Accent2 3 3" xfId="13137"/>
    <cellStyle name="Accent2 4" xfId="506"/>
    <cellStyle name="Accent2 4 2" xfId="13138"/>
    <cellStyle name="Accent2 4 2 2" xfId="13139"/>
    <cellStyle name="Accent2 4 3" xfId="13140"/>
    <cellStyle name="Accent2 5" xfId="13141"/>
    <cellStyle name="Accent2 5 2" xfId="13142"/>
    <cellStyle name="Accent2 5 2 2" xfId="13143"/>
    <cellStyle name="Accent2 5 3" xfId="13144"/>
    <cellStyle name="Accent2 6" xfId="13145"/>
    <cellStyle name="Accent2 6 2" xfId="13146"/>
    <cellStyle name="Accent2 7" xfId="13147"/>
    <cellStyle name="Accent2 8" xfId="13148"/>
    <cellStyle name="Accent2 9" xfId="13149"/>
    <cellStyle name="Accent3 - 20%" xfId="13150"/>
    <cellStyle name="Accent3 - 20% 2" xfId="13151"/>
    <cellStyle name="Accent3 - 40%" xfId="13152"/>
    <cellStyle name="Accent3 - 40% 2" xfId="13153"/>
    <cellStyle name="Accent3 - 60%" xfId="13154"/>
    <cellStyle name="Accent3 - 60% 2" xfId="13155"/>
    <cellStyle name="Accent3 2" xfId="507"/>
    <cellStyle name="Accent3 2 2" xfId="508"/>
    <cellStyle name="Accent3 2 2 2" xfId="13156"/>
    <cellStyle name="Accent3 2 2 2 2" xfId="13157"/>
    <cellStyle name="Accent3 2 2 3" xfId="13158"/>
    <cellStyle name="Accent3 2 3" xfId="13159"/>
    <cellStyle name="Accent3 2 3 2" xfId="13160"/>
    <cellStyle name="Accent3 2 3 2 2" xfId="13161"/>
    <cellStyle name="Accent3 2 3 3" xfId="13162"/>
    <cellStyle name="Accent3 2 3 3 2" xfId="13163"/>
    <cellStyle name="Accent3 2 3 4" xfId="13164"/>
    <cellStyle name="Accent3 2 4" xfId="13165"/>
    <cellStyle name="Accent3 2 4 2" xfId="13166"/>
    <cellStyle name="Accent3 2 5" xfId="13167"/>
    <cellStyle name="Accent3 3" xfId="509"/>
    <cellStyle name="Accent3 3 2" xfId="510"/>
    <cellStyle name="Accent3 3 2 2" xfId="13168"/>
    <cellStyle name="Accent3 3 3" xfId="13169"/>
    <cellStyle name="Accent3 4" xfId="511"/>
    <cellStyle name="Accent3 4 2" xfId="13170"/>
    <cellStyle name="Accent3 4 2 2" xfId="13171"/>
    <cellStyle name="Accent3 4 3" xfId="13172"/>
    <cellStyle name="Accent3 5" xfId="13173"/>
    <cellStyle name="Accent3 5 2" xfId="13174"/>
    <cellStyle name="Accent3 5 2 2" xfId="13175"/>
    <cellStyle name="Accent3 5 3" xfId="13176"/>
    <cellStyle name="Accent3 6" xfId="13177"/>
    <cellStyle name="Accent3 6 2" xfId="13178"/>
    <cellStyle name="Accent3 7" xfId="13179"/>
    <cellStyle name="Accent3 8" xfId="13180"/>
    <cellStyle name="Accent3 9" xfId="13181"/>
    <cellStyle name="Accent4 - 20%" xfId="13182"/>
    <cellStyle name="Accent4 - 20% 2" xfId="13183"/>
    <cellStyle name="Accent4 - 40%" xfId="13184"/>
    <cellStyle name="Accent4 - 40% 2" xfId="13185"/>
    <cellStyle name="Accent4 - 60%" xfId="13186"/>
    <cellStyle name="Accent4 - 60% 2" xfId="13187"/>
    <cellStyle name="Accent4 2" xfId="512"/>
    <cellStyle name="Accent4 2 2" xfId="513"/>
    <cellStyle name="Accent4 2 2 2" xfId="13188"/>
    <cellStyle name="Accent4 2 2 2 2" xfId="13189"/>
    <cellStyle name="Accent4 2 2 3" xfId="13190"/>
    <cellStyle name="Accent4 2 3" xfId="13191"/>
    <cellStyle name="Accent4 2 3 2" xfId="13192"/>
    <cellStyle name="Accent4 2 3 2 2" xfId="13193"/>
    <cellStyle name="Accent4 2 3 3" xfId="13194"/>
    <cellStyle name="Accent4 2 4" xfId="13195"/>
    <cellStyle name="Accent4 2 4 2" xfId="13196"/>
    <cellStyle name="Accent4 2 5" xfId="13197"/>
    <cellStyle name="Accent4 3" xfId="514"/>
    <cellStyle name="Accent4 3 2" xfId="515"/>
    <cellStyle name="Accent4 3 2 2" xfId="13198"/>
    <cellStyle name="Accent4 3 3" xfId="13199"/>
    <cellStyle name="Accent4 4" xfId="516"/>
    <cellStyle name="Accent4 4 2" xfId="13200"/>
    <cellStyle name="Accent4 4 2 2" xfId="13201"/>
    <cellStyle name="Accent4 4 3" xfId="13202"/>
    <cellStyle name="Accent4 5" xfId="13203"/>
    <cellStyle name="Accent4 5 2" xfId="13204"/>
    <cellStyle name="Accent4 5 2 2" xfId="13205"/>
    <cellStyle name="Accent4 5 3" xfId="13206"/>
    <cellStyle name="Accent4 6" xfId="13207"/>
    <cellStyle name="Accent4 6 2" xfId="13208"/>
    <cellStyle name="Accent4 7" xfId="13209"/>
    <cellStyle name="Accent4 8" xfId="13210"/>
    <cellStyle name="Accent4 9" xfId="13211"/>
    <cellStyle name="Accent5 - 20%" xfId="13212"/>
    <cellStyle name="Accent5 - 20% 2" xfId="13213"/>
    <cellStyle name="Accent5 - 40%" xfId="13214"/>
    <cellStyle name="Accent5 - 40% 2" xfId="13215"/>
    <cellStyle name="Accent5 - 60%" xfId="13216"/>
    <cellStyle name="Accent5 - 60% 2" xfId="13217"/>
    <cellStyle name="Accent5 2" xfId="517"/>
    <cellStyle name="Accent5 2 2" xfId="518"/>
    <cellStyle name="Accent5 2 2 2" xfId="13218"/>
    <cellStyle name="Accent5 2 2 2 2" xfId="13219"/>
    <cellStyle name="Accent5 2 2 3" xfId="13220"/>
    <cellStyle name="Accent5 2 3" xfId="13221"/>
    <cellStyle name="Accent5 2 3 2" xfId="13222"/>
    <cellStyle name="Accent5 2 3 2 2" xfId="13223"/>
    <cellStyle name="Accent5 2 3 3" xfId="13224"/>
    <cellStyle name="Accent5 2 4" xfId="13225"/>
    <cellStyle name="Accent5 2 4 2" xfId="13226"/>
    <cellStyle name="Accent5 2 5" xfId="13227"/>
    <cellStyle name="Accent5 3" xfId="519"/>
    <cellStyle name="Accent5 3 2" xfId="13228"/>
    <cellStyle name="Accent5 3 2 2" xfId="13229"/>
    <cellStyle name="Accent5 3 3" xfId="13230"/>
    <cellStyle name="Accent5 4" xfId="520"/>
    <cellStyle name="Accent5 4 2" xfId="13231"/>
    <cellStyle name="Accent5 4 2 2" xfId="13232"/>
    <cellStyle name="Accent5 4 3" xfId="13233"/>
    <cellStyle name="Accent5 5" xfId="13234"/>
    <cellStyle name="Accent5 5 2" xfId="13235"/>
    <cellStyle name="Accent5 6" xfId="13236"/>
    <cellStyle name="Accent5 7" xfId="13237"/>
    <cellStyle name="Accent5 8" xfId="13238"/>
    <cellStyle name="Accent5 9" xfId="13239"/>
    <cellStyle name="Accent6 - 20%" xfId="13240"/>
    <cellStyle name="Accent6 - 20% 2" xfId="13241"/>
    <cellStyle name="Accent6 - 40%" xfId="13242"/>
    <cellStyle name="Accent6 - 40% 2" xfId="13243"/>
    <cellStyle name="Accent6 - 60%" xfId="13244"/>
    <cellStyle name="Accent6 - 60% 2" xfId="13245"/>
    <cellStyle name="Accent6 2" xfId="521"/>
    <cellStyle name="Accent6 2 2" xfId="522"/>
    <cellStyle name="Accent6 2 2 2" xfId="13246"/>
    <cellStyle name="Accent6 2 2 2 2" xfId="13247"/>
    <cellStyle name="Accent6 2 2 3" xfId="13248"/>
    <cellStyle name="Accent6 2 3" xfId="13249"/>
    <cellStyle name="Accent6 2 3 2" xfId="13250"/>
    <cellStyle name="Accent6 2 3 2 2" xfId="13251"/>
    <cellStyle name="Accent6 2 3 3" xfId="13252"/>
    <cellStyle name="Accent6 2 3 3 2" xfId="13253"/>
    <cellStyle name="Accent6 2 3 4" xfId="13254"/>
    <cellStyle name="Accent6 2 4" xfId="13255"/>
    <cellStyle name="Accent6 2 4 2" xfId="13256"/>
    <cellStyle name="Accent6 2 5" xfId="13257"/>
    <cellStyle name="Accent6 3" xfId="523"/>
    <cellStyle name="Accent6 3 2" xfId="524"/>
    <cellStyle name="Accent6 3 2 2" xfId="13258"/>
    <cellStyle name="Accent6 3 3" xfId="13259"/>
    <cellStyle name="Accent6 4" xfId="525"/>
    <cellStyle name="Accent6 4 2" xfId="13260"/>
    <cellStyle name="Accent6 4 2 2" xfId="13261"/>
    <cellStyle name="Accent6 4 3" xfId="13262"/>
    <cellStyle name="Accent6 5" xfId="13263"/>
    <cellStyle name="Accent6 5 2" xfId="13264"/>
    <cellStyle name="Accent6 5 2 2" xfId="13265"/>
    <cellStyle name="Accent6 5 3" xfId="13266"/>
    <cellStyle name="Accent6 6" xfId="13267"/>
    <cellStyle name="Accent6 6 2" xfId="13268"/>
    <cellStyle name="Accent6 7" xfId="13269"/>
    <cellStyle name="Accent6 8" xfId="13270"/>
    <cellStyle name="Accent6 9" xfId="13271"/>
    <cellStyle name="Bad 2" xfId="526"/>
    <cellStyle name="Bad 2 2" xfId="527"/>
    <cellStyle name="Bad 2 2 2" xfId="13272"/>
    <cellStyle name="Bad 2 2 2 2" xfId="13273"/>
    <cellStyle name="Bad 2 2 3" xfId="13274"/>
    <cellStyle name="Bad 2 3" xfId="13275"/>
    <cellStyle name="Bad 2 3 2" xfId="13276"/>
    <cellStyle name="Bad 2 3 2 2" xfId="13277"/>
    <cellStyle name="Bad 2 3 3" xfId="13278"/>
    <cellStyle name="Bad 2 3 3 2" xfId="13279"/>
    <cellStyle name="Bad 2 3 4" xfId="13280"/>
    <cellStyle name="Bad 2 4" xfId="13281"/>
    <cellStyle name="Bad 2 4 2" xfId="13282"/>
    <cellStyle name="Bad 2 5" xfId="13283"/>
    <cellStyle name="Bad 3" xfId="528"/>
    <cellStyle name="Bad 3 2" xfId="529"/>
    <cellStyle name="Bad 3 2 2" xfId="13284"/>
    <cellStyle name="Bad 3 3" xfId="13285"/>
    <cellStyle name="Bad 4" xfId="530"/>
    <cellStyle name="Bad 4 2" xfId="13286"/>
    <cellStyle name="Bad 4 2 2" xfId="13287"/>
    <cellStyle name="Bad 4 3" xfId="13288"/>
    <cellStyle name="Bad 5" xfId="13289"/>
    <cellStyle name="Bad 5 2" xfId="13290"/>
    <cellStyle name="Bad 5 2 2" xfId="13291"/>
    <cellStyle name="Bad 5 3" xfId="13292"/>
    <cellStyle name="Bad 6" xfId="13293"/>
    <cellStyle name="Bad 6 2" xfId="13294"/>
    <cellStyle name="Band 2" xfId="13295"/>
    <cellStyle name="Band 2 2" xfId="13296"/>
    <cellStyle name="blank" xfId="13297"/>
    <cellStyle name="bld-li - Style4" xfId="13298"/>
    <cellStyle name="bld-li - Style4 2" xfId="13299"/>
    <cellStyle name="bld-li - Style4 2 2" xfId="13300"/>
    <cellStyle name="bld-li - Style4 2 2 2" xfId="13301"/>
    <cellStyle name="bld-li - Style4 2 3" xfId="13302"/>
    <cellStyle name="bld-li - Style4 2 3 2" xfId="13303"/>
    <cellStyle name="bld-li - Style4 2 4" xfId="13304"/>
    <cellStyle name="bld-li - Style4 2 4 2" xfId="13305"/>
    <cellStyle name="bld-li - Style4 3" xfId="13306"/>
    <cellStyle name="bld-li - Style4 3 2" xfId="13307"/>
    <cellStyle name="bld-li - Style4 4" xfId="13308"/>
    <cellStyle name="bld-li - Style4 4 2" xfId="13309"/>
    <cellStyle name="bld-li - Style4 5" xfId="13310"/>
    <cellStyle name="bld-li - Style4 5 2" xfId="13311"/>
    <cellStyle name="BuffetDate162" xfId="13312"/>
    <cellStyle name="BuffetValue2" xfId="13313"/>
    <cellStyle name="C06_Main text" xfId="13314"/>
    <cellStyle name="C07_Main text Bold Green" xfId="13315"/>
    <cellStyle name="C08_2001 Col heads" xfId="13316"/>
    <cellStyle name="C10_2001 Figs Black" xfId="13317"/>
    <cellStyle name="C11_2002 Figs Bold Green" xfId="13318"/>
    <cellStyle name="C13_2001 Figs 1 decimals" xfId="13319"/>
    <cellStyle name="C15_Main text Bold Black" xfId="13320"/>
    <cellStyle name="Calc Currency (0)" xfId="13321"/>
    <cellStyle name="Calc Currency (0) 2" xfId="13322"/>
    <cellStyle name="Calc Currency (0) 2 2" xfId="13323"/>
    <cellStyle name="Calc Currency (0) 2 2 2" xfId="13324"/>
    <cellStyle name="Calc Currency (0) 2 3" xfId="13325"/>
    <cellStyle name="Calc Currency (0) 2 3 2" xfId="13326"/>
    <cellStyle name="Calc Currency (0) 2 4" xfId="13327"/>
    <cellStyle name="Calc Currency (0) 3" xfId="13328"/>
    <cellStyle name="Calculation 2" xfId="531"/>
    <cellStyle name="Calculation 2 2" xfId="532"/>
    <cellStyle name="Calculation 2 2 2" xfId="13329"/>
    <cellStyle name="Calculation 2 2 2 2" xfId="13330"/>
    <cellStyle name="Calculation 2 2 2 3" xfId="13331"/>
    <cellStyle name="Calculation 2 2 2 3 2" xfId="18429"/>
    <cellStyle name="Calculation 2 2 2 4" xfId="18428"/>
    <cellStyle name="Calculation 2 2 3" xfId="13332"/>
    <cellStyle name="Calculation 2 2 3 2" xfId="13333"/>
    <cellStyle name="Calculation 2 2 4" xfId="13334"/>
    <cellStyle name="Calculation 2 2 4 2" xfId="13335"/>
    <cellStyle name="Calculation 2 2 5" xfId="13336"/>
    <cellStyle name="Calculation 2 2 6" xfId="13337"/>
    <cellStyle name="Calculation 2 2 6 2" xfId="18430"/>
    <cellStyle name="Calculation 2 3" xfId="13338"/>
    <cellStyle name="Calculation 2 3 2" xfId="13339"/>
    <cellStyle name="Calculation 2 3 2 2" xfId="13340"/>
    <cellStyle name="Calculation 2 3 3" xfId="13341"/>
    <cellStyle name="Calculation 2 4" xfId="13342"/>
    <cellStyle name="Calculation 2 5" xfId="18265"/>
    <cellStyle name="Calculation 3" xfId="533"/>
    <cellStyle name="Calculation 3 2" xfId="534"/>
    <cellStyle name="Calculation 3 2 2" xfId="13343"/>
    <cellStyle name="Calculation 3 2 2 2" xfId="13344"/>
    <cellStyle name="Calculation 3 2 3" xfId="13345"/>
    <cellStyle name="Calculation 3 2 3 2" xfId="13346"/>
    <cellStyle name="Calculation 3 2 4" xfId="13347"/>
    <cellStyle name="Calculation 3 3" xfId="13348"/>
    <cellStyle name="Calculation 3 3 2" xfId="13349"/>
    <cellStyle name="Calculation 3 3 2 2" xfId="18432"/>
    <cellStyle name="Calculation 3 3 3" xfId="18431"/>
    <cellStyle name="Calculation 3 4" xfId="18266"/>
    <cellStyle name="Calculation 4" xfId="535"/>
    <cellStyle name="Calculation 4 2" xfId="13350"/>
    <cellStyle name="Calculation 4 2 2" xfId="13351"/>
    <cellStyle name="Calculation 4 3" xfId="13352"/>
    <cellStyle name="Calculation 5" xfId="13353"/>
    <cellStyle name="Calculation 5 2" xfId="13354"/>
    <cellStyle name="Calculation 5 2 2" xfId="13355"/>
    <cellStyle name="Calculation 5 3" xfId="13356"/>
    <cellStyle name="Calculation 6" xfId="13357"/>
    <cellStyle name="Calculation 6 2" xfId="13358"/>
    <cellStyle name="Calculation 6 2 2" xfId="13359"/>
    <cellStyle name="Calculation 6 3" xfId="13360"/>
    <cellStyle name="Calculation 6 3 2" xfId="13361"/>
    <cellStyle name="Calculation 6 4" xfId="13362"/>
    <cellStyle name="Calculation 7" xfId="13363"/>
    <cellStyle name="Calculation 7 2" xfId="13364"/>
    <cellStyle name="Calculation 7 2 2" xfId="13365"/>
    <cellStyle name="Calculation 7 3" xfId="13366"/>
    <cellStyle name="Calculation 8" xfId="13367"/>
    <cellStyle name="Calculation 8 2" xfId="13368"/>
    <cellStyle name="Calculation 8 2 2" xfId="13369"/>
    <cellStyle name="Calculation 8 3" xfId="13370"/>
    <cellStyle name="Calculation 9" xfId="13371"/>
    <cellStyle name="Calculation 9 2" xfId="13372"/>
    <cellStyle name="Calculation 9 2 2" xfId="13373"/>
    <cellStyle name="Calculation 9 3" xfId="13374"/>
    <cellStyle name="Check Cell 2" xfId="536"/>
    <cellStyle name="Check Cell 2 2" xfId="537"/>
    <cellStyle name="Check Cell 2 2 2" xfId="13375"/>
    <cellStyle name="Check Cell 2 2 2 2" xfId="13376"/>
    <cellStyle name="Check Cell 2 2 3" xfId="13377"/>
    <cellStyle name="Check Cell 2 3" xfId="13378"/>
    <cellStyle name="Check Cell 2 3 2" xfId="13379"/>
    <cellStyle name="Check Cell 2 3 2 2" xfId="13380"/>
    <cellStyle name="Check Cell 2 3 3" xfId="13381"/>
    <cellStyle name="Check Cell 2 4" xfId="13382"/>
    <cellStyle name="Check Cell 2 4 2" xfId="13383"/>
    <cellStyle name="Check Cell 2 5" xfId="13384"/>
    <cellStyle name="Check Cell 3" xfId="538"/>
    <cellStyle name="Check Cell 3 2" xfId="13385"/>
    <cellStyle name="Check Cell 3 2 2" xfId="13386"/>
    <cellStyle name="Check Cell 3 3" xfId="13387"/>
    <cellStyle name="Check Cell 4" xfId="539"/>
    <cellStyle name="Check Cell 4 2" xfId="13388"/>
    <cellStyle name="Check Cell 4 2 2" xfId="13389"/>
    <cellStyle name="Check Cell 4 3" xfId="13390"/>
    <cellStyle name="Check Cell 5" xfId="13391"/>
    <cellStyle name="Check Cell 5 2" xfId="13392"/>
    <cellStyle name="Check Cell 6" xfId="13393"/>
    <cellStyle name="CheckCell" xfId="13394"/>
    <cellStyle name="CheckCell 2" xfId="13395"/>
    <cellStyle name="CheckCell 2 2" xfId="13396"/>
    <cellStyle name="CheckCell 2 2 2" xfId="13397"/>
    <cellStyle name="CheckCell 2 3" xfId="13398"/>
    <cellStyle name="CheckCell 3" xfId="13399"/>
    <cellStyle name="CheckCell 3 2" xfId="13400"/>
    <cellStyle name="CheckCell 4" xfId="13401"/>
    <cellStyle name="CheckCell 4 2" xfId="13402"/>
    <cellStyle name="CheckCell 5" xfId="13403"/>
    <cellStyle name="CheckCell_Electric Rev Req Model (2009 GRC) Rebuttal" xfId="18228"/>
    <cellStyle name="ColumnHeading" xfId="13404"/>
    <cellStyle name="ColumnHeading 2" xfId="13405"/>
    <cellStyle name="ColumnHeadings" xfId="13406"/>
    <cellStyle name="ColumnHeadings2" xfId="13407"/>
    <cellStyle name="ColumnHeadings2 2" xfId="13408"/>
    <cellStyle name="ColumnHeadings2 2 2" xfId="13409"/>
    <cellStyle name="ColumnHeadings2 2 3" xfId="13410"/>
    <cellStyle name="ColumnHeadings2 2 4" xfId="13411"/>
    <cellStyle name="ColumnHeadings2 3" xfId="13412"/>
    <cellStyle name="ColumnHeadings2 4" xfId="13413"/>
    <cellStyle name="ColumnHeadings2 5" xfId="13414"/>
    <cellStyle name="Comma" xfId="1" builtinId="3"/>
    <cellStyle name="Comma  - Style1" xfId="13415"/>
    <cellStyle name="Comma  - Style2" xfId="13416"/>
    <cellStyle name="Comma  - Style3" xfId="13417"/>
    <cellStyle name="Comma  - Style4" xfId="13418"/>
    <cellStyle name="Comma  - Style5" xfId="13419"/>
    <cellStyle name="Comma  - Style6" xfId="13420"/>
    <cellStyle name="Comma  - Style7" xfId="13421"/>
    <cellStyle name="Comma  - Style8" xfId="13422"/>
    <cellStyle name="Comma 10" xfId="540"/>
    <cellStyle name="Comma 10 2" xfId="541"/>
    <cellStyle name="Comma 10 2 2" xfId="13423"/>
    <cellStyle name="Comma 10 2 2 2" xfId="891"/>
    <cellStyle name="Comma 10 2 2 3" xfId="3"/>
    <cellStyle name="Comma 10 2 3" xfId="13424"/>
    <cellStyle name="Comma 10 2 4" xfId="18268"/>
    <cellStyle name="Comma 10 2 5" xfId="20548"/>
    <cellStyle name="Comma 10 3" xfId="888"/>
    <cellStyle name="Comma 10 3 2" xfId="13425"/>
    <cellStyle name="Comma 10 3 3" xfId="20549"/>
    <cellStyle name="Comma 10 4" xfId="13426"/>
    <cellStyle name="Comma 10 4 2" xfId="20550"/>
    <cellStyle name="Comma 10 5" xfId="18267"/>
    <cellStyle name="Comma 10 6" xfId="20551"/>
    <cellStyle name="Comma 10 7" xfId="20552"/>
    <cellStyle name="Comma 10 8" xfId="20553"/>
    <cellStyle name="Comma 11" xfId="542"/>
    <cellStyle name="Comma 11 2" xfId="13427"/>
    <cellStyle name="Comma 11 2 2" xfId="13428"/>
    <cellStyle name="Comma 11 3" xfId="13429"/>
    <cellStyle name="Comma 11 3 2" xfId="13430"/>
    <cellStyle name="Comma 11 4" xfId="13431"/>
    <cellStyle name="Comma 12" xfId="543"/>
    <cellStyle name="Comma 12 2" xfId="13432"/>
    <cellStyle name="Comma 12 2 2" xfId="13433"/>
    <cellStyle name="Comma 12 3" xfId="13434"/>
    <cellStyle name="Comma 12 3 2" xfId="13435"/>
    <cellStyle name="Comma 12 4" xfId="13436"/>
    <cellStyle name="Comma 13" xfId="544"/>
    <cellStyle name="Comma 13 2" xfId="13437"/>
    <cellStyle name="Comma 13 2 2" xfId="13438"/>
    <cellStyle name="Comma 13 2 3" xfId="20554"/>
    <cellStyle name="Comma 13 3" xfId="13439"/>
    <cellStyle name="Comma 13 3 2" xfId="13440"/>
    <cellStyle name="Comma 13 4" xfId="13441"/>
    <cellStyle name="Comma 13 5" xfId="18269"/>
    <cellStyle name="Comma 13 6" xfId="20555"/>
    <cellStyle name="Comma 13 7" xfId="20556"/>
    <cellStyle name="Comma 14" xfId="13442"/>
    <cellStyle name="Comma 14 2" xfId="13443"/>
    <cellStyle name="Comma 14 2 2" xfId="13444"/>
    <cellStyle name="Comma 14 3" xfId="13445"/>
    <cellStyle name="Comma 14 3 2" xfId="13446"/>
    <cellStyle name="Comma 14 4" xfId="13447"/>
    <cellStyle name="Comma 14 5" xfId="20557"/>
    <cellStyle name="Comma 15" xfId="13448"/>
    <cellStyle name="Comma 15 2" xfId="13449"/>
    <cellStyle name="Comma 15 2 2" xfId="13450"/>
    <cellStyle name="Comma 15 3" xfId="13451"/>
    <cellStyle name="Comma 15 4" xfId="13452"/>
    <cellStyle name="Comma 15 5" xfId="20558"/>
    <cellStyle name="Comma 16" xfId="13453"/>
    <cellStyle name="Comma 16 2" xfId="13454"/>
    <cellStyle name="Comma 16 2 2" xfId="13455"/>
    <cellStyle name="Comma 16 2 2 2" xfId="13456"/>
    <cellStyle name="Comma 16 2 3" xfId="13457"/>
    <cellStyle name="Comma 16 3" xfId="13458"/>
    <cellStyle name="Comma 16 3 2" xfId="13459"/>
    <cellStyle name="Comma 16 4" xfId="13460"/>
    <cellStyle name="Comma 17" xfId="13461"/>
    <cellStyle name="Comma 17 2" xfId="13462"/>
    <cellStyle name="Comma 17 2 2" xfId="13463"/>
    <cellStyle name="Comma 17 3" xfId="13464"/>
    <cellStyle name="Comma 17 3 2" xfId="13465"/>
    <cellStyle name="Comma 17 4" xfId="13466"/>
    <cellStyle name="Comma 18" xfId="13467"/>
    <cellStyle name="Comma 18 2" xfId="13468"/>
    <cellStyle name="Comma 18 2 2" xfId="13469"/>
    <cellStyle name="Comma 18 2 2 2" xfId="13470"/>
    <cellStyle name="Comma 18 2 3" xfId="13471"/>
    <cellStyle name="Comma 18 3" xfId="13472"/>
    <cellStyle name="Comma 18 3 2" xfId="13473"/>
    <cellStyle name="Comma 18 4" xfId="13474"/>
    <cellStyle name="Comma 19" xfId="13475"/>
    <cellStyle name="Comma 19 2" xfId="13476"/>
    <cellStyle name="Comma 19 2 2" xfId="13477"/>
    <cellStyle name="Comma 19 3" xfId="13478"/>
    <cellStyle name="Comma 2" xfId="9"/>
    <cellStyle name="Comma 2 10" xfId="13479"/>
    <cellStyle name="Comma 2 10 2" xfId="13480"/>
    <cellStyle name="Comma 2 11" xfId="13481"/>
    <cellStyle name="Comma 2 2" xfId="545"/>
    <cellStyle name="Comma 2 2 2" xfId="13482"/>
    <cellStyle name="Comma 2 2 2 2" xfId="13483"/>
    <cellStyle name="Comma 2 2 2 2 2" xfId="13484"/>
    <cellStyle name="Comma 2 2 2 3" xfId="13485"/>
    <cellStyle name="Comma 2 2 2 3 2" xfId="13486"/>
    <cellStyle name="Comma 2 2 2 4" xfId="13487"/>
    <cellStyle name="Comma 2 2 3" xfId="13488"/>
    <cellStyle name="Comma 2 2 3 2" xfId="13489"/>
    <cellStyle name="Comma 2 2 4" xfId="13490"/>
    <cellStyle name="Comma 2 2 5" xfId="13491"/>
    <cellStyle name="Comma 2 2_DEM-WP(C) Chelan Power Costs" xfId="13492"/>
    <cellStyle name="Comma 2 3" xfId="13493"/>
    <cellStyle name="Comma 2 3 2" xfId="13494"/>
    <cellStyle name="Comma 2 3 2 2" xfId="13495"/>
    <cellStyle name="Comma 2 3 2 2 2" xfId="13496"/>
    <cellStyle name="Comma 2 3 2 3" xfId="13497"/>
    <cellStyle name="Comma 2 3 3" xfId="13498"/>
    <cellStyle name="Comma 2 3 3 2" xfId="13499"/>
    <cellStyle name="Comma 2 3 4" xfId="13500"/>
    <cellStyle name="Comma 2 4" xfId="13501"/>
    <cellStyle name="Comma 2 4 2" xfId="13502"/>
    <cellStyle name="Comma 2 4 2 2" xfId="13503"/>
    <cellStyle name="Comma 2 4 3" xfId="13504"/>
    <cellStyle name="Comma 2 5" xfId="13505"/>
    <cellStyle name="Comma 2 5 2" xfId="13506"/>
    <cellStyle name="Comma 2 5 2 2" xfId="13507"/>
    <cellStyle name="Comma 2 5 3" xfId="13508"/>
    <cellStyle name="Comma 2 6" xfId="13509"/>
    <cellStyle name="Comma 2 6 2" xfId="13510"/>
    <cellStyle name="Comma 2 6 2 2" xfId="13511"/>
    <cellStyle name="Comma 2 6 3" xfId="13512"/>
    <cellStyle name="Comma 2 7" xfId="13513"/>
    <cellStyle name="Comma 2 7 2" xfId="13514"/>
    <cellStyle name="Comma 2 7 2 2" xfId="13515"/>
    <cellStyle name="Comma 2 7 3" xfId="13516"/>
    <cellStyle name="Comma 2 8" xfId="13517"/>
    <cellStyle name="Comma 2 8 2" xfId="13518"/>
    <cellStyle name="Comma 2 8 2 2" xfId="13519"/>
    <cellStyle name="Comma 2 8 3" xfId="13520"/>
    <cellStyle name="Comma 2 9" xfId="13521"/>
    <cellStyle name="Comma 2 9 2" xfId="13522"/>
    <cellStyle name="Comma 2 9 2 2" xfId="13523"/>
    <cellStyle name="Comma 2 9 3" xfId="13524"/>
    <cellStyle name="Comma 2_4 31E Reg Asset  Liab and EXH D" xfId="13525"/>
    <cellStyle name="Comma 20" xfId="13526"/>
    <cellStyle name="Comma 20 2" xfId="13527"/>
    <cellStyle name="Comma 20 2 2" xfId="13528"/>
    <cellStyle name="Comma 20 3" xfId="13529"/>
    <cellStyle name="Comma 21" xfId="13530"/>
    <cellStyle name="Comma 21 2" xfId="13531"/>
    <cellStyle name="Comma 21 2 2" xfId="13532"/>
    <cellStyle name="Comma 21 3" xfId="13533"/>
    <cellStyle name="Comma 22" xfId="13534"/>
    <cellStyle name="Comma 22 2" xfId="13535"/>
    <cellStyle name="Comma 22 2 2" xfId="13536"/>
    <cellStyle name="Comma 22 3" xfId="13537"/>
    <cellStyle name="Comma 23" xfId="13538"/>
    <cellStyle name="Comma 23 2" xfId="13539"/>
    <cellStyle name="Comma 23 2 2" xfId="13540"/>
    <cellStyle name="Comma 23 3" xfId="13541"/>
    <cellStyle name="Comma 23 3 2" xfId="13542"/>
    <cellStyle name="Comma 23 3 2 2" xfId="18435"/>
    <cellStyle name="Comma 23 3 3" xfId="18434"/>
    <cellStyle name="Comma 23 4" xfId="13543"/>
    <cellStyle name="Comma 23 4 2" xfId="18436"/>
    <cellStyle name="Comma 23 5" xfId="18433"/>
    <cellStyle name="Comma 24" xfId="13544"/>
    <cellStyle name="Comma 24 2" xfId="13545"/>
    <cellStyle name="Comma 24 2 2" xfId="13546"/>
    <cellStyle name="Comma 24 3" xfId="13547"/>
    <cellStyle name="Comma 25" xfId="13548"/>
    <cellStyle name="Comma 25 2" xfId="13549"/>
    <cellStyle name="Comma 26" xfId="13550"/>
    <cellStyle name="Comma 26 2" xfId="13551"/>
    <cellStyle name="Comma 26 2 2" xfId="13552"/>
    <cellStyle name="Comma 26 3" xfId="13553"/>
    <cellStyle name="Comma 27" xfId="13554"/>
    <cellStyle name="Comma 27 2" xfId="13555"/>
    <cellStyle name="Comma 27 2 2" xfId="13556"/>
    <cellStyle name="Comma 27 3" xfId="13557"/>
    <cellStyle name="Comma 28" xfId="13558"/>
    <cellStyle name="Comma 28 2" xfId="13559"/>
    <cellStyle name="Comma 28 2 2" xfId="13560"/>
    <cellStyle name="Comma 28 3" xfId="13561"/>
    <cellStyle name="Comma 29" xfId="13562"/>
    <cellStyle name="Comma 29 2" xfId="13563"/>
    <cellStyle name="Comma 3" xfId="546"/>
    <cellStyle name="Comma 3 10" xfId="20559"/>
    <cellStyle name="Comma 3 11" xfId="20560"/>
    <cellStyle name="Comma 3 12" xfId="20561"/>
    <cellStyle name="Comma 3 13" xfId="21303"/>
    <cellStyle name="Comma 3 2" xfId="547"/>
    <cellStyle name="Comma 3 2 2" xfId="13564"/>
    <cellStyle name="Comma 3 2 2 2" xfId="13565"/>
    <cellStyle name="Comma 3 2 3" xfId="13566"/>
    <cellStyle name="Comma 3 3" xfId="548"/>
    <cellStyle name="Comma 3 3 2" xfId="549"/>
    <cellStyle name="Comma 3 3 2 2" xfId="18272"/>
    <cellStyle name="Comma 3 3 2 3" xfId="20562"/>
    <cellStyle name="Comma 3 3 2 4" xfId="20563"/>
    <cellStyle name="Comma 3 3 2 5" xfId="20564"/>
    <cellStyle name="Comma 3 3 3" xfId="18271"/>
    <cellStyle name="Comma 3 3 3 2" xfId="20565"/>
    <cellStyle name="Comma 3 3 3 3" xfId="20566"/>
    <cellStyle name="Comma 3 3 4" xfId="20567"/>
    <cellStyle name="Comma 3 3 4 2" xfId="20568"/>
    <cellStyle name="Comma 3 3 5" xfId="20569"/>
    <cellStyle name="Comma 3 3 6" xfId="20570"/>
    <cellStyle name="Comma 3 3 7" xfId="20571"/>
    <cellStyle name="Comma 3 3 8" xfId="20572"/>
    <cellStyle name="Comma 3 4" xfId="550"/>
    <cellStyle name="Comma 3 4 2" xfId="13567"/>
    <cellStyle name="Comma 3 4 2 2" xfId="13568"/>
    <cellStyle name="Comma 3 4 3" xfId="13569"/>
    <cellStyle name="Comma 3 4 4" xfId="13570"/>
    <cellStyle name="Comma 3 4 5" xfId="13571"/>
    <cellStyle name="Comma 3 5" xfId="551"/>
    <cellStyle name="Comma 3 5 2" xfId="13572"/>
    <cellStyle name="Comma 3 5 3" xfId="18273"/>
    <cellStyle name="Comma 3 5 4" xfId="20573"/>
    <cellStyle name="Comma 3 6" xfId="13573"/>
    <cellStyle name="Comma 3 6 2" xfId="20574"/>
    <cellStyle name="Comma 3 7" xfId="18270"/>
    <cellStyle name="Comma 3 8" xfId="20575"/>
    <cellStyle name="Comma 3 9" xfId="20576"/>
    <cellStyle name="Comma 30" xfId="13574"/>
    <cellStyle name="Comma 30 2" xfId="13575"/>
    <cellStyle name="Comma 31" xfId="13576"/>
    <cellStyle name="Comma 31 2" xfId="13577"/>
    <cellStyle name="Comma 32" xfId="13578"/>
    <cellStyle name="Comma 32 2" xfId="13579"/>
    <cellStyle name="Comma 33" xfId="13580"/>
    <cellStyle name="Comma 33 2" xfId="13581"/>
    <cellStyle name="Comma 34" xfId="13582"/>
    <cellStyle name="Comma 34 2" xfId="13583"/>
    <cellStyle name="Comma 35" xfId="13584"/>
    <cellStyle name="Comma 35 2" xfId="13585"/>
    <cellStyle name="Comma 36" xfId="13586"/>
    <cellStyle name="Comma 36 2" xfId="13587"/>
    <cellStyle name="Comma 37" xfId="13588"/>
    <cellStyle name="Comma 37 2" xfId="13589"/>
    <cellStyle name="Comma 38" xfId="13590"/>
    <cellStyle name="Comma 38 2" xfId="13591"/>
    <cellStyle name="Comma 39" xfId="13592"/>
    <cellStyle name="Comma 4" xfId="552"/>
    <cellStyle name="Comma 4 2" xfId="553"/>
    <cellStyle name="Comma 4 2 2" xfId="13593"/>
    <cellStyle name="Comma 4 2 2 2" xfId="13594"/>
    <cellStyle name="Comma 4 2 2 2 2" xfId="13595"/>
    <cellStyle name="Comma 4 2 2 3" xfId="13596"/>
    <cellStyle name="Comma 4 2 3" xfId="13597"/>
    <cellStyle name="Comma 4 2 3 2" xfId="13598"/>
    <cellStyle name="Comma 4 2 4" xfId="13599"/>
    <cellStyle name="Comma 4 3" xfId="13600"/>
    <cellStyle name="Comma 4 3 2" xfId="13601"/>
    <cellStyle name="Comma 4 4" xfId="13602"/>
    <cellStyle name="Comma 4 4 2" xfId="13603"/>
    <cellStyle name="Comma 4 5" xfId="13604"/>
    <cellStyle name="Comma 40" xfId="13605"/>
    <cellStyle name="Comma 41" xfId="13606"/>
    <cellStyle name="Comma 42" xfId="13607"/>
    <cellStyle name="Comma 43" xfId="13608"/>
    <cellStyle name="Comma 44" xfId="13609"/>
    <cellStyle name="Comma 45" xfId="13610"/>
    <cellStyle name="Comma 46" xfId="13611"/>
    <cellStyle name="Comma 47" xfId="13612"/>
    <cellStyle name="Comma 47 2" xfId="13613"/>
    <cellStyle name="Comma 48" xfId="13614"/>
    <cellStyle name="Comma 48 2" xfId="13615"/>
    <cellStyle name="Comma 48 3" xfId="13616"/>
    <cellStyle name="Comma 48 3 2" xfId="18438"/>
    <cellStyle name="Comma 48 4" xfId="18437"/>
    <cellStyle name="Comma 49" xfId="13617"/>
    <cellStyle name="Comma 5" xfId="554"/>
    <cellStyle name="Comma 5 2" xfId="555"/>
    <cellStyle name="Comma 5 2 2" xfId="13618"/>
    <cellStyle name="Comma 5 2 2 2" xfId="13619"/>
    <cellStyle name="Comma 5 2 3" xfId="13620"/>
    <cellStyle name="Comma 5 3" xfId="13621"/>
    <cellStyle name="Comma 5 3 2" xfId="13622"/>
    <cellStyle name="Comma 5 4" xfId="13623"/>
    <cellStyle name="Comma 50" xfId="13624"/>
    <cellStyle name="Comma 50 2" xfId="13625"/>
    <cellStyle name="Comma 50 2 2" xfId="18440"/>
    <cellStyle name="Comma 50 3" xfId="18439"/>
    <cellStyle name="Comma 51" xfId="13626"/>
    <cellStyle name="Comma 51 2" xfId="13627"/>
    <cellStyle name="Comma 52" xfId="13628"/>
    <cellStyle name="Comma 52 2" xfId="13629"/>
    <cellStyle name="Comma 52 2 2" xfId="18442"/>
    <cellStyle name="Comma 52 3" xfId="18441"/>
    <cellStyle name="Comma 53" xfId="13630"/>
    <cellStyle name="Comma 53 2" xfId="18443"/>
    <cellStyle name="Comma 54" xfId="13631"/>
    <cellStyle name="Comma 55" xfId="21231"/>
    <cellStyle name="Comma 56" xfId="21295"/>
    <cellStyle name="Comma 57" xfId="21299"/>
    <cellStyle name="Comma 6" xfId="556"/>
    <cellStyle name="Comma 6 2" xfId="557"/>
    <cellStyle name="Comma 6 2 2" xfId="13632"/>
    <cellStyle name="Comma 6 2 2 2" xfId="13633"/>
    <cellStyle name="Comma 6 2 3" xfId="13634"/>
    <cellStyle name="Comma 6 2 3 2" xfId="13635"/>
    <cellStyle name="Comma 6 2 4" xfId="13636"/>
    <cellStyle name="Comma 6 3" xfId="13637"/>
    <cellStyle name="Comma 6 3 2" xfId="13638"/>
    <cellStyle name="Comma 6 4" xfId="13639"/>
    <cellStyle name="Comma 7" xfId="558"/>
    <cellStyle name="Comma 7 2" xfId="559"/>
    <cellStyle name="Comma 7 2 2" xfId="560"/>
    <cellStyle name="Comma 7 2 2 2" xfId="18276"/>
    <cellStyle name="Comma 7 2 2 3" xfId="20577"/>
    <cellStyle name="Comma 7 2 2 4" xfId="20578"/>
    <cellStyle name="Comma 7 2 2 5" xfId="20579"/>
    <cellStyle name="Comma 7 2 3" xfId="18275"/>
    <cellStyle name="Comma 7 2 3 2" xfId="20580"/>
    <cellStyle name="Comma 7 2 3 3" xfId="20581"/>
    <cellStyle name="Comma 7 2 4" xfId="20582"/>
    <cellStyle name="Comma 7 2 4 2" xfId="20583"/>
    <cellStyle name="Comma 7 2 5" xfId="20584"/>
    <cellStyle name="Comma 7 2 6" xfId="20585"/>
    <cellStyle name="Comma 7 2 7" xfId="20586"/>
    <cellStyle name="Comma 7 2 8" xfId="20587"/>
    <cellStyle name="Comma 7 3" xfId="561"/>
    <cellStyle name="Comma 7 3 2" xfId="13640"/>
    <cellStyle name="Comma 7 3 3" xfId="18277"/>
    <cellStyle name="Comma 7 3 4" xfId="20588"/>
    <cellStyle name="Comma 7 3 5" xfId="20589"/>
    <cellStyle name="Comma 7 4" xfId="13641"/>
    <cellStyle name="Comma 7 4 2" xfId="20590"/>
    <cellStyle name="Comma 7 4 3" xfId="20591"/>
    <cellStyle name="Comma 7 5" xfId="18274"/>
    <cellStyle name="Comma 7 5 2" xfId="20592"/>
    <cellStyle name="Comma 7 6" xfId="20593"/>
    <cellStyle name="Comma 7 7" xfId="20594"/>
    <cellStyle name="Comma 7 8" xfId="20595"/>
    <cellStyle name="Comma 7 9" xfId="20596"/>
    <cellStyle name="Comma 8" xfId="562"/>
    <cellStyle name="Comma 8 2" xfId="13642"/>
    <cellStyle name="Comma 8 2 2" xfId="13643"/>
    <cellStyle name="Comma 8 3" xfId="13644"/>
    <cellStyle name="Comma 8 3 2" xfId="13645"/>
    <cellStyle name="Comma 8 4" xfId="13646"/>
    <cellStyle name="Comma 9" xfId="563"/>
    <cellStyle name="Comma 9 2" xfId="564"/>
    <cellStyle name="Comma 9 2 2" xfId="13647"/>
    <cellStyle name="Comma 9 2 3" xfId="18279"/>
    <cellStyle name="Comma 9 2 4" xfId="20597"/>
    <cellStyle name="Comma 9 2 5" xfId="20598"/>
    <cellStyle name="Comma 9 3" xfId="13648"/>
    <cellStyle name="Comma 9 3 2" xfId="13649"/>
    <cellStyle name="Comma 9 3 3" xfId="20599"/>
    <cellStyle name="Comma 9 4" xfId="13650"/>
    <cellStyle name="Comma 9 4 2" xfId="20600"/>
    <cellStyle name="Comma 9 5" xfId="18278"/>
    <cellStyle name="Comma 9 6" xfId="20601"/>
    <cellStyle name="Comma 9 7" xfId="20602"/>
    <cellStyle name="Comma 9 8" xfId="20603"/>
    <cellStyle name="Comma0" xfId="13651"/>
    <cellStyle name="Comma0 - Style1" xfId="13652"/>
    <cellStyle name="Comma0 - Style2" xfId="13653"/>
    <cellStyle name="Comma0 - Style2 2" xfId="13654"/>
    <cellStyle name="Comma0 - Style4" xfId="13655"/>
    <cellStyle name="Comma0 - Style4 2" xfId="13656"/>
    <cellStyle name="Comma0 - Style5" xfId="13657"/>
    <cellStyle name="Comma0 - Style5 2" xfId="13658"/>
    <cellStyle name="Comma0 - Style5_Electric Rev Req Model (2009 GRC) Rebuttal" xfId="18229"/>
    <cellStyle name="Comma0 2" xfId="13659"/>
    <cellStyle name="Comma0 2 2" xfId="13660"/>
    <cellStyle name="Comma0 3" xfId="13661"/>
    <cellStyle name="Comma0 3 2" xfId="13662"/>
    <cellStyle name="Comma0 4" xfId="13663"/>
    <cellStyle name="Comma0 4 2" xfId="13664"/>
    <cellStyle name="Comma0 5" xfId="13665"/>
    <cellStyle name="Comma0 5 2" xfId="13666"/>
    <cellStyle name="Comma0 5 2 2" xfId="13667"/>
    <cellStyle name="Comma0 5 3" xfId="13668"/>
    <cellStyle name="Comma0 6" xfId="13669"/>
    <cellStyle name="Comma0_00COS Ind Allocators" xfId="13670"/>
    <cellStyle name="Comma1 - Style1" xfId="13671"/>
    <cellStyle name="Comma1 - Style1 2" xfId="13672"/>
    <cellStyle name="Comma1 - Style1_Electric Rev Req Model (2009 GRC) Rebuttal" xfId="18230"/>
    <cellStyle name="Comma1 - Style2" xfId="13673"/>
    <cellStyle name="Comment" xfId="13674"/>
    <cellStyle name="Copied" xfId="13675"/>
    <cellStyle name="Copied 2" xfId="13676"/>
    <cellStyle name="Copied 2 2" xfId="13677"/>
    <cellStyle name="Copied 2 2 2" xfId="13678"/>
    <cellStyle name="Copied 2 3" xfId="13679"/>
    <cellStyle name="Copied 3" xfId="13680"/>
    <cellStyle name="COST1" xfId="13681"/>
    <cellStyle name="COST1 2" xfId="13682"/>
    <cellStyle name="COST1 2 2" xfId="13683"/>
    <cellStyle name="COST1 2 2 2" xfId="13684"/>
    <cellStyle name="COST1 2 3" xfId="13685"/>
    <cellStyle name="COST1 3" xfId="13686"/>
    <cellStyle name="CountryTitle" xfId="13687"/>
    <cellStyle name="Curren - Style1" xfId="13688"/>
    <cellStyle name="Curren - Style1 2" xfId="13689"/>
    <cellStyle name="Curren - Style2" xfId="13690"/>
    <cellStyle name="Curren - Style2 2" xfId="13691"/>
    <cellStyle name="Curren - Style2_Electric Rev Req Model (2009 GRC) Rebuttal" xfId="18231"/>
    <cellStyle name="Curren - Style3" xfId="13692"/>
    <cellStyle name="Curren - Style4" xfId="13693"/>
    <cellStyle name="Curren - Style5" xfId="13694"/>
    <cellStyle name="Curren - Style5 2" xfId="13695"/>
    <cellStyle name="Curren - Style6" xfId="13696"/>
    <cellStyle name="Curren - Style6 2" xfId="13697"/>
    <cellStyle name="Curren - Style6_Electric Rev Req Model (2009 GRC) Rebuttal" xfId="18232"/>
    <cellStyle name="Currency" xfId="21227" builtinId="4"/>
    <cellStyle name="Currency 10" xfId="565"/>
    <cellStyle name="Currency 10 2" xfId="566"/>
    <cellStyle name="Currency 10 2 2" xfId="890"/>
    <cellStyle name="Currency 10 2 3" xfId="18281"/>
    <cellStyle name="Currency 10 2 4" xfId="20604"/>
    <cellStyle name="Currency 10 2 5" xfId="20605"/>
    <cellStyle name="Currency 10 3" xfId="13698"/>
    <cellStyle name="Currency 10 3 2" xfId="13699"/>
    <cellStyle name="Currency 10 3 3" xfId="20606"/>
    <cellStyle name="Currency 10 3 4" xfId="4"/>
    <cellStyle name="Currency 10 4" xfId="13700"/>
    <cellStyle name="Currency 10 4 2" xfId="20607"/>
    <cellStyle name="Currency 10 5" xfId="18280"/>
    <cellStyle name="Currency 10 6" xfId="20608"/>
    <cellStyle name="Currency 10 7" xfId="20609"/>
    <cellStyle name="Currency 10 8" xfId="20610"/>
    <cellStyle name="Currency 11" xfId="567"/>
    <cellStyle name="Currency 11 2" xfId="13701"/>
    <cellStyle name="Currency 11 2 2" xfId="13702"/>
    <cellStyle name="Currency 11 3" xfId="13703"/>
    <cellStyle name="Currency 11 3 2" xfId="13704"/>
    <cellStyle name="Currency 11 4" xfId="13705"/>
    <cellStyle name="Currency 12" xfId="568"/>
    <cellStyle name="Currency 12 2" xfId="13706"/>
    <cellStyle name="Currency 12 2 2" xfId="13707"/>
    <cellStyle name="Currency 12 2 2 2" xfId="13708"/>
    <cellStyle name="Currency 12 2 3" xfId="13709"/>
    <cellStyle name="Currency 12 3" xfId="13710"/>
    <cellStyle name="Currency 12 3 2" xfId="13711"/>
    <cellStyle name="Currency 12 3 2 2" xfId="13712"/>
    <cellStyle name="Currency 12 3 3" xfId="13713"/>
    <cellStyle name="Currency 12 4" xfId="13714"/>
    <cellStyle name="Currency 12 4 2" xfId="13715"/>
    <cellStyle name="Currency 12 4 2 2" xfId="13716"/>
    <cellStyle name="Currency 12 4 3" xfId="13717"/>
    <cellStyle name="Currency 12 5" xfId="13718"/>
    <cellStyle name="Currency 12 5 2" xfId="13719"/>
    <cellStyle name="Currency 12 6" xfId="13720"/>
    <cellStyle name="Currency 13" xfId="569"/>
    <cellStyle name="Currency 13 2" xfId="13721"/>
    <cellStyle name="Currency 13 2 2" xfId="13722"/>
    <cellStyle name="Currency 13 2 2 2" xfId="13723"/>
    <cellStyle name="Currency 13 2 3" xfId="13724"/>
    <cellStyle name="Currency 13 3" xfId="13725"/>
    <cellStyle name="Currency 13 3 2" xfId="13726"/>
    <cellStyle name="Currency 13 4" xfId="13727"/>
    <cellStyle name="Currency 13 4 2" xfId="13728"/>
    <cellStyle name="Currency 13 5" xfId="13729"/>
    <cellStyle name="Currency 13 6" xfId="18282"/>
    <cellStyle name="Currency 13 7" xfId="20611"/>
    <cellStyle name="Currency 14" xfId="13730"/>
    <cellStyle name="Currency 14 2" xfId="13731"/>
    <cellStyle name="Currency 14 2 2" xfId="20612"/>
    <cellStyle name="Currency 14 3" xfId="20613"/>
    <cellStyle name="Currency 14 4" xfId="20614"/>
    <cellStyle name="Currency 14 5" xfId="20615"/>
    <cellStyle name="Currency 15" xfId="13732"/>
    <cellStyle name="Currency 15 2" xfId="13733"/>
    <cellStyle name="Currency 15 2 2" xfId="13734"/>
    <cellStyle name="Currency 15 3" xfId="13735"/>
    <cellStyle name="Currency 15 3 2" xfId="13736"/>
    <cellStyle name="Currency 15 4" xfId="13737"/>
    <cellStyle name="Currency 16" xfId="13738"/>
    <cellStyle name="Currency 16 2" xfId="13739"/>
    <cellStyle name="Currency 16 2 2" xfId="13740"/>
    <cellStyle name="Currency 16 3" xfId="13741"/>
    <cellStyle name="Currency 17" xfId="13742"/>
    <cellStyle name="Currency 17 2" xfId="13743"/>
    <cellStyle name="Currency 18" xfId="13744"/>
    <cellStyle name="Currency 18 2" xfId="13745"/>
    <cellStyle name="Currency 19" xfId="13746"/>
    <cellStyle name="Currency 19 2" xfId="13747"/>
    <cellStyle name="Currency 2" xfId="12"/>
    <cellStyle name="Currency 2 10" xfId="13748"/>
    <cellStyle name="Currency 2 2" xfId="570"/>
    <cellStyle name="Currency 2 2 2" xfId="13749"/>
    <cellStyle name="Currency 2 2 2 2" xfId="13750"/>
    <cellStyle name="Currency 2 2 3" xfId="13751"/>
    <cellStyle name="Currency 2 2 3 2" xfId="13752"/>
    <cellStyle name="Currency 2 2 4" xfId="13753"/>
    <cellStyle name="Currency 2 2 5" xfId="18251"/>
    <cellStyle name="Currency 2 3" xfId="13754"/>
    <cellStyle name="Currency 2 3 2" xfId="13755"/>
    <cellStyle name="Currency 2 3 2 2" xfId="13756"/>
    <cellStyle name="Currency 2 3 3" xfId="13757"/>
    <cellStyle name="Currency 2 4" xfId="13758"/>
    <cellStyle name="Currency 2 4 2" xfId="13759"/>
    <cellStyle name="Currency 2 4 2 2" xfId="13760"/>
    <cellStyle name="Currency 2 4 3" xfId="13761"/>
    <cellStyle name="Currency 2 5" xfId="13762"/>
    <cellStyle name="Currency 2 5 2" xfId="13763"/>
    <cellStyle name="Currency 2 5 2 2" xfId="13764"/>
    <cellStyle name="Currency 2 5 3" xfId="13765"/>
    <cellStyle name="Currency 2 6" xfId="13766"/>
    <cellStyle name="Currency 2 6 2" xfId="13767"/>
    <cellStyle name="Currency 2 6 2 2" xfId="13768"/>
    <cellStyle name="Currency 2 6 3" xfId="13769"/>
    <cellStyle name="Currency 2 7" xfId="13770"/>
    <cellStyle name="Currency 2 7 2" xfId="13771"/>
    <cellStyle name="Currency 2 7 2 2" xfId="13772"/>
    <cellStyle name="Currency 2 7 3" xfId="13773"/>
    <cellStyle name="Currency 2 8" xfId="13774"/>
    <cellStyle name="Currency 2 8 2" xfId="13775"/>
    <cellStyle name="Currency 2 8 2 2" xfId="13776"/>
    <cellStyle name="Currency 2 8 3" xfId="13777"/>
    <cellStyle name="Currency 2 9" xfId="13778"/>
    <cellStyle name="Currency 2 9 2" xfId="13779"/>
    <cellStyle name="Currency 20" xfId="13780"/>
    <cellStyle name="Currency 20 2" xfId="13781"/>
    <cellStyle name="Currency 21" xfId="13782"/>
    <cellStyle name="Currency 21 2" xfId="13783"/>
    <cellStyle name="Currency 22" xfId="13784"/>
    <cellStyle name="Currency 22 2" xfId="13785"/>
    <cellStyle name="Currency 23" xfId="13786"/>
    <cellStyle name="Currency 23 2" xfId="13787"/>
    <cellStyle name="Currency 23 2 2" xfId="18445"/>
    <cellStyle name="Currency 23 3" xfId="18444"/>
    <cellStyle name="Currency 24" xfId="13788"/>
    <cellStyle name="Currency 24 2" xfId="18446"/>
    <cellStyle name="Currency 25" xfId="13789"/>
    <cellStyle name="Currency 26" xfId="21229"/>
    <cellStyle name="Currency 27" xfId="21293"/>
    <cellStyle name="Currency 28" xfId="21297"/>
    <cellStyle name="Currency 3" xfId="571"/>
    <cellStyle name="Currency 3 10" xfId="20616"/>
    <cellStyle name="Currency 3 11" xfId="20617"/>
    <cellStyle name="Currency 3 12" xfId="20618"/>
    <cellStyle name="Currency 3 13" xfId="20619"/>
    <cellStyle name="Currency 3 14" xfId="21305"/>
    <cellStyle name="Currency 3 2" xfId="572"/>
    <cellStyle name="Currency 3 2 2" xfId="13790"/>
    <cellStyle name="Currency 3 2 2 2" xfId="13791"/>
    <cellStyle name="Currency 3 2 3" xfId="13792"/>
    <cellStyle name="Currency 3 3" xfId="573"/>
    <cellStyle name="Currency 3 3 2" xfId="574"/>
    <cellStyle name="Currency 3 3 2 2" xfId="18285"/>
    <cellStyle name="Currency 3 3 2 3" xfId="20620"/>
    <cellStyle name="Currency 3 3 2 4" xfId="20621"/>
    <cellStyle name="Currency 3 3 2 5" xfId="20622"/>
    <cellStyle name="Currency 3 3 3" xfId="18284"/>
    <cellStyle name="Currency 3 3 3 2" xfId="20623"/>
    <cellStyle name="Currency 3 3 3 3" xfId="20624"/>
    <cellStyle name="Currency 3 3 4" xfId="20625"/>
    <cellStyle name="Currency 3 3 4 2" xfId="20626"/>
    <cellStyle name="Currency 3 3 5" xfId="20627"/>
    <cellStyle name="Currency 3 3 6" xfId="20628"/>
    <cellStyle name="Currency 3 3 7" xfId="20629"/>
    <cellStyle name="Currency 3 3 8" xfId="20630"/>
    <cellStyle name="Currency 3 4" xfId="575"/>
    <cellStyle name="Currency 3 4 2" xfId="13793"/>
    <cellStyle name="Currency 3 4 2 2" xfId="13794"/>
    <cellStyle name="Currency 3 4 3" xfId="13795"/>
    <cellStyle name="Currency 3 4 4" xfId="13796"/>
    <cellStyle name="Currency 3 4 5" xfId="13797"/>
    <cellStyle name="Currency 3 5" xfId="576"/>
    <cellStyle name="Currency 3 5 2" xfId="18286"/>
    <cellStyle name="Currency 3 5 2 2" xfId="20631"/>
    <cellStyle name="Currency 3 5 3" xfId="20632"/>
    <cellStyle name="Currency 3 5 3 2" xfId="20633"/>
    <cellStyle name="Currency 3 5 4" xfId="20634"/>
    <cellStyle name="Currency 3 5 5" xfId="20635"/>
    <cellStyle name="Currency 3 5 6" xfId="20636"/>
    <cellStyle name="Currency 3 5 7" xfId="20637"/>
    <cellStyle name="Currency 3 6" xfId="18283"/>
    <cellStyle name="Currency 3 6 2" xfId="20638"/>
    <cellStyle name="Currency 3 6 2 2" xfId="20639"/>
    <cellStyle name="Currency 3 6 3" xfId="20640"/>
    <cellStyle name="Currency 3 6 3 2" xfId="20641"/>
    <cellStyle name="Currency 3 6 4" xfId="20642"/>
    <cellStyle name="Currency 3 6 5" xfId="20643"/>
    <cellStyle name="Currency 3 6 6" xfId="20644"/>
    <cellStyle name="Currency 3 7" xfId="20645"/>
    <cellStyle name="Currency 3 7 2" xfId="20646"/>
    <cellStyle name="Currency 3 7 2 2" xfId="20647"/>
    <cellStyle name="Currency 3 7 3" xfId="20648"/>
    <cellStyle name="Currency 3 7 4" xfId="20649"/>
    <cellStyle name="Currency 3 7 5" xfId="20650"/>
    <cellStyle name="Currency 3 8" xfId="20651"/>
    <cellStyle name="Currency 3 8 2" xfId="20652"/>
    <cellStyle name="Currency 3 9" xfId="20653"/>
    <cellStyle name="Currency 4" xfId="577"/>
    <cellStyle name="Currency 4 10" xfId="20654"/>
    <cellStyle name="Currency 4 11" xfId="20655"/>
    <cellStyle name="Currency 4 12" xfId="20656"/>
    <cellStyle name="Currency 4 13" xfId="20657"/>
    <cellStyle name="Currency 4 2" xfId="578"/>
    <cellStyle name="Currency 4 2 2" xfId="13798"/>
    <cellStyle name="Currency 4 2 2 2" xfId="13799"/>
    <cellStyle name="Currency 4 2 3" xfId="13800"/>
    <cellStyle name="Currency 4 2 3 2" xfId="13801"/>
    <cellStyle name="Currency 4 2 4" xfId="13802"/>
    <cellStyle name="Currency 4 3" xfId="579"/>
    <cellStyle name="Currency 4 3 2" xfId="580"/>
    <cellStyle name="Currency 4 3 2 2" xfId="18289"/>
    <cellStyle name="Currency 4 3 2 3" xfId="20658"/>
    <cellStyle name="Currency 4 3 2 4" xfId="20659"/>
    <cellStyle name="Currency 4 3 2 5" xfId="20660"/>
    <cellStyle name="Currency 4 3 3" xfId="18288"/>
    <cellStyle name="Currency 4 3 3 2" xfId="20661"/>
    <cellStyle name="Currency 4 3 3 3" xfId="20662"/>
    <cellStyle name="Currency 4 3 4" xfId="20663"/>
    <cellStyle name="Currency 4 3 4 2" xfId="20664"/>
    <cellStyle name="Currency 4 3 5" xfId="20665"/>
    <cellStyle name="Currency 4 3 6" xfId="20666"/>
    <cellStyle name="Currency 4 3 7" xfId="20667"/>
    <cellStyle name="Currency 4 3 8" xfId="20668"/>
    <cellStyle name="Currency 4 4" xfId="581"/>
    <cellStyle name="Currency 4 4 2" xfId="20669"/>
    <cellStyle name="Currency 4 4 3" xfId="20670"/>
    <cellStyle name="Currency 4 5" xfId="582"/>
    <cellStyle name="Currency 4 5 2" xfId="18290"/>
    <cellStyle name="Currency 4 5 3" xfId="20671"/>
    <cellStyle name="Currency 4 5 4" xfId="20672"/>
    <cellStyle name="Currency 4 6" xfId="18287"/>
    <cellStyle name="Currency 4 6 2" xfId="20673"/>
    <cellStyle name="Currency 4 7" xfId="20674"/>
    <cellStyle name="Currency 4 8" xfId="20675"/>
    <cellStyle name="Currency 4 9" xfId="20676"/>
    <cellStyle name="Currency 4_2009 GRC Compliance Filing (Electric) for Exh A-1" xfId="13803"/>
    <cellStyle name="Currency 5" xfId="583"/>
    <cellStyle name="Currency 5 2" xfId="584"/>
    <cellStyle name="Currency 5 2 2" xfId="13804"/>
    <cellStyle name="Currency 5 2 3" xfId="20677"/>
    <cellStyle name="Currency 5 3" xfId="13805"/>
    <cellStyle name="Currency 5 3 2" xfId="13806"/>
    <cellStyle name="Currency 5 4" xfId="13807"/>
    <cellStyle name="Currency 6" xfId="585"/>
    <cellStyle name="Currency 6 2" xfId="586"/>
    <cellStyle name="Currency 6 2 2" xfId="13808"/>
    <cellStyle name="Currency 6 2 3" xfId="20678"/>
    <cellStyle name="Currency 6 3" xfId="13809"/>
    <cellStyle name="Currency 6 3 2" xfId="13810"/>
    <cellStyle name="Currency 6 4" xfId="13811"/>
    <cellStyle name="Currency 7" xfId="587"/>
    <cellStyle name="Currency 7 10" xfId="20679"/>
    <cellStyle name="Currency 7 2" xfId="588"/>
    <cellStyle name="Currency 7 2 2" xfId="589"/>
    <cellStyle name="Currency 7 2 2 2" xfId="18293"/>
    <cellStyle name="Currency 7 2 2 3" xfId="20680"/>
    <cellStyle name="Currency 7 2 2 4" xfId="20681"/>
    <cellStyle name="Currency 7 2 2 5" xfId="20682"/>
    <cellStyle name="Currency 7 2 3" xfId="18292"/>
    <cellStyle name="Currency 7 2 3 2" xfId="20683"/>
    <cellStyle name="Currency 7 2 3 3" xfId="20684"/>
    <cellStyle name="Currency 7 2 4" xfId="20685"/>
    <cellStyle name="Currency 7 2 4 2" xfId="20686"/>
    <cellStyle name="Currency 7 2 5" xfId="20687"/>
    <cellStyle name="Currency 7 2 6" xfId="20688"/>
    <cellStyle name="Currency 7 2 7" xfId="20689"/>
    <cellStyle name="Currency 7 2 8" xfId="20690"/>
    <cellStyle name="Currency 7 3" xfId="590"/>
    <cellStyle name="Currency 7 3 2" xfId="13812"/>
    <cellStyle name="Currency 7 3 3" xfId="18294"/>
    <cellStyle name="Currency 7 3 4" xfId="20691"/>
    <cellStyle name="Currency 7 3 5" xfId="20692"/>
    <cellStyle name="Currency 7 4" xfId="13813"/>
    <cellStyle name="Currency 7 4 2" xfId="20693"/>
    <cellStyle name="Currency 7 4 3" xfId="20694"/>
    <cellStyle name="Currency 7 5" xfId="18291"/>
    <cellStyle name="Currency 7 5 2" xfId="20695"/>
    <cellStyle name="Currency 7 6" xfId="20696"/>
    <cellStyle name="Currency 7 7" xfId="20697"/>
    <cellStyle name="Currency 7 8" xfId="20698"/>
    <cellStyle name="Currency 7 9" xfId="20699"/>
    <cellStyle name="Currency 8" xfId="591"/>
    <cellStyle name="Currency 8 2" xfId="13814"/>
    <cellStyle name="Currency 8 2 2" xfId="13815"/>
    <cellStyle name="Currency 8 3" xfId="13816"/>
    <cellStyle name="Currency 8 3 2" xfId="13817"/>
    <cellStyle name="Currency 8 4" xfId="13818"/>
    <cellStyle name="Currency 9" xfId="592"/>
    <cellStyle name="Currency 9 2" xfId="593"/>
    <cellStyle name="Currency 9 2 2" xfId="13819"/>
    <cellStyle name="Currency 9 2 3" xfId="18296"/>
    <cellStyle name="Currency 9 2 4" xfId="20700"/>
    <cellStyle name="Currency 9 2 5" xfId="20701"/>
    <cellStyle name="Currency 9 3" xfId="13820"/>
    <cellStyle name="Currency 9 3 2" xfId="13821"/>
    <cellStyle name="Currency 9 3 3" xfId="20702"/>
    <cellStyle name="Currency 9 4" xfId="13822"/>
    <cellStyle name="Currency 9 4 2" xfId="20703"/>
    <cellStyle name="Currency 9 5" xfId="18295"/>
    <cellStyle name="Currency 9 6" xfId="20704"/>
    <cellStyle name="Currency 9 7" xfId="20705"/>
    <cellStyle name="Currency 9 8" xfId="20706"/>
    <cellStyle name="Currency0" xfId="13823"/>
    <cellStyle name="Currency0 2" xfId="13824"/>
    <cellStyle name="Currency0 2 2" xfId="13825"/>
    <cellStyle name="Currency0 2 2 2" xfId="13826"/>
    <cellStyle name="Currency0 2 3" xfId="13827"/>
    <cellStyle name="Currency0 2 3 2" xfId="13828"/>
    <cellStyle name="Currency0 2 4" xfId="13829"/>
    <cellStyle name="Currency0 3" xfId="13830"/>
    <cellStyle name="Currency0 3 2" xfId="13831"/>
    <cellStyle name="Currency0 3 3" xfId="13832"/>
    <cellStyle name="Currency0 4" xfId="13833"/>
    <cellStyle name="Currency0 4 2" xfId="13834"/>
    <cellStyle name="Currency0 4 2 2" xfId="13835"/>
    <cellStyle name="Currency0 4 3" xfId="13836"/>
    <cellStyle name="Currency0 4 4" xfId="13837"/>
    <cellStyle name="Currency0 5" xfId="13838"/>
    <cellStyle name="Currency0 5 2" xfId="13839"/>
    <cellStyle name="Currency0 5 2 2" xfId="13840"/>
    <cellStyle name="Currency0 5 3" xfId="13841"/>
    <cellStyle name="Currency0 5 3 2" xfId="13842"/>
    <cellStyle name="Currency0 5 4" xfId="13843"/>
    <cellStyle name="Currency0 6" xfId="13844"/>
    <cellStyle name="Currency0 6 2" xfId="13845"/>
    <cellStyle name="Currency0 7" xfId="13846"/>
    <cellStyle name="Currency0 7 2" xfId="13847"/>
    <cellStyle name="Currency0 7 2 2" xfId="13848"/>
    <cellStyle name="Currency0 7 3" xfId="13849"/>
    <cellStyle name="Currency0 8" xfId="13850"/>
    <cellStyle name="Currency0 8 2" xfId="13851"/>
    <cellStyle name="Currency0 8 2 2" xfId="13852"/>
    <cellStyle name="Currency0 8 3" xfId="13853"/>
    <cellStyle name="Currency0 9" xfId="13854"/>
    <cellStyle name="Date" xfId="13855"/>
    <cellStyle name="date 10" xfId="13856"/>
    <cellStyle name="Date 2" xfId="13857"/>
    <cellStyle name="Date 2 2" xfId="13858"/>
    <cellStyle name="Date 3" xfId="13859"/>
    <cellStyle name="Date 3 2" xfId="13860"/>
    <cellStyle name="Date 4" xfId="13861"/>
    <cellStyle name="Date 4 2" xfId="13862"/>
    <cellStyle name="Date 5" xfId="13863"/>
    <cellStyle name="Date 5 2" xfId="13864"/>
    <cellStyle name="Date 5 2 2" xfId="13865"/>
    <cellStyle name="Date 5 3" xfId="13866"/>
    <cellStyle name="Date 6" xfId="13867"/>
    <cellStyle name="date 7" xfId="13868"/>
    <cellStyle name="date 8" xfId="13869"/>
    <cellStyle name="date 9" xfId="13870"/>
    <cellStyle name="DateTime" xfId="13871"/>
    <cellStyle name="DateTime 2" xfId="13872"/>
    <cellStyle name="drp-sh - Style2" xfId="13873"/>
    <cellStyle name="Emphasis 1" xfId="13874"/>
    <cellStyle name="Emphasis 1 2" xfId="13875"/>
    <cellStyle name="Emphasis 2" xfId="13876"/>
    <cellStyle name="Emphasis 2 2" xfId="13877"/>
    <cellStyle name="Emphasis 3" xfId="13878"/>
    <cellStyle name="Emphasis 3 2" xfId="13879"/>
    <cellStyle name="Entered" xfId="13880"/>
    <cellStyle name="Entered 2" xfId="13881"/>
    <cellStyle name="Entered 2 2" xfId="13882"/>
    <cellStyle name="Entered 2 2 2" xfId="13883"/>
    <cellStyle name="Entered 2 3" xfId="13884"/>
    <cellStyle name="Entered 2 3 2" xfId="13885"/>
    <cellStyle name="Entered 2 4" xfId="13886"/>
    <cellStyle name="Entered 3" xfId="13887"/>
    <cellStyle name="Entered 3 2" xfId="13888"/>
    <cellStyle name="Entered 4" xfId="13889"/>
    <cellStyle name="Entered 4 2" xfId="13890"/>
    <cellStyle name="Entered 4 2 2" xfId="13891"/>
    <cellStyle name="Entered 4 3" xfId="13892"/>
    <cellStyle name="Entered 5" xfId="13893"/>
    <cellStyle name="Entered 5 2" xfId="13894"/>
    <cellStyle name="Entered 5 2 2" xfId="13895"/>
    <cellStyle name="Entered 5 3" xfId="13896"/>
    <cellStyle name="Entered 5 3 2" xfId="13897"/>
    <cellStyle name="Entered 5 4" xfId="13898"/>
    <cellStyle name="Entered 6" xfId="13899"/>
    <cellStyle name="Entered 6 2" xfId="13900"/>
    <cellStyle name="Entered 7" xfId="13901"/>
    <cellStyle name="Entered 7 2" xfId="13902"/>
    <cellStyle name="Entered 7 2 2" xfId="13903"/>
    <cellStyle name="Entered 7 3" xfId="13904"/>
    <cellStyle name="Entered 8" xfId="13905"/>
    <cellStyle name="Entered 8 2" xfId="13906"/>
    <cellStyle name="Entered 8 2 2" xfId="13907"/>
    <cellStyle name="Entered 8 3" xfId="13908"/>
    <cellStyle name="Entered 9" xfId="13909"/>
    <cellStyle name="Entered_AURORA Total New" xfId="13910"/>
    <cellStyle name="Euro" xfId="13911"/>
    <cellStyle name="Euro 2" xfId="13912"/>
    <cellStyle name="Euro 2 2" xfId="13913"/>
    <cellStyle name="Euro 2 2 2" xfId="13914"/>
    <cellStyle name="Euro 2 3" xfId="13915"/>
    <cellStyle name="Euro 2 3 2" xfId="13916"/>
    <cellStyle name="Euro 2 4" xfId="13917"/>
    <cellStyle name="Euro 3" xfId="13918"/>
    <cellStyle name="Euro 3 2" xfId="13919"/>
    <cellStyle name="Euro 4" xfId="13920"/>
    <cellStyle name="Euro 4 2" xfId="13921"/>
    <cellStyle name="Euro 4 2 2" xfId="13922"/>
    <cellStyle name="Euro 4 3" xfId="13923"/>
    <cellStyle name="Euro 5" xfId="13924"/>
    <cellStyle name="Euro 5 2" xfId="13925"/>
    <cellStyle name="Euro 5 2 2" xfId="13926"/>
    <cellStyle name="Euro 5 3" xfId="13927"/>
    <cellStyle name="Euro 5 3 2" xfId="13928"/>
    <cellStyle name="Euro 5 4" xfId="13929"/>
    <cellStyle name="Euro 6" xfId="13930"/>
    <cellStyle name="Euro 6 2" xfId="13931"/>
    <cellStyle name="Euro 7" xfId="13932"/>
    <cellStyle name="Euro 7 2" xfId="13933"/>
    <cellStyle name="Euro 7 2 2" xfId="13934"/>
    <cellStyle name="Euro 7 3" xfId="13935"/>
    <cellStyle name="Euro 8" xfId="13936"/>
    <cellStyle name="Euro 8 2" xfId="13937"/>
    <cellStyle name="Euro 8 2 2" xfId="13938"/>
    <cellStyle name="Euro 8 3" xfId="13939"/>
    <cellStyle name="Euro 9" xfId="13940"/>
    <cellStyle name="Explanatory Text 2" xfId="594"/>
    <cellStyle name="Explanatory Text 2 2" xfId="595"/>
    <cellStyle name="Explanatory Text 2 2 2" xfId="13941"/>
    <cellStyle name="Explanatory Text 2 2 2 2" xfId="13942"/>
    <cellStyle name="Explanatory Text 2 2 3" xfId="13943"/>
    <cellStyle name="Explanatory Text 2 3" xfId="13944"/>
    <cellStyle name="Explanatory Text 2 3 2" xfId="13945"/>
    <cellStyle name="Explanatory Text 2 3 2 2" xfId="13946"/>
    <cellStyle name="Explanatory Text 2 3 3" xfId="13947"/>
    <cellStyle name="Explanatory Text 2 4" xfId="13948"/>
    <cellStyle name="Explanatory Text 2 4 2" xfId="13949"/>
    <cellStyle name="Explanatory Text 2 5" xfId="13950"/>
    <cellStyle name="Explanatory Text 3" xfId="596"/>
    <cellStyle name="Explanatory Text 3 2" xfId="13951"/>
    <cellStyle name="Explanatory Text 3 2 2" xfId="13952"/>
    <cellStyle name="Explanatory Text 3 3" xfId="13953"/>
    <cellStyle name="Explanatory Text 4" xfId="597"/>
    <cellStyle name="Explanatory Text 4 2" xfId="13954"/>
    <cellStyle name="Explanatory Text 4 2 2" xfId="13955"/>
    <cellStyle name="Explanatory Text 4 3" xfId="13956"/>
    <cellStyle name="Explanatory Text 5" xfId="13957"/>
    <cellStyle name="Explanatory Text 5 2" xfId="13958"/>
    <cellStyle name="Explanatory Text 6" xfId="13959"/>
    <cellStyle name="FieldName" xfId="13960"/>
    <cellStyle name="FieldName 2" xfId="13961"/>
    <cellStyle name="FieldName 2 2" xfId="13962"/>
    <cellStyle name="FieldName 3" xfId="13963"/>
    <cellStyle name="Fixed" xfId="13964"/>
    <cellStyle name="Fixed 2" xfId="13965"/>
    <cellStyle name="Fixed 2 2" xfId="13966"/>
    <cellStyle name="Fixed 2 2 2" xfId="13967"/>
    <cellStyle name="Fixed 2 3" xfId="13968"/>
    <cellStyle name="Fixed 3" xfId="13969"/>
    <cellStyle name="Fixed 4" xfId="18233"/>
    <cellStyle name="Fixed3 - Style3" xfId="13970"/>
    <cellStyle name="Fixed3 - Style3 2" xfId="13971"/>
    <cellStyle name="Footnote" xfId="13972"/>
    <cellStyle name="FRxAmtStyle" xfId="13973"/>
    <cellStyle name="FRxAmtStyle 2" xfId="13974"/>
    <cellStyle name="FRxAmtStyle_Frederickson Pow - Acct Detail" xfId="13975"/>
    <cellStyle name="FRxCurrStyle" xfId="13976"/>
    <cellStyle name="FRxCurrStyle 2" xfId="13977"/>
    <cellStyle name="FRxPcntStyle" xfId="13978"/>
    <cellStyle name="FRxPcntStyle 2" xfId="13979"/>
    <cellStyle name="G01_2001 figures 1 decimal a" xfId="13980"/>
    <cellStyle name="G03_Text" xfId="13981"/>
    <cellStyle name="G05_Superiors" xfId="13982"/>
    <cellStyle name="G07_Bold_2002_figs_Green" xfId="13983"/>
    <cellStyle name="G08_2001_figs" xfId="13984"/>
    <cellStyle name="Good 2" xfId="598"/>
    <cellStyle name="Good 2 2" xfId="599"/>
    <cellStyle name="Good 2 2 2" xfId="13985"/>
    <cellStyle name="Good 2 2 2 2" xfId="13986"/>
    <cellStyle name="Good 2 2 3" xfId="13987"/>
    <cellStyle name="Good 2 3" xfId="13988"/>
    <cellStyle name="Good 2 3 2" xfId="13989"/>
    <cellStyle name="Good 2 3 2 2" xfId="13990"/>
    <cellStyle name="Good 2 3 3" xfId="13991"/>
    <cellStyle name="Good 2 3 3 2" xfId="13992"/>
    <cellStyle name="Good 2 3 4" xfId="13993"/>
    <cellStyle name="Good 2 4" xfId="13994"/>
    <cellStyle name="Good 2 4 2" xfId="13995"/>
    <cellStyle name="Good 2 5" xfId="13996"/>
    <cellStyle name="Good 3" xfId="600"/>
    <cellStyle name="Good 3 2" xfId="601"/>
    <cellStyle name="Good 3 2 2" xfId="13997"/>
    <cellStyle name="Good 3 3" xfId="13998"/>
    <cellStyle name="Good 4" xfId="602"/>
    <cellStyle name="Good 4 2" xfId="13999"/>
    <cellStyle name="Good 4 2 2" xfId="14000"/>
    <cellStyle name="Good 4 3" xfId="14001"/>
    <cellStyle name="Good 5" xfId="14002"/>
    <cellStyle name="Good 5 2" xfId="14003"/>
    <cellStyle name="Good 5 2 2" xfId="14004"/>
    <cellStyle name="Good 5 3" xfId="14005"/>
    <cellStyle name="Good 6" xfId="14006"/>
    <cellStyle name="Good 6 2" xfId="14007"/>
    <cellStyle name="Grey" xfId="603"/>
    <cellStyle name="Grey 2" xfId="604"/>
    <cellStyle name="Grey 2 2" xfId="14008"/>
    <cellStyle name="Grey 2 2 2" xfId="14009"/>
    <cellStyle name="Grey 2 3" xfId="14010"/>
    <cellStyle name="Grey 2 3 2" xfId="14011"/>
    <cellStyle name="Grey 2 4" xfId="14012"/>
    <cellStyle name="Grey 3" xfId="14013"/>
    <cellStyle name="Grey 3 2" xfId="14014"/>
    <cellStyle name="Grey 3 2 2" xfId="14015"/>
    <cellStyle name="Grey 3 3" xfId="14016"/>
    <cellStyle name="Grey 3 3 2" xfId="14017"/>
    <cellStyle name="Grey 3 4" xfId="14018"/>
    <cellStyle name="Grey 4" xfId="14019"/>
    <cellStyle name="Grey 4 2" xfId="14020"/>
    <cellStyle name="Grey 4 2 2" xfId="14021"/>
    <cellStyle name="Grey 4 3" xfId="14022"/>
    <cellStyle name="Grey 5" xfId="14023"/>
    <cellStyle name="Grey 5 2" xfId="14024"/>
    <cellStyle name="Grey 5 2 2" xfId="14025"/>
    <cellStyle name="Grey 5 2 2 2" xfId="14026"/>
    <cellStyle name="Grey 5 2 3" xfId="14027"/>
    <cellStyle name="Grey 5 3" xfId="14028"/>
    <cellStyle name="Grey 5 3 2" xfId="14029"/>
    <cellStyle name="Grey 5 4" xfId="14030"/>
    <cellStyle name="Grey 6" xfId="14031"/>
    <cellStyle name="Grey 6 2" xfId="14032"/>
    <cellStyle name="Grey 6 2 2" xfId="14033"/>
    <cellStyle name="Grey 6 3" xfId="14034"/>
    <cellStyle name="Grey 7" xfId="14035"/>
    <cellStyle name="Grey_(C) WHE Proforma with ITC cash grant 10 Yr Amort_for deferral_102809" xfId="14036"/>
    <cellStyle name="g-tota - Style7" xfId="14037"/>
    <cellStyle name="g-tota - Style7 2" xfId="14038"/>
    <cellStyle name="g-tota - Style7 2 2" xfId="14039"/>
    <cellStyle name="g-tota - Style7 2 2 2" xfId="14040"/>
    <cellStyle name="g-tota - Style7 2 3" xfId="14041"/>
    <cellStyle name="g-tota - Style7 2 3 2" xfId="14042"/>
    <cellStyle name="g-tota - Style7 2 4" xfId="14043"/>
    <cellStyle name="g-tota - Style7 2 4 2" xfId="14044"/>
    <cellStyle name="g-tota - Style7 3" xfId="14045"/>
    <cellStyle name="g-tota - Style7 3 2" xfId="14046"/>
    <cellStyle name="g-tota - Style7 4" xfId="14047"/>
    <cellStyle name="g-tota - Style7 4 2" xfId="14048"/>
    <cellStyle name="g-tota - Style7 5" xfId="14049"/>
    <cellStyle name="g-tota - Style7 5 2" xfId="14050"/>
    <cellStyle name="Header" xfId="14051"/>
    <cellStyle name="Header1" xfId="14052"/>
    <cellStyle name="Header1 2" xfId="14053"/>
    <cellStyle name="Header1 2 2" xfId="14054"/>
    <cellStyle name="Header1 3" xfId="14055"/>
    <cellStyle name="Header1 3 2" xfId="14056"/>
    <cellStyle name="Header1 3 2 2" xfId="14057"/>
    <cellStyle name="Header1 3 3" xfId="14058"/>
    <cellStyle name="Header1 4" xfId="14059"/>
    <cellStyle name="Header1_AURORA Total New" xfId="14060"/>
    <cellStyle name="Header2" xfId="14061"/>
    <cellStyle name="Header2 2" xfId="14062"/>
    <cellStyle name="Header2 2 2" xfId="14063"/>
    <cellStyle name="Header2 2 3" xfId="14064"/>
    <cellStyle name="Header2 2 4" xfId="14065"/>
    <cellStyle name="Header2 3" xfId="14066"/>
    <cellStyle name="Header2 3 2" xfId="14067"/>
    <cellStyle name="Header2 3 2 2" xfId="14068"/>
    <cellStyle name="Header2 3 2 3" xfId="14069"/>
    <cellStyle name="Header2 3 2 4" xfId="14070"/>
    <cellStyle name="Header2 3 3" xfId="14071"/>
    <cellStyle name="Header2 3 4" xfId="14072"/>
    <cellStyle name="Header2 3 5" xfId="14073"/>
    <cellStyle name="Header2 4" xfId="14074"/>
    <cellStyle name="Header2 5" xfId="14075"/>
    <cellStyle name="Header2 6" xfId="14076"/>
    <cellStyle name="Header2_AURORA Total New" xfId="14077"/>
    <cellStyle name="Heading" xfId="14078"/>
    <cellStyle name="Heading 1 2" xfId="605"/>
    <cellStyle name="Heading 1 2 2" xfId="606"/>
    <cellStyle name="Heading 1 2 2 2" xfId="14079"/>
    <cellStyle name="Heading 1 2 2 2 2" xfId="14080"/>
    <cellStyle name="Heading 1 2 2 3" xfId="14081"/>
    <cellStyle name="Heading 1 2 3" xfId="14082"/>
    <cellStyle name="Heading 1 2 3 2" xfId="14083"/>
    <cellStyle name="Heading 1 2 3 2 2" xfId="14084"/>
    <cellStyle name="Heading 1 2 3 3" xfId="14085"/>
    <cellStyle name="Heading 1 2 3 3 2" xfId="14086"/>
    <cellStyle name="Heading 1 2 3 4" xfId="14087"/>
    <cellStyle name="Heading 1 2 4" xfId="14088"/>
    <cellStyle name="Heading 1 2 4 2" xfId="14089"/>
    <cellStyle name="Heading 1 2 5" xfId="14090"/>
    <cellStyle name="Heading 1 2 5 2" xfId="14091"/>
    <cellStyle name="Heading 1 2 6" xfId="14092"/>
    <cellStyle name="Heading 1 3" xfId="607"/>
    <cellStyle name="Heading 1 3 2" xfId="608"/>
    <cellStyle name="Heading 1 3 2 2" xfId="14093"/>
    <cellStyle name="Heading 1 3 3" xfId="14094"/>
    <cellStyle name="Heading 1 4" xfId="14095"/>
    <cellStyle name="Heading 1 4 2" xfId="14096"/>
    <cellStyle name="Heading 1 4 2 2" xfId="14097"/>
    <cellStyle name="Heading 1 4 3" xfId="14098"/>
    <cellStyle name="Heading 1 5" xfId="14099"/>
    <cellStyle name="Heading 1 5 2" xfId="14100"/>
    <cellStyle name="Heading 1 9" xfId="14101"/>
    <cellStyle name="Heading 1 9 2" xfId="14102"/>
    <cellStyle name="Heading 2 2" xfId="609"/>
    <cellStyle name="Heading 2 2 2" xfId="610"/>
    <cellStyle name="Heading 2 2 2 2" xfId="14103"/>
    <cellStyle name="Heading 2 2 2 2 2" xfId="14104"/>
    <cellStyle name="Heading 2 2 2 3" xfId="14105"/>
    <cellStyle name="Heading 2 2 3" xfId="14106"/>
    <cellStyle name="Heading 2 2 3 2" xfId="14107"/>
    <cellStyle name="Heading 2 2 3 2 2" xfId="14108"/>
    <cellStyle name="Heading 2 2 3 3" xfId="14109"/>
    <cellStyle name="Heading 2 2 3 3 2" xfId="14110"/>
    <cellStyle name="Heading 2 2 3 4" xfId="14111"/>
    <cellStyle name="Heading 2 2 4" xfId="14112"/>
    <cellStyle name="Heading 2 2 4 2" xfId="14113"/>
    <cellStyle name="Heading 2 2 5" xfId="14114"/>
    <cellStyle name="Heading 2 2 5 2" xfId="14115"/>
    <cellStyle name="Heading 2 2 6" xfId="14116"/>
    <cellStyle name="Heading 2 3" xfId="611"/>
    <cellStyle name="Heading 2 3 2" xfId="612"/>
    <cellStyle name="Heading 2 3 2 2" xfId="14117"/>
    <cellStyle name="Heading 2 3 3" xfId="14118"/>
    <cellStyle name="Heading 2 4" xfId="14119"/>
    <cellStyle name="Heading 2 4 2" xfId="14120"/>
    <cellStyle name="Heading 2 4 2 2" xfId="14121"/>
    <cellStyle name="Heading 2 4 3" xfId="14122"/>
    <cellStyle name="Heading 2 5" xfId="14123"/>
    <cellStyle name="Heading 2 5 2" xfId="14124"/>
    <cellStyle name="Heading 2 9" xfId="14125"/>
    <cellStyle name="Heading 2 9 2" xfId="14126"/>
    <cellStyle name="Heading 3 2" xfId="613"/>
    <cellStyle name="Heading 3 2 10" xfId="14127"/>
    <cellStyle name="Heading 3 2 2" xfId="614"/>
    <cellStyle name="Heading 3 2 2 2" xfId="14128"/>
    <cellStyle name="Heading 3 2 2 2 2" xfId="14129"/>
    <cellStyle name="Heading 3 2 2 2 3" xfId="14130"/>
    <cellStyle name="Heading 3 2 2 2 3 2" xfId="14131"/>
    <cellStyle name="Heading 3 2 2 2 3 3" xfId="14132"/>
    <cellStyle name="Heading 3 2 2 2 3 4" xfId="14133"/>
    <cellStyle name="Heading 3 2 2 2 4" xfId="14134"/>
    <cellStyle name="Heading 3 2 2 2 5" xfId="14135"/>
    <cellStyle name="Heading 3 2 2 2 6" xfId="14136"/>
    <cellStyle name="Heading 3 2 2 3" xfId="14137"/>
    <cellStyle name="Heading 3 2 2 4" xfId="14138"/>
    <cellStyle name="Heading 3 2 2 4 2" xfId="14139"/>
    <cellStyle name="Heading 3 2 2 4 3" xfId="14140"/>
    <cellStyle name="Heading 3 2 2 4 4" xfId="14141"/>
    <cellStyle name="Heading 3 2 2 5" xfId="14142"/>
    <cellStyle name="Heading 3 2 2 6" xfId="14143"/>
    <cellStyle name="Heading 3 2 2 7" xfId="14144"/>
    <cellStyle name="Heading 3 2 3" xfId="14145"/>
    <cellStyle name="Heading 3 2 3 2" xfId="14146"/>
    <cellStyle name="Heading 3 2 3 2 2" xfId="14147"/>
    <cellStyle name="Heading 3 2 3 3" xfId="14148"/>
    <cellStyle name="Heading 3 2 3 3 2" xfId="14149"/>
    <cellStyle name="Heading 3 2 3 4" xfId="14150"/>
    <cellStyle name="Heading 3 2 3 4 2" xfId="14151"/>
    <cellStyle name="Heading 3 2 3 5" xfId="14152"/>
    <cellStyle name="Heading 3 2 3 6" xfId="14153"/>
    <cellStyle name="Heading 3 2 3 6 2" xfId="14154"/>
    <cellStyle name="Heading 3 2 3 6 3" xfId="14155"/>
    <cellStyle name="Heading 3 2 3 6 4" xfId="14156"/>
    <cellStyle name="Heading 3 2 3 7" xfId="14157"/>
    <cellStyle name="Heading 3 2 3 8" xfId="14158"/>
    <cellStyle name="Heading 3 2 3 9" xfId="14159"/>
    <cellStyle name="Heading 3 2 4" xfId="14160"/>
    <cellStyle name="Heading 3 2 4 2" xfId="14161"/>
    <cellStyle name="Heading 3 2 4 3" xfId="14162"/>
    <cellStyle name="Heading 3 2 4 3 2" xfId="14163"/>
    <cellStyle name="Heading 3 2 4 3 3" xfId="14164"/>
    <cellStyle name="Heading 3 2 4 3 4" xfId="14165"/>
    <cellStyle name="Heading 3 2 4 4" xfId="14166"/>
    <cellStyle name="Heading 3 2 4 5" xfId="14167"/>
    <cellStyle name="Heading 3 2 4 6" xfId="14168"/>
    <cellStyle name="Heading 3 2 5" xfId="14169"/>
    <cellStyle name="Heading 3 2 5 2" xfId="14170"/>
    <cellStyle name="Heading 3 2 6" xfId="14171"/>
    <cellStyle name="Heading 3 2 7" xfId="14172"/>
    <cellStyle name="Heading 3 2 7 2" xfId="14173"/>
    <cellStyle name="Heading 3 2 7 3" xfId="14174"/>
    <cellStyle name="Heading 3 2 7 4" xfId="14175"/>
    <cellStyle name="Heading 3 2 8" xfId="14176"/>
    <cellStyle name="Heading 3 2 9" xfId="14177"/>
    <cellStyle name="Heading 3 3" xfId="615"/>
    <cellStyle name="Heading 3 3 2" xfId="616"/>
    <cellStyle name="Heading 3 3 2 2" xfId="14178"/>
    <cellStyle name="Heading 3 3 2 3" xfId="14179"/>
    <cellStyle name="Heading 3 3 2 3 2" xfId="14180"/>
    <cellStyle name="Heading 3 3 2 3 3" xfId="14181"/>
    <cellStyle name="Heading 3 3 2 3 4" xfId="14182"/>
    <cellStyle name="Heading 3 3 2 4" xfId="14183"/>
    <cellStyle name="Heading 3 3 2 5" xfId="14184"/>
    <cellStyle name="Heading 3 3 2 6" xfId="14185"/>
    <cellStyle name="Heading 3 3 3" xfId="14186"/>
    <cellStyle name="Heading 3 3 4" xfId="14187"/>
    <cellStyle name="Heading 3 3 4 2" xfId="14188"/>
    <cellStyle name="Heading 3 3 4 3" xfId="14189"/>
    <cellStyle name="Heading 3 3 4 4" xfId="14190"/>
    <cellStyle name="Heading 3 3 5" xfId="14191"/>
    <cellStyle name="Heading 3 3 6" xfId="14192"/>
    <cellStyle name="Heading 3 3 7" xfId="14193"/>
    <cellStyle name="Heading 3 4" xfId="14194"/>
    <cellStyle name="Heading 3 4 2" xfId="14195"/>
    <cellStyle name="Heading 3 4 2 2" xfId="14196"/>
    <cellStyle name="Heading 3 4 3" xfId="14197"/>
    <cellStyle name="Heading 3 4 4" xfId="14198"/>
    <cellStyle name="Heading 3 4 4 2" xfId="14199"/>
    <cellStyle name="Heading 3 4 4 3" xfId="14200"/>
    <cellStyle name="Heading 3 4 4 4" xfId="14201"/>
    <cellStyle name="Heading 3 4 5" xfId="14202"/>
    <cellStyle name="Heading 3 4 6" xfId="14203"/>
    <cellStyle name="Heading 3 4 7" xfId="14204"/>
    <cellStyle name="Heading 3 5" xfId="14205"/>
    <cellStyle name="Heading 3 5 2" xfId="14206"/>
    <cellStyle name="Heading 3 5 2 2" xfId="14207"/>
    <cellStyle name="Heading 3 5 3" xfId="14208"/>
    <cellStyle name="Heading 3 6" xfId="14209"/>
    <cellStyle name="Heading 3 6 2" xfId="14210"/>
    <cellStyle name="Heading 3 7" xfId="14211"/>
    <cellStyle name="Heading 3 7 2" xfId="14212"/>
    <cellStyle name="Heading 3 7 3" xfId="14213"/>
    <cellStyle name="Heading 3 7 4" xfId="14214"/>
    <cellStyle name="Heading 4 2" xfId="617"/>
    <cellStyle name="Heading 4 2 2" xfId="618"/>
    <cellStyle name="Heading 4 2 2 2" xfId="14215"/>
    <cellStyle name="Heading 4 2 2 2 2" xfId="14216"/>
    <cellStyle name="Heading 4 2 2 3" xfId="14217"/>
    <cellStyle name="Heading 4 2 3" xfId="14218"/>
    <cellStyle name="Heading 4 2 3 2" xfId="14219"/>
    <cellStyle name="Heading 4 2 3 2 2" xfId="14220"/>
    <cellStyle name="Heading 4 2 3 3" xfId="14221"/>
    <cellStyle name="Heading 4 2 3 3 2" xfId="14222"/>
    <cellStyle name="Heading 4 2 3 4" xfId="14223"/>
    <cellStyle name="Heading 4 2 4" xfId="14224"/>
    <cellStyle name="Heading 4 2 4 2" xfId="14225"/>
    <cellStyle name="Heading 4 2 5" xfId="14226"/>
    <cellStyle name="Heading 4 2 5 2" xfId="14227"/>
    <cellStyle name="Heading 4 2 6" xfId="14228"/>
    <cellStyle name="Heading 4 3" xfId="619"/>
    <cellStyle name="Heading 4 3 2" xfId="620"/>
    <cellStyle name="Heading 4 3 2 2" xfId="14229"/>
    <cellStyle name="Heading 4 3 3" xfId="14230"/>
    <cellStyle name="Heading 4 4" xfId="14231"/>
    <cellStyle name="Heading 4 4 2" xfId="14232"/>
    <cellStyle name="Heading 4 4 2 2" xfId="14233"/>
    <cellStyle name="Heading 4 4 3" xfId="14234"/>
    <cellStyle name="Heading 4 5" xfId="14235"/>
    <cellStyle name="Heading 4 5 2" xfId="14236"/>
    <cellStyle name="Heading 4 5 2 2" xfId="14237"/>
    <cellStyle name="Heading 4 5 3" xfId="14238"/>
    <cellStyle name="Heading 4 6" xfId="14239"/>
    <cellStyle name="Heading 4 6 2" xfId="14240"/>
    <cellStyle name="Heading1" xfId="14241"/>
    <cellStyle name="Heading1 2" xfId="14242"/>
    <cellStyle name="Heading1 2 2" xfId="14243"/>
    <cellStyle name="Heading1 3" xfId="14244"/>
    <cellStyle name="Heading1 3 2" xfId="14245"/>
    <cellStyle name="Heading1 3 2 2" xfId="14246"/>
    <cellStyle name="Heading1 3 3" xfId="14247"/>
    <cellStyle name="Heading1 4" xfId="14248"/>
    <cellStyle name="Heading2" xfId="14249"/>
    <cellStyle name="Heading2 2" xfId="14250"/>
    <cellStyle name="Heading2 2 2" xfId="14251"/>
    <cellStyle name="Heading2 3" xfId="14252"/>
    <cellStyle name="Heading2 3 2" xfId="14253"/>
    <cellStyle name="Heading2 3 2 2" xfId="14254"/>
    <cellStyle name="Heading2 3 3" xfId="14255"/>
    <cellStyle name="Heading2 4" xfId="14256"/>
    <cellStyle name="HeadlineStyle" xfId="14257"/>
    <cellStyle name="HeadlineStyle 2" xfId="14258"/>
    <cellStyle name="HeadlineStyle 2 2" xfId="14259"/>
    <cellStyle name="HeadlineStyle 3" xfId="14260"/>
    <cellStyle name="HeadlineStyleJustified" xfId="14261"/>
    <cellStyle name="HeadlineStyleJustified 2" xfId="14262"/>
    <cellStyle name="HeadlineStyleJustified 2 2" xfId="14263"/>
    <cellStyle name="HeadlineStyleJustified 3" xfId="14264"/>
    <cellStyle name="Hyperlink 2" xfId="14265"/>
    <cellStyle name="Hyperlink 2 2" xfId="14266"/>
    <cellStyle name="Input [yellow]" xfId="621"/>
    <cellStyle name="Input [yellow] 2" xfId="622"/>
    <cellStyle name="Input [yellow] 2 2" xfId="14267"/>
    <cellStyle name="Input [yellow] 2 2 2" xfId="14268"/>
    <cellStyle name="Input [yellow] 2 2 2 2" xfId="14269"/>
    <cellStyle name="Input [yellow] 2 2 3" xfId="14270"/>
    <cellStyle name="Input [yellow] 2 3" xfId="14271"/>
    <cellStyle name="Input [yellow] 2 3 2" xfId="14272"/>
    <cellStyle name="Input [yellow] 2 4" xfId="14273"/>
    <cellStyle name="Input [yellow] 2 5" xfId="14274"/>
    <cellStyle name="Input [yellow] 3" xfId="14275"/>
    <cellStyle name="Input [yellow] 3 2" xfId="14276"/>
    <cellStyle name="Input [yellow] 3 2 2" xfId="14277"/>
    <cellStyle name="Input [yellow] 3 2 2 2" xfId="14278"/>
    <cellStyle name="Input [yellow] 3 2 3" xfId="14279"/>
    <cellStyle name="Input [yellow] 3 3" xfId="14280"/>
    <cellStyle name="Input [yellow] 3 3 2" xfId="14281"/>
    <cellStyle name="Input [yellow] 3 4" xfId="14282"/>
    <cellStyle name="Input [yellow] 3 5" xfId="14283"/>
    <cellStyle name="Input [yellow] 4" xfId="14284"/>
    <cellStyle name="Input [yellow] 4 2" xfId="14285"/>
    <cellStyle name="Input [yellow] 4 2 2" xfId="14286"/>
    <cellStyle name="Input [yellow] 4 2 3" xfId="14287"/>
    <cellStyle name="Input [yellow] 4 3" xfId="14288"/>
    <cellStyle name="Input [yellow] 4 4" xfId="14289"/>
    <cellStyle name="Input [yellow] 5" xfId="14290"/>
    <cellStyle name="Input [yellow] 5 2" xfId="14291"/>
    <cellStyle name="Input [yellow] 5 2 2" xfId="14292"/>
    <cellStyle name="Input [yellow] 5 2 2 2" xfId="14293"/>
    <cellStyle name="Input [yellow] 5 2 3" xfId="14294"/>
    <cellStyle name="Input [yellow] 5 2 4" xfId="14295"/>
    <cellStyle name="Input [yellow] 5 3" xfId="14296"/>
    <cellStyle name="Input [yellow] 5 3 2" xfId="14297"/>
    <cellStyle name="Input [yellow] 5 4" xfId="14298"/>
    <cellStyle name="Input [yellow] 5 5" xfId="14299"/>
    <cellStyle name="Input [yellow] 6" xfId="14300"/>
    <cellStyle name="Input [yellow] 6 2" xfId="14301"/>
    <cellStyle name="Input [yellow] 6 2 2" xfId="14302"/>
    <cellStyle name="Input [yellow] 6 3" xfId="14303"/>
    <cellStyle name="Input [yellow] 6 4" xfId="14304"/>
    <cellStyle name="Input [yellow] 7" xfId="14305"/>
    <cellStyle name="Input [yellow] 8" xfId="14306"/>
    <cellStyle name="Input [yellow]_(C) WHE Proforma with ITC cash grant 10 Yr Amort_for deferral_102809" xfId="14307"/>
    <cellStyle name="Input 10" xfId="14308"/>
    <cellStyle name="Input 10 2" xfId="14309"/>
    <cellStyle name="Input 10 3" xfId="14310"/>
    <cellStyle name="Input 11" xfId="14311"/>
    <cellStyle name="Input 11 2" xfId="14312"/>
    <cellStyle name="Input 12" xfId="14313"/>
    <cellStyle name="Input 12 2" xfId="14314"/>
    <cellStyle name="Input 13" xfId="14315"/>
    <cellStyle name="Input 13 2" xfId="14316"/>
    <cellStyle name="Input 13 3" xfId="14317"/>
    <cellStyle name="Input 14" xfId="14318"/>
    <cellStyle name="Input 14 2" xfId="14319"/>
    <cellStyle name="Input 14 3" xfId="14320"/>
    <cellStyle name="Input 15" xfId="14321"/>
    <cellStyle name="Input 15 2" xfId="14322"/>
    <cellStyle name="Input 16" xfId="14323"/>
    <cellStyle name="Input 16 2" xfId="14324"/>
    <cellStyle name="Input 17" xfId="14325"/>
    <cellStyle name="Input 17 2" xfId="14326"/>
    <cellStyle name="Input 18" xfId="14327"/>
    <cellStyle name="Input 18 2" xfId="14328"/>
    <cellStyle name="Input 18 2 2" xfId="14329"/>
    <cellStyle name="Input 18 3" xfId="14330"/>
    <cellStyle name="Input 19" xfId="14331"/>
    <cellStyle name="Input 19 2" xfId="14332"/>
    <cellStyle name="Input 19 2 2" xfId="14333"/>
    <cellStyle name="Input 19 3" xfId="14334"/>
    <cellStyle name="Input 2" xfId="623"/>
    <cellStyle name="Input 2 2" xfId="624"/>
    <cellStyle name="Input 2 2 2" xfId="14335"/>
    <cellStyle name="Input 2 2 2 2" xfId="14336"/>
    <cellStyle name="Input 2 2 2 3" xfId="14337"/>
    <cellStyle name="Input 2 2 3" xfId="14338"/>
    <cellStyle name="Input 2 2 4" xfId="14339"/>
    <cellStyle name="Input 2 3" xfId="14340"/>
    <cellStyle name="Input 2 3 2" xfId="14341"/>
    <cellStyle name="Input 2 3 2 2" xfId="14342"/>
    <cellStyle name="Input 2 3 3" xfId="14343"/>
    <cellStyle name="Input 2 3 3 2" xfId="14344"/>
    <cellStyle name="Input 2 3 4" xfId="14345"/>
    <cellStyle name="Input 2 4" xfId="14346"/>
    <cellStyle name="Input 2 4 2" xfId="14347"/>
    <cellStyle name="Input 2 4 3" xfId="14348"/>
    <cellStyle name="Input 2 5" xfId="14349"/>
    <cellStyle name="Input 2 6" xfId="14350"/>
    <cellStyle name="Input 20" xfId="14351"/>
    <cellStyle name="Input 20 2" xfId="14352"/>
    <cellStyle name="Input 20 2 2" xfId="14353"/>
    <cellStyle name="Input 20 3" xfId="14354"/>
    <cellStyle name="Input 21" xfId="14355"/>
    <cellStyle name="Input 21 2" xfId="14356"/>
    <cellStyle name="Input 21 2 2" xfId="14357"/>
    <cellStyle name="Input 21 3" xfId="14358"/>
    <cellStyle name="Input 22" xfId="14359"/>
    <cellStyle name="Input 22 2" xfId="14360"/>
    <cellStyle name="Input 23" xfId="14361"/>
    <cellStyle name="Input 23 2" xfId="14362"/>
    <cellStyle name="Input 24" xfId="14363"/>
    <cellStyle name="Input 24 2" xfId="14364"/>
    <cellStyle name="Input 24 2 2" xfId="14365"/>
    <cellStyle name="Input 24 3" xfId="14366"/>
    <cellStyle name="Input 25" xfId="14367"/>
    <cellStyle name="Input 25 2" xfId="14368"/>
    <cellStyle name="Input 26" xfId="14369"/>
    <cellStyle name="Input 26 2" xfId="14370"/>
    <cellStyle name="Input 27" xfId="14371"/>
    <cellStyle name="Input 27 2" xfId="14372"/>
    <cellStyle name="Input 28" xfId="14373"/>
    <cellStyle name="Input 28 2" xfId="14374"/>
    <cellStyle name="Input 29" xfId="14375"/>
    <cellStyle name="Input 29 2" xfId="14376"/>
    <cellStyle name="Input 3" xfId="625"/>
    <cellStyle name="Input 3 2" xfId="626"/>
    <cellStyle name="Input 3 2 2" xfId="14377"/>
    <cellStyle name="Input 3 2 2 2" xfId="14378"/>
    <cellStyle name="Input 3 2 3" xfId="14379"/>
    <cellStyle name="Input 3 2 3 2" xfId="14380"/>
    <cellStyle name="Input 3 2 4" xfId="14381"/>
    <cellStyle name="Input 3 3" xfId="14382"/>
    <cellStyle name="Input 3 3 2" xfId="14383"/>
    <cellStyle name="Input 3 3 3" xfId="14384"/>
    <cellStyle name="Input 3 4" xfId="14385"/>
    <cellStyle name="Input 3 5" xfId="14386"/>
    <cellStyle name="Input 30" xfId="14387"/>
    <cellStyle name="Input 30 2" xfId="14388"/>
    <cellStyle name="Input 31" xfId="14389"/>
    <cellStyle name="Input 31 2" xfId="14390"/>
    <cellStyle name="Input 32" xfId="14391"/>
    <cellStyle name="Input 32 2" xfId="14392"/>
    <cellStyle name="Input 33" xfId="14393"/>
    <cellStyle name="Input 34" xfId="14394"/>
    <cellStyle name="Input 35" xfId="14395"/>
    <cellStyle name="Input 4" xfId="627"/>
    <cellStyle name="Input 4 2" xfId="628"/>
    <cellStyle name="Input 4 2 2" xfId="14396"/>
    <cellStyle name="Input 4 3" xfId="14397"/>
    <cellStyle name="Input 4 4" xfId="14398"/>
    <cellStyle name="Input 5" xfId="629"/>
    <cellStyle name="Input 5 2" xfId="14399"/>
    <cellStyle name="Input 5 2 2" xfId="14400"/>
    <cellStyle name="Input 5 3" xfId="14401"/>
    <cellStyle name="Input 5 4" xfId="14402"/>
    <cellStyle name="Input 5 5" xfId="18297"/>
    <cellStyle name="Input 6" xfId="630"/>
    <cellStyle name="Input 6 2" xfId="14403"/>
    <cellStyle name="Input 6 2 2" xfId="14404"/>
    <cellStyle name="Input 6 3" xfId="14405"/>
    <cellStyle name="Input 6 4" xfId="14406"/>
    <cellStyle name="Input 6 5" xfId="18298"/>
    <cellStyle name="Input 7" xfId="631"/>
    <cellStyle name="Input 7 2" xfId="14407"/>
    <cellStyle name="Input 7 2 2" xfId="14408"/>
    <cellStyle name="Input 7 3" xfId="14409"/>
    <cellStyle name="Input 7 4" xfId="18299"/>
    <cellStyle name="Input 8" xfId="632"/>
    <cellStyle name="Input 8 2" xfId="14410"/>
    <cellStyle name="Input 8 2 2" xfId="14411"/>
    <cellStyle name="Input 8 3" xfId="14412"/>
    <cellStyle name="Input 8 4" xfId="18300"/>
    <cellStyle name="Input 9" xfId="14413"/>
    <cellStyle name="Input 9 2" xfId="14414"/>
    <cellStyle name="Input Cells" xfId="14415"/>
    <cellStyle name="Input Cells 2" xfId="14416"/>
    <cellStyle name="Input Cells 2 2" xfId="14417"/>
    <cellStyle name="Input Cells 3" xfId="14418"/>
    <cellStyle name="Input Cells Percent" xfId="14419"/>
    <cellStyle name="Input Cells Percent 2" xfId="14420"/>
    <cellStyle name="Input Cells Percent 2 2" xfId="14421"/>
    <cellStyle name="Input Cells Percent 3" xfId="14422"/>
    <cellStyle name="Input Cells Percent_AURORA Total New" xfId="14423"/>
    <cellStyle name="Input Cells_4.34E Mint Farm Deferral" xfId="14424"/>
    <cellStyle name="JOB TITLE" xfId="14425"/>
    <cellStyle name="line b - Style6" xfId="14426"/>
    <cellStyle name="line b - Style6 2" xfId="14427"/>
    <cellStyle name="line b - Style6 2 2" xfId="14428"/>
    <cellStyle name="line b - Style6 3" xfId="14429"/>
    <cellStyle name="line b - Style6 3 2" xfId="14430"/>
    <cellStyle name="line b - Style6 4" xfId="14431"/>
    <cellStyle name="line b - Style6 4 2" xfId="14432"/>
    <cellStyle name="line b - Style6 5" xfId="14433"/>
    <cellStyle name="line b - Style6 5 2" xfId="14434"/>
    <cellStyle name="Lines" xfId="14435"/>
    <cellStyle name="Lines 2" xfId="14436"/>
    <cellStyle name="Lines 2 2" xfId="14437"/>
    <cellStyle name="Lines 3" xfId="14438"/>
    <cellStyle name="Lines 3 2" xfId="14439"/>
    <cellStyle name="Lines 4" xfId="14440"/>
    <cellStyle name="Lines_Electric Rev Req Model (2009 GRC) Rebuttal" xfId="18234"/>
    <cellStyle name="LINKED" xfId="14441"/>
    <cellStyle name="LINKED 2" xfId="14442"/>
    <cellStyle name="LINKED 2 2" xfId="14443"/>
    <cellStyle name="LINKED 2 2 2" xfId="14444"/>
    <cellStyle name="LINKED 2 3" xfId="14445"/>
    <cellStyle name="LINKED 3" xfId="14446"/>
    <cellStyle name="Linked Cell 2" xfId="633"/>
    <cellStyle name="Linked Cell 2 2" xfId="634"/>
    <cellStyle name="Linked Cell 2 2 2" xfId="14447"/>
    <cellStyle name="Linked Cell 2 2 2 2" xfId="14448"/>
    <cellStyle name="Linked Cell 2 2 3" xfId="14449"/>
    <cellStyle name="Linked Cell 2 3" xfId="14450"/>
    <cellStyle name="Linked Cell 2 3 2" xfId="14451"/>
    <cellStyle name="Linked Cell 2 3 2 2" xfId="14452"/>
    <cellStyle name="Linked Cell 2 3 3" xfId="14453"/>
    <cellStyle name="Linked Cell 2 3 3 2" xfId="14454"/>
    <cellStyle name="Linked Cell 2 3 4" xfId="14455"/>
    <cellStyle name="Linked Cell 2 3 4 2" xfId="14456"/>
    <cellStyle name="Linked Cell 2 3 5" xfId="14457"/>
    <cellStyle name="Linked Cell 2 4" xfId="14458"/>
    <cellStyle name="Linked Cell 2 4 2" xfId="14459"/>
    <cellStyle name="Linked Cell 2 5" xfId="14460"/>
    <cellStyle name="Linked Cell 2 5 2" xfId="14461"/>
    <cellStyle name="Linked Cell 2 6" xfId="14462"/>
    <cellStyle name="Linked Cell 3" xfId="635"/>
    <cellStyle name="Linked Cell 3 2" xfId="636"/>
    <cellStyle name="Linked Cell 3 2 2" xfId="14463"/>
    <cellStyle name="Linked Cell 3 3" xfId="14464"/>
    <cellStyle name="Linked Cell 4" xfId="637"/>
    <cellStyle name="Linked Cell 4 2" xfId="14465"/>
    <cellStyle name="Linked Cell 4 2 2" xfId="14466"/>
    <cellStyle name="Linked Cell 4 3" xfId="14467"/>
    <cellStyle name="Linked Cell 5" xfId="14468"/>
    <cellStyle name="Linked Cell 5 2" xfId="14469"/>
    <cellStyle name="Linked Cell 5 2 2" xfId="14470"/>
    <cellStyle name="Linked Cell 5 3" xfId="14471"/>
    <cellStyle name="Linked Cell 6" xfId="14472"/>
    <cellStyle name="Linked Cell 6 2" xfId="14473"/>
    <cellStyle name="Millares [0]_2AV_M_M " xfId="14474"/>
    <cellStyle name="Millares_2AV_M_M " xfId="14475"/>
    <cellStyle name="modified border" xfId="14476"/>
    <cellStyle name="modified border 10" xfId="14477"/>
    <cellStyle name="modified border 2" xfId="14478"/>
    <cellStyle name="modified border 2 2" xfId="14479"/>
    <cellStyle name="modified border 2 2 2" xfId="14480"/>
    <cellStyle name="modified border 2 2 2 2" xfId="14481"/>
    <cellStyle name="modified border 2 2 3" xfId="14482"/>
    <cellStyle name="modified border 2 2 3 2" xfId="14483"/>
    <cellStyle name="modified border 2 2 4" xfId="14484"/>
    <cellStyle name="modified border 2 2 4 2" xfId="14485"/>
    <cellStyle name="modified border 2 2 5" xfId="14486"/>
    <cellStyle name="modified border 2 3" xfId="14487"/>
    <cellStyle name="modified border 2 3 2" xfId="14488"/>
    <cellStyle name="modified border 2 4" xfId="14489"/>
    <cellStyle name="modified border 2 4 2" xfId="14490"/>
    <cellStyle name="modified border 2 5" xfId="14491"/>
    <cellStyle name="modified border 2 5 2" xfId="14492"/>
    <cellStyle name="modified border 2 6" xfId="14493"/>
    <cellStyle name="modified border 3" xfId="14494"/>
    <cellStyle name="modified border 3 2" xfId="14495"/>
    <cellStyle name="modified border 3 2 2" xfId="14496"/>
    <cellStyle name="modified border 3 2 2 2" xfId="14497"/>
    <cellStyle name="modified border 3 2 3" xfId="14498"/>
    <cellStyle name="modified border 3 2 3 2" xfId="14499"/>
    <cellStyle name="modified border 3 2 4" xfId="14500"/>
    <cellStyle name="modified border 3 2 4 2" xfId="14501"/>
    <cellStyle name="modified border 3 2 5" xfId="14502"/>
    <cellStyle name="modified border 3 3" xfId="14503"/>
    <cellStyle name="modified border 3 3 2" xfId="14504"/>
    <cellStyle name="modified border 3 4" xfId="14505"/>
    <cellStyle name="modified border 3 4 2" xfId="14506"/>
    <cellStyle name="modified border 3 5" xfId="14507"/>
    <cellStyle name="modified border 3 5 2" xfId="14508"/>
    <cellStyle name="modified border 3 6" xfId="14509"/>
    <cellStyle name="modified border 4" xfId="14510"/>
    <cellStyle name="modified border 4 2" xfId="14511"/>
    <cellStyle name="modified border 4 2 2" xfId="14512"/>
    <cellStyle name="modified border 4 2 2 2" xfId="14513"/>
    <cellStyle name="modified border 4 2 3" xfId="14514"/>
    <cellStyle name="modified border 4 2 3 2" xfId="14515"/>
    <cellStyle name="modified border 4 2 4" xfId="14516"/>
    <cellStyle name="modified border 4 2 4 2" xfId="14517"/>
    <cellStyle name="modified border 4 2 5" xfId="14518"/>
    <cellStyle name="modified border 4 3" xfId="14519"/>
    <cellStyle name="modified border 4 3 2" xfId="14520"/>
    <cellStyle name="modified border 4 4" xfId="14521"/>
    <cellStyle name="modified border 4 4 2" xfId="14522"/>
    <cellStyle name="modified border 4 5" xfId="14523"/>
    <cellStyle name="modified border 4 5 2" xfId="14524"/>
    <cellStyle name="modified border 4 6" xfId="14525"/>
    <cellStyle name="modified border 5" xfId="14526"/>
    <cellStyle name="modified border 5 2" xfId="14527"/>
    <cellStyle name="modified border 5 2 2" xfId="14528"/>
    <cellStyle name="modified border 5 2 3" xfId="14529"/>
    <cellStyle name="modified border 5 2 3 2" xfId="14530"/>
    <cellStyle name="modified border 5 2 4" xfId="14531"/>
    <cellStyle name="modified border 5 2 4 2" xfId="14532"/>
    <cellStyle name="modified border 5 2 5" xfId="14533"/>
    <cellStyle name="modified border 5 2 5 2" xfId="14534"/>
    <cellStyle name="modified border 5 2 6" xfId="14535"/>
    <cellStyle name="modified border 5 3" xfId="14536"/>
    <cellStyle name="modified border 5 4" xfId="14537"/>
    <cellStyle name="modified border 5 4 2" xfId="14538"/>
    <cellStyle name="modified border 5 5" xfId="14539"/>
    <cellStyle name="modified border 5 5 2" xfId="14540"/>
    <cellStyle name="modified border 5 6" xfId="14541"/>
    <cellStyle name="modified border 5 6 2" xfId="14542"/>
    <cellStyle name="modified border 5 7" xfId="14543"/>
    <cellStyle name="modified border 6" xfId="14544"/>
    <cellStyle name="modified border 7" xfId="14545"/>
    <cellStyle name="modified border 7 2" xfId="14546"/>
    <cellStyle name="modified border 8" xfId="14547"/>
    <cellStyle name="modified border 8 2" xfId="14548"/>
    <cellStyle name="modified border 9" xfId="14549"/>
    <cellStyle name="modified border 9 2" xfId="14550"/>
    <cellStyle name="modified border_4.34E Mint Farm Deferral" xfId="14551"/>
    <cellStyle name="modified border1" xfId="14552"/>
    <cellStyle name="modified border1 2" xfId="14553"/>
    <cellStyle name="modified border1 2 2" xfId="14554"/>
    <cellStyle name="modified border1 3" xfId="14555"/>
    <cellStyle name="modified border1 3 2" xfId="14556"/>
    <cellStyle name="modified border1 4" xfId="14557"/>
    <cellStyle name="modified border1 4 2" xfId="14558"/>
    <cellStyle name="modified border1 5" xfId="14559"/>
    <cellStyle name="modified border1 5 2" xfId="14560"/>
    <cellStyle name="modified border1 5 2 2" xfId="14561"/>
    <cellStyle name="modified border1 5 3" xfId="14562"/>
    <cellStyle name="modified border1 6" xfId="14563"/>
    <cellStyle name="modified border1_4.34E Mint Farm Deferral" xfId="14564"/>
    <cellStyle name="Moneda [0]_2AV_M_M " xfId="14565"/>
    <cellStyle name="Moneda_2AV_M_M " xfId="14566"/>
    <cellStyle name="MonthYears" xfId="14567"/>
    <cellStyle name="Neutral 2" xfId="638"/>
    <cellStyle name="Neutral 2 2" xfId="639"/>
    <cellStyle name="Neutral 2 2 2" xfId="14568"/>
    <cellStyle name="Neutral 2 2 2 2" xfId="14569"/>
    <cellStyle name="Neutral 2 2 3" xfId="14570"/>
    <cellStyle name="Neutral 2 3" xfId="14571"/>
    <cellStyle name="Neutral 2 3 2" xfId="14572"/>
    <cellStyle name="Neutral 2 3 2 2" xfId="14573"/>
    <cellStyle name="Neutral 2 3 3" xfId="14574"/>
    <cellStyle name="Neutral 2 3 3 2" xfId="14575"/>
    <cellStyle name="Neutral 2 3 4" xfId="14576"/>
    <cellStyle name="Neutral 2 4" xfId="14577"/>
    <cellStyle name="Neutral 2 4 2" xfId="14578"/>
    <cellStyle name="Neutral 2 5" xfId="14579"/>
    <cellStyle name="Neutral 3" xfId="640"/>
    <cellStyle name="Neutral 3 2" xfId="641"/>
    <cellStyle name="Neutral 3 2 2" xfId="14580"/>
    <cellStyle name="Neutral 3 3" xfId="14581"/>
    <cellStyle name="Neutral 4" xfId="642"/>
    <cellStyle name="Neutral 4 2" xfId="14582"/>
    <cellStyle name="Neutral 4 2 2" xfId="14583"/>
    <cellStyle name="Neutral 4 3" xfId="14584"/>
    <cellStyle name="Neutral 5" xfId="14585"/>
    <cellStyle name="Neutral 5 2" xfId="14586"/>
    <cellStyle name="Neutral 5 2 2" xfId="14587"/>
    <cellStyle name="Neutral 5 3" xfId="14588"/>
    <cellStyle name="Neutral 6" xfId="14589"/>
    <cellStyle name="Neutral 6 2" xfId="14590"/>
    <cellStyle name="no dec" xfId="14591"/>
    <cellStyle name="no dec 2" xfId="14592"/>
    <cellStyle name="no dec 2 2" xfId="14593"/>
    <cellStyle name="no dec 2 2 2" xfId="14594"/>
    <cellStyle name="no dec 2 3" xfId="14595"/>
    <cellStyle name="no dec 3" xfId="14596"/>
    <cellStyle name="Normal" xfId="0" builtinId="0"/>
    <cellStyle name="Normal - Style1" xfId="643"/>
    <cellStyle name="Normal - Style1 10" xfId="14597"/>
    <cellStyle name="Normal - Style1 11" xfId="14598"/>
    <cellStyle name="Normal - Style1 11 2" xfId="14599"/>
    <cellStyle name="Normal - Style1 12" xfId="14600"/>
    <cellStyle name="Normal - Style1 12 2" xfId="14601"/>
    <cellStyle name="Normal - Style1 2" xfId="14602"/>
    <cellStyle name="Normal - Style1 2 2" xfId="14603"/>
    <cellStyle name="Normal - Style1 2 2 2" xfId="887"/>
    <cellStyle name="Normal - Style1 2 2 2 2" xfId="14604"/>
    <cellStyle name="Normal - Style1 2 2 3" xfId="14605"/>
    <cellStyle name="Normal - Style1 2 2 3 2" xfId="14606"/>
    <cellStyle name="Normal - Style1 2 2 3 4" xfId="2"/>
    <cellStyle name="Normal - Style1 2 2 4" xfId="14607"/>
    <cellStyle name="Normal - Style1 2 2 4 2" xfId="14608"/>
    <cellStyle name="Normal - Style1 2 2 5" xfId="14609"/>
    <cellStyle name="Normal - Style1 2 3" xfId="14610"/>
    <cellStyle name="Normal - Style1 2 3 2" xfId="14611"/>
    <cellStyle name="Normal - Style1 2 3 2 2" xfId="14612"/>
    <cellStyle name="Normal - Style1 2 3 3" xfId="14613"/>
    <cellStyle name="Normal - Style1 2 4" xfId="14614"/>
    <cellStyle name="Normal - Style1 3" xfId="14615"/>
    <cellStyle name="Normal - Style1 3 2" xfId="14616"/>
    <cellStyle name="Normal - Style1 3 2 2" xfId="14617"/>
    <cellStyle name="Normal - Style1 3 2 2 2" xfId="14618"/>
    <cellStyle name="Normal - Style1 3 2 3" xfId="14619"/>
    <cellStyle name="Normal - Style1 3 2 3 2" xfId="14620"/>
    <cellStyle name="Normal - Style1 3 2 4" xfId="14621"/>
    <cellStyle name="Normal - Style1 3 3" xfId="14622"/>
    <cellStyle name="Normal - Style1 3 3 2" xfId="14623"/>
    <cellStyle name="Normal - Style1 3 3 2 2" xfId="14624"/>
    <cellStyle name="Normal - Style1 3 3 3" xfId="14625"/>
    <cellStyle name="Normal - Style1 3 4" xfId="14626"/>
    <cellStyle name="Normal - Style1 3 4 2" xfId="14627"/>
    <cellStyle name="Normal - Style1 3 5" xfId="14628"/>
    <cellStyle name="Normal - Style1 4" xfId="14629"/>
    <cellStyle name="Normal - Style1 4 2" xfId="14630"/>
    <cellStyle name="Normal - Style1 4 2 2" xfId="14631"/>
    <cellStyle name="Normal - Style1 4 2 2 2" xfId="14632"/>
    <cellStyle name="Normal - Style1 4 2 3" xfId="14633"/>
    <cellStyle name="Normal - Style1 4 2 3 2" xfId="14634"/>
    <cellStyle name="Normal - Style1 4 2 4" xfId="14635"/>
    <cellStyle name="Normal - Style1 4 3" xfId="14636"/>
    <cellStyle name="Normal - Style1 4 3 2" xfId="14637"/>
    <cellStyle name="Normal - Style1 4 4" xfId="14638"/>
    <cellStyle name="Normal - Style1 4 4 2" xfId="14639"/>
    <cellStyle name="Normal - Style1 4 5" xfId="14640"/>
    <cellStyle name="Normal - Style1 4 5 2" xfId="14641"/>
    <cellStyle name="Normal - Style1 4 6" xfId="14642"/>
    <cellStyle name="Normal - Style1 5" xfId="14643"/>
    <cellStyle name="Normal - Style1 5 2" xfId="14644"/>
    <cellStyle name="Normal - Style1 5 2 2" xfId="14645"/>
    <cellStyle name="Normal - Style1 5 2 2 2" xfId="14646"/>
    <cellStyle name="Normal - Style1 5 2 3" xfId="14647"/>
    <cellStyle name="Normal - Style1 5 2 3 2" xfId="14648"/>
    <cellStyle name="Normal - Style1 5 2 4" xfId="14649"/>
    <cellStyle name="Normal - Style1 5 3" xfId="14650"/>
    <cellStyle name="Normal - Style1 5 3 2" xfId="14651"/>
    <cellStyle name="Normal - Style1 5 4" xfId="14652"/>
    <cellStyle name="Normal - Style1 5 4 2" xfId="14653"/>
    <cellStyle name="Normal - Style1 5 5" xfId="14654"/>
    <cellStyle name="Normal - Style1 6" xfId="14655"/>
    <cellStyle name="Normal - Style1 6 2" xfId="14656"/>
    <cellStyle name="Normal - Style1 6 2 2" xfId="14657"/>
    <cellStyle name="Normal - Style1 6 2 2 2" xfId="14658"/>
    <cellStyle name="Normal - Style1 6 2 3" xfId="14659"/>
    <cellStyle name="Normal - Style1 6 3" xfId="14660"/>
    <cellStyle name="Normal - Style1 6 3 2" xfId="14661"/>
    <cellStyle name="Normal - Style1 6 4" xfId="14662"/>
    <cellStyle name="Normal - Style1 6 4 2" xfId="14663"/>
    <cellStyle name="Normal - Style1 6 5" xfId="14664"/>
    <cellStyle name="Normal - Style1 6 5 2" xfId="14665"/>
    <cellStyle name="Normal - Style1 6 6" xfId="14666"/>
    <cellStyle name="Normal - Style1 7" xfId="14667"/>
    <cellStyle name="Normal - Style1 7 2" xfId="14668"/>
    <cellStyle name="Normal - Style1 7 2 2" xfId="14669"/>
    <cellStyle name="Normal - Style1 7 2 2 2" xfId="14670"/>
    <cellStyle name="Normal - Style1 7 2 3" xfId="14671"/>
    <cellStyle name="Normal - Style1 7 3" xfId="14672"/>
    <cellStyle name="Normal - Style1 7 3 2" xfId="14673"/>
    <cellStyle name="Normal - Style1 7 4" xfId="14674"/>
    <cellStyle name="Normal - Style1 8" xfId="14675"/>
    <cellStyle name="Normal - Style1 8 2" xfId="14676"/>
    <cellStyle name="Normal - Style1 9" xfId="14677"/>
    <cellStyle name="Normal - Style1_(C) WHE Proforma with ITC cash grant 10 Yr Amort_for deferral_102809" xfId="14678"/>
    <cellStyle name="Normal [0]" xfId="14679"/>
    <cellStyle name="Normal [2]" xfId="14680"/>
    <cellStyle name="Normal 1" xfId="14681"/>
    <cellStyle name="Normal 1 2" xfId="14682"/>
    <cellStyle name="Normal 1 2 2" xfId="14683"/>
    <cellStyle name="Normal 1 2 2 2" xfId="14684"/>
    <cellStyle name="Normal 1 2 3" xfId="14685"/>
    <cellStyle name="Normal 1 3" xfId="14686"/>
    <cellStyle name="Normal 1 3 2" xfId="14687"/>
    <cellStyle name="Normal 1 3 2 2" xfId="14688"/>
    <cellStyle name="Normal 1 3 3" xfId="14689"/>
    <cellStyle name="Normal 1 4" xfId="14690"/>
    <cellStyle name="Normal 1 4 2" xfId="14691"/>
    <cellStyle name="Normal 1 5" xfId="14692"/>
    <cellStyle name="Normal 1 5 2" xfId="14693"/>
    <cellStyle name="Normal 1 6" xfId="14694"/>
    <cellStyle name="Normal 1 6 2" xfId="14695"/>
    <cellStyle name="Normal 10" xfId="644"/>
    <cellStyle name="Normal 10 10" xfId="20707"/>
    <cellStyle name="Normal 10 11" xfId="20708"/>
    <cellStyle name="Normal 10 12" xfId="20709"/>
    <cellStyle name="Normal 10 2" xfId="645"/>
    <cellStyle name="Normal 10 2 2" xfId="646"/>
    <cellStyle name="Normal 10 2 2 2" xfId="14696"/>
    <cellStyle name="Normal 10 2 2 2 2" xfId="14697"/>
    <cellStyle name="Normal 10 2 2 3" xfId="14698"/>
    <cellStyle name="Normal 10 2 2 3 2" xfId="14699"/>
    <cellStyle name="Normal 10 2 2 4" xfId="14700"/>
    <cellStyle name="Normal 10 2 3" xfId="647"/>
    <cellStyle name="Normal 10 2 3 2" xfId="14701"/>
    <cellStyle name="Normal 10 2 3 2 2" xfId="20710"/>
    <cellStyle name="Normal 10 2 3 2 3" xfId="20711"/>
    <cellStyle name="Normal 10 2 3 3" xfId="18303"/>
    <cellStyle name="Normal 10 2 3 3 2" xfId="20712"/>
    <cellStyle name="Normal 10 2 3 4" xfId="20713"/>
    <cellStyle name="Normal 10 2 3 4 2" xfId="20714"/>
    <cellStyle name="Normal 10 2 3 5" xfId="20715"/>
    <cellStyle name="Normal 10 2 3 6" xfId="20716"/>
    <cellStyle name="Normal 10 2 3 7" xfId="20717"/>
    <cellStyle name="Normal 10 2 3 8" xfId="20718"/>
    <cellStyle name="Normal 10 2 4" xfId="14702"/>
    <cellStyle name="Normal 10 2 4 2" xfId="14703"/>
    <cellStyle name="Normal 10 2 5" xfId="14704"/>
    <cellStyle name="Normal 10 2 6" xfId="18302"/>
    <cellStyle name="Normal 10 2 7" xfId="20719"/>
    <cellStyle name="Normal 10 2 8" xfId="20720"/>
    <cellStyle name="Normal 10 2 9" xfId="20721"/>
    <cellStyle name="Normal 10 3" xfId="648"/>
    <cellStyle name="Normal 10 3 2" xfId="14705"/>
    <cellStyle name="Normal 10 3 2 2" xfId="14706"/>
    <cellStyle name="Normal 10 3 2 2 2" xfId="14707"/>
    <cellStyle name="Normal 10 3 2 3" xfId="14708"/>
    <cellStyle name="Normal 10 3 2 3 2" xfId="14709"/>
    <cellStyle name="Normal 10 3 2 4" xfId="14710"/>
    <cellStyle name="Normal 10 3 3" xfId="14711"/>
    <cellStyle name="Normal 10 3 3 2" xfId="14712"/>
    <cellStyle name="Normal 10 3 4" xfId="14713"/>
    <cellStyle name="Normal 10 3 4 2" xfId="14714"/>
    <cellStyle name="Normal 10 3 5" xfId="14715"/>
    <cellStyle name="Normal 10 4" xfId="649"/>
    <cellStyle name="Normal 10 4 2" xfId="14716"/>
    <cellStyle name="Normal 10 4 2 2" xfId="14717"/>
    <cellStyle name="Normal 10 4 3" xfId="14718"/>
    <cellStyle name="Normal 10 4 3 2" xfId="14719"/>
    <cellStyle name="Normal 10 4 4" xfId="14720"/>
    <cellStyle name="Normal 10 4 4 2" xfId="14721"/>
    <cellStyle name="Normal 10 4 5" xfId="14722"/>
    <cellStyle name="Normal 10 5" xfId="650"/>
    <cellStyle name="Normal 10 5 2" xfId="14723"/>
    <cellStyle name="Normal 10 5 2 2" xfId="14724"/>
    <cellStyle name="Normal 10 5 3" xfId="14725"/>
    <cellStyle name="Normal 10 5 3 2" xfId="14726"/>
    <cellStyle name="Normal 10 5 4" xfId="14727"/>
    <cellStyle name="Normal 10 6" xfId="651"/>
    <cellStyle name="Normal 10 6 2" xfId="14728"/>
    <cellStyle name="Normal 10 6 2 2" xfId="20722"/>
    <cellStyle name="Normal 10 6 2 3" xfId="20723"/>
    <cellStyle name="Normal 10 6 3" xfId="18304"/>
    <cellStyle name="Normal 10 6 3 2" xfId="20724"/>
    <cellStyle name="Normal 10 6 4" xfId="20725"/>
    <cellStyle name="Normal 10 6 4 2" xfId="20726"/>
    <cellStyle name="Normal 10 6 5" xfId="20727"/>
    <cellStyle name="Normal 10 6 6" xfId="20728"/>
    <cellStyle name="Normal 10 6 7" xfId="20729"/>
    <cellStyle name="Normal 10 6 8" xfId="20730"/>
    <cellStyle name="Normal 10 7" xfId="14729"/>
    <cellStyle name="Normal 10 8" xfId="18301"/>
    <cellStyle name="Normal 10 9" xfId="20731"/>
    <cellStyle name="Normal 10 9 2" xfId="20732"/>
    <cellStyle name="Normal 10_ Price Inputs" xfId="14730"/>
    <cellStyle name="Normal 100" xfId="14731"/>
    <cellStyle name="Normal 100 2" xfId="14732"/>
    <cellStyle name="Normal 100 2 2" xfId="14733"/>
    <cellStyle name="Normal 100 3" xfId="14734"/>
    <cellStyle name="Normal 101" xfId="14735"/>
    <cellStyle name="Normal 101 2" xfId="14736"/>
    <cellStyle name="Normal 101 2 2" xfId="14737"/>
    <cellStyle name="Normal 101 3" xfId="14738"/>
    <cellStyle name="Normal 102" xfId="14739"/>
    <cellStyle name="Normal 102 2" xfId="14740"/>
    <cellStyle name="Normal 102 2 2" xfId="14741"/>
    <cellStyle name="Normal 102 3" xfId="14742"/>
    <cellStyle name="Normal 103" xfId="14743"/>
    <cellStyle name="Normal 103 2" xfId="14744"/>
    <cellStyle name="Normal 103 2 2" xfId="14745"/>
    <cellStyle name="Normal 103 3" xfId="14746"/>
    <cellStyle name="Normal 104" xfId="14747"/>
    <cellStyle name="Normal 104 2" xfId="14748"/>
    <cellStyle name="Normal 104 2 2" xfId="14749"/>
    <cellStyle name="Normal 104 3" xfId="14750"/>
    <cellStyle name="Normal 105" xfId="14751"/>
    <cellStyle name="Normal 105 2" xfId="14752"/>
    <cellStyle name="Normal 105 2 2" xfId="14753"/>
    <cellStyle name="Normal 105 3" xfId="14754"/>
    <cellStyle name="Normal 106" xfId="14755"/>
    <cellStyle name="Normal 106 2" xfId="14756"/>
    <cellStyle name="Normal 106 2 2" xfId="14757"/>
    <cellStyle name="Normal 106 3" xfId="14758"/>
    <cellStyle name="Normal 107" xfId="14759"/>
    <cellStyle name="Normal 107 2" xfId="14760"/>
    <cellStyle name="Normal 107 2 2" xfId="14761"/>
    <cellStyle name="Normal 107 3" xfId="14762"/>
    <cellStyle name="Normal 108" xfId="14763"/>
    <cellStyle name="Normal 108 2" xfId="14764"/>
    <cellStyle name="Normal 108 2 2" xfId="14765"/>
    <cellStyle name="Normal 108 3" xfId="14766"/>
    <cellStyle name="Normal 109" xfId="14767"/>
    <cellStyle name="Normal 109 2" xfId="14768"/>
    <cellStyle name="Normal 109 2 2" xfId="14769"/>
    <cellStyle name="Normal 109 3" xfId="14770"/>
    <cellStyle name="Normal 11" xfId="652"/>
    <cellStyle name="Normal 11 10" xfId="20733"/>
    <cellStyle name="Normal 11 11" xfId="20734"/>
    <cellStyle name="Normal 11 2" xfId="653"/>
    <cellStyle name="Normal 11 2 2" xfId="654"/>
    <cellStyle name="Normal 11 2 2 2" xfId="14771"/>
    <cellStyle name="Normal 11 2 2 2 2" xfId="14772"/>
    <cellStyle name="Normal 11 2 2 3" xfId="14773"/>
    <cellStyle name="Normal 11 2 2 4" xfId="18307"/>
    <cellStyle name="Normal 11 2 2 5" xfId="20735"/>
    <cellStyle name="Normal 11 2 3" xfId="14774"/>
    <cellStyle name="Normal 11 2 3 2" xfId="14775"/>
    <cellStyle name="Normal 11 2 3 3" xfId="20736"/>
    <cellStyle name="Normal 11 2 4" xfId="14776"/>
    <cellStyle name="Normal 11 2 4 2" xfId="20737"/>
    <cellStyle name="Normal 11 2 5" xfId="18306"/>
    <cellStyle name="Normal 11 2 6" xfId="20738"/>
    <cellStyle name="Normal 11 2 7" xfId="20739"/>
    <cellStyle name="Normal 11 2 8" xfId="20740"/>
    <cellStyle name="Normal 11 3" xfId="655"/>
    <cellStyle name="Normal 11 3 2" xfId="14777"/>
    <cellStyle name="Normal 11 3 2 2" xfId="14778"/>
    <cellStyle name="Normal 11 3 2 3" xfId="20741"/>
    <cellStyle name="Normal 11 3 3" xfId="14779"/>
    <cellStyle name="Normal 11 3 3 2" xfId="20742"/>
    <cellStyle name="Normal 11 3 4" xfId="18308"/>
    <cellStyle name="Normal 11 3 5" xfId="20743"/>
    <cellStyle name="Normal 11 3 6" xfId="20744"/>
    <cellStyle name="Normal 11 3 7" xfId="20745"/>
    <cellStyle name="Normal 11 4" xfId="14780"/>
    <cellStyle name="Normal 11 4 2" xfId="14781"/>
    <cellStyle name="Normal 11 4 2 2" xfId="20746"/>
    <cellStyle name="Normal 11 4 3" xfId="20747"/>
    <cellStyle name="Normal 11 4 3 2" xfId="20748"/>
    <cellStyle name="Normal 11 4 4" xfId="20749"/>
    <cellStyle name="Normal 11 4 5" xfId="20750"/>
    <cellStyle name="Normal 11 4 6" xfId="20751"/>
    <cellStyle name="Normal 11 5" xfId="14782"/>
    <cellStyle name="Normal 11 5 2" xfId="20752"/>
    <cellStyle name="Normal 11 5 2 2" xfId="20753"/>
    <cellStyle name="Normal 11 5 3" xfId="20754"/>
    <cellStyle name="Normal 11 5 4" xfId="20755"/>
    <cellStyle name="Normal 11 5 5" xfId="20756"/>
    <cellStyle name="Normal 11 6" xfId="18305"/>
    <cellStyle name="Normal 11 6 2" xfId="20757"/>
    <cellStyle name="Normal 11 7" xfId="20758"/>
    <cellStyle name="Normal 11 7 2" xfId="20759"/>
    <cellStyle name="Normal 11 8" xfId="20760"/>
    <cellStyle name="Normal 11 9" xfId="20761"/>
    <cellStyle name="Normal 11_16.37E Wild Horse Expansion DeferralRevwrkingfile SF" xfId="14783"/>
    <cellStyle name="Normal 110" xfId="14784"/>
    <cellStyle name="Normal 110 2" xfId="14785"/>
    <cellStyle name="Normal 110 2 2" xfId="14786"/>
    <cellStyle name="Normal 110 3" xfId="14787"/>
    <cellStyle name="Normal 111" xfId="14788"/>
    <cellStyle name="Normal 111 2" xfId="14789"/>
    <cellStyle name="Normal 111 2 2" xfId="14790"/>
    <cellStyle name="Normal 111 3" xfId="14791"/>
    <cellStyle name="Normal 112" xfId="14792"/>
    <cellStyle name="Normal 112 2" xfId="14793"/>
    <cellStyle name="Normal 112 2 2" xfId="14794"/>
    <cellStyle name="Normal 112 3" xfId="14795"/>
    <cellStyle name="Normal 113" xfId="14796"/>
    <cellStyle name="Normal 113 2" xfId="14797"/>
    <cellStyle name="Normal 114" xfId="14798"/>
    <cellStyle name="Normal 114 2" xfId="14799"/>
    <cellStyle name="Normal 115" xfId="14800"/>
    <cellStyle name="Normal 115 2" xfId="14801"/>
    <cellStyle name="Normal 116" xfId="14802"/>
    <cellStyle name="Normal 116 2" xfId="14803"/>
    <cellStyle name="Normal 117" xfId="14804"/>
    <cellStyle name="Normal 117 2" xfId="14805"/>
    <cellStyle name="Normal 118" xfId="14806"/>
    <cellStyle name="Normal 118 2" xfId="14807"/>
    <cellStyle name="Normal 119" xfId="14808"/>
    <cellStyle name="Normal 119 2" xfId="14809"/>
    <cellStyle name="Normal 12" xfId="656"/>
    <cellStyle name="Normal 12 10" xfId="20762"/>
    <cellStyle name="Normal 12 11" xfId="20763"/>
    <cellStyle name="Normal 12 2" xfId="657"/>
    <cellStyle name="Normal 12 2 2" xfId="14810"/>
    <cellStyle name="Normal 12 2 2 2" xfId="14811"/>
    <cellStyle name="Normal 12 2 2 3" xfId="20764"/>
    <cellStyle name="Normal 12 2 2 4" xfId="20765"/>
    <cellStyle name="Normal 12 2 3" xfId="14812"/>
    <cellStyle name="Normal 12 2 3 2" xfId="14813"/>
    <cellStyle name="Normal 12 2 3 3" xfId="20766"/>
    <cellStyle name="Normal 12 2 4" xfId="14814"/>
    <cellStyle name="Normal 12 2 4 2" xfId="20767"/>
    <cellStyle name="Normal 12 2 5" xfId="18310"/>
    <cellStyle name="Normal 12 2 6" xfId="20768"/>
    <cellStyle name="Normal 12 2 7" xfId="20769"/>
    <cellStyle name="Normal 12 2 8" xfId="20770"/>
    <cellStyle name="Normal 12 2 9" xfId="20771"/>
    <cellStyle name="Normal 12 3" xfId="658"/>
    <cellStyle name="Normal 12 3 2" xfId="14815"/>
    <cellStyle name="Normal 12 3 2 2" xfId="14816"/>
    <cellStyle name="Normal 12 3 2 3" xfId="20772"/>
    <cellStyle name="Normal 12 3 3" xfId="14817"/>
    <cellStyle name="Normal 12 3 3 2" xfId="14818"/>
    <cellStyle name="Normal 12 3 3 2 2" xfId="18448"/>
    <cellStyle name="Normal 12 3 3 3" xfId="18447"/>
    <cellStyle name="Normal 12 3 4" xfId="14819"/>
    <cellStyle name="Normal 12 3 4 2" xfId="18449"/>
    <cellStyle name="Normal 12 3 5" xfId="18311"/>
    <cellStyle name="Normal 12 3 6" xfId="20773"/>
    <cellStyle name="Normal 12 3 7" xfId="20774"/>
    <cellStyle name="Normal 12 4" xfId="14820"/>
    <cellStyle name="Normal 12 4 2" xfId="14821"/>
    <cellStyle name="Normal 12 4 2 2" xfId="20775"/>
    <cellStyle name="Normal 12 4 3" xfId="20776"/>
    <cellStyle name="Normal 12 4 3 2" xfId="20777"/>
    <cellStyle name="Normal 12 4 4" xfId="20778"/>
    <cellStyle name="Normal 12 4 5" xfId="20779"/>
    <cellStyle name="Normal 12 4 6" xfId="20780"/>
    <cellStyle name="Normal 12 5" xfId="14822"/>
    <cellStyle name="Normal 12 5 2" xfId="20781"/>
    <cellStyle name="Normal 12 5 2 2" xfId="20782"/>
    <cellStyle name="Normal 12 5 3" xfId="20783"/>
    <cellStyle name="Normal 12 5 4" xfId="20784"/>
    <cellStyle name="Normal 12 5 5" xfId="20785"/>
    <cellStyle name="Normal 12 6" xfId="18309"/>
    <cellStyle name="Normal 12 6 2" xfId="20786"/>
    <cellStyle name="Normal 12 7" xfId="20787"/>
    <cellStyle name="Normal 12 7 2" xfId="20788"/>
    <cellStyle name="Normal 12 8" xfId="20789"/>
    <cellStyle name="Normal 12 9" xfId="20790"/>
    <cellStyle name="Normal 120" xfId="14823"/>
    <cellStyle name="Normal 120 2" xfId="14824"/>
    <cellStyle name="Normal 121" xfId="14825"/>
    <cellStyle name="Normal 122" xfId="14826"/>
    <cellStyle name="Normal 123" xfId="14827"/>
    <cellStyle name="Normal 124" xfId="14828"/>
    <cellStyle name="Normal 125" xfId="14829"/>
    <cellStyle name="Normal 126" xfId="14830"/>
    <cellStyle name="Normal 127" xfId="14831"/>
    <cellStyle name="Normal 127 2" xfId="18450"/>
    <cellStyle name="Normal 128" xfId="14832"/>
    <cellStyle name="Normal 128 2" xfId="14833"/>
    <cellStyle name="Normal 128 2 2" xfId="14834"/>
    <cellStyle name="Normal 128 2 2 2" xfId="14835"/>
    <cellStyle name="Normal 128 2 3" xfId="14836"/>
    <cellStyle name="Normal 128 3" xfId="14837"/>
    <cellStyle name="Normal 128 3 2" xfId="14838"/>
    <cellStyle name="Normal 128 4" xfId="14839"/>
    <cellStyle name="Normal 129" xfId="14840"/>
    <cellStyle name="Normal 129 2" xfId="14841"/>
    <cellStyle name="Normal 129 2 2" xfId="14842"/>
    <cellStyle name="Normal 129 2 2 2" xfId="14843"/>
    <cellStyle name="Normal 129 2 3" xfId="14844"/>
    <cellStyle name="Normal 129 3" xfId="14845"/>
    <cellStyle name="Normal 129 3 2" xfId="14846"/>
    <cellStyle name="Normal 129 4" xfId="14847"/>
    <cellStyle name="Normal 13" xfId="659"/>
    <cellStyle name="Normal 13 2" xfId="14848"/>
    <cellStyle name="Normal 13 2 2" xfId="14849"/>
    <cellStyle name="Normal 13 2 2 2" xfId="14850"/>
    <cellStyle name="Normal 13 2 3" xfId="14851"/>
    <cellStyle name="Normal 13 2 3 2" xfId="14852"/>
    <cellStyle name="Normal 13 2 4" xfId="14853"/>
    <cellStyle name="Normal 13 3" xfId="14854"/>
    <cellStyle name="Normal 13 3 2" xfId="14855"/>
    <cellStyle name="Normal 13 4" xfId="14856"/>
    <cellStyle name="Normal 13 4 2" xfId="14857"/>
    <cellStyle name="Normal 13 5" xfId="14858"/>
    <cellStyle name="Normal 130" xfId="14859"/>
    <cellStyle name="Normal 130 2" xfId="14860"/>
    <cellStyle name="Normal 130 2 2" xfId="14861"/>
    <cellStyle name="Normal 130 2 2 2" xfId="14862"/>
    <cellStyle name="Normal 130 2 3" xfId="14863"/>
    <cellStyle name="Normal 130 3" xfId="14864"/>
    <cellStyle name="Normal 130 3 2" xfId="14865"/>
    <cellStyle name="Normal 130 4" xfId="14866"/>
    <cellStyle name="Normal 131" xfId="14867"/>
    <cellStyle name="Normal 131 2" xfId="14868"/>
    <cellStyle name="Normal 131 2 2" xfId="14869"/>
    <cellStyle name="Normal 131 2 2 2" xfId="14870"/>
    <cellStyle name="Normal 131 2 3" xfId="14871"/>
    <cellStyle name="Normal 131 3" xfId="14872"/>
    <cellStyle name="Normal 131 3 2" xfId="14873"/>
    <cellStyle name="Normal 131 4" xfId="14874"/>
    <cellStyle name="Normal 132" xfId="14875"/>
    <cellStyle name="Normal 133" xfId="14876"/>
    <cellStyle name="Normal 134" xfId="14877"/>
    <cellStyle name="Normal 134 2" xfId="18451"/>
    <cellStyle name="Normal 135" xfId="14878"/>
    <cellStyle name="Normal 135 2" xfId="18452"/>
    <cellStyle name="Normal 136" xfId="14879"/>
    <cellStyle name="Normal 136 2" xfId="18453"/>
    <cellStyle name="Normal 137" xfId="14880"/>
    <cellStyle name="Normal 138" xfId="14881"/>
    <cellStyle name="Normal 138 2" xfId="14882"/>
    <cellStyle name="Normal 138 2 2" xfId="14883"/>
    <cellStyle name="Normal 138 2 2 2" xfId="14884"/>
    <cellStyle name="Normal 138 2 3" xfId="14885"/>
    <cellStyle name="Normal 138 3" xfId="14886"/>
    <cellStyle name="Normal 138 3 2" xfId="14887"/>
    <cellStyle name="Normal 138 4" xfId="14888"/>
    <cellStyle name="Normal 139" xfId="14889"/>
    <cellStyle name="Normal 14" xfId="660"/>
    <cellStyle name="Normal 14 2" xfId="14890"/>
    <cellStyle name="Normal 14 2 2" xfId="14891"/>
    <cellStyle name="Normal 14 2 2 2" xfId="14892"/>
    <cellStyle name="Normal 14 2 2 3" xfId="20791"/>
    <cellStyle name="Normal 14 2 2 4" xfId="20792"/>
    <cellStyle name="Normal 14 2 3" xfId="14893"/>
    <cellStyle name="Normal 14 2 3 2" xfId="14894"/>
    <cellStyle name="Normal 14 2 3 3" xfId="20793"/>
    <cellStyle name="Normal 14 2 4" xfId="14895"/>
    <cellStyle name="Normal 14 2 4 2" xfId="20794"/>
    <cellStyle name="Normal 14 2 5" xfId="20795"/>
    <cellStyle name="Normal 14 3" xfId="14896"/>
    <cellStyle name="Normal 14 3 2" xfId="14897"/>
    <cellStyle name="Normal 14 3 2 2" xfId="14898"/>
    <cellStyle name="Normal 14 3 3" xfId="14899"/>
    <cellStyle name="Normal 14 3 4" xfId="20796"/>
    <cellStyle name="Normal 14 4" xfId="14900"/>
    <cellStyle name="Normal 14 4 2" xfId="14901"/>
    <cellStyle name="Normal 14 4 3" xfId="20797"/>
    <cellStyle name="Normal 14 5" xfId="14902"/>
    <cellStyle name="Normal 14 6" xfId="20798"/>
    <cellStyle name="Normal 140" xfId="14903"/>
    <cellStyle name="Normal 140 2" xfId="14904"/>
    <cellStyle name="Normal 140 2 2" xfId="14905"/>
    <cellStyle name="Normal 140 3" xfId="14906"/>
    <cellStyle name="Normal 141" xfId="14907"/>
    <cellStyle name="Normal 141 2" xfId="14908"/>
    <cellStyle name="Normal 142" xfId="14909"/>
    <cellStyle name="Normal 143" xfId="14910"/>
    <cellStyle name="Normal 144" xfId="14911"/>
    <cellStyle name="Normal 145" xfId="14912"/>
    <cellStyle name="Normal 145 2" xfId="14913"/>
    <cellStyle name="Normal 145 2 2" xfId="14914"/>
    <cellStyle name="Normal 145 3" xfId="14915"/>
    <cellStyle name="Normal 146" xfId="14916"/>
    <cellStyle name="Normal 147" xfId="14917"/>
    <cellStyle name="Normal 147 2" xfId="14918"/>
    <cellStyle name="Normal 147 2 2" xfId="14919"/>
    <cellStyle name="Normal 147 3" xfId="14920"/>
    <cellStyle name="Normal 148" xfId="14921"/>
    <cellStyle name="Normal 148 2" xfId="14922"/>
    <cellStyle name="Normal 148 2 2" xfId="14923"/>
    <cellStyle name="Normal 148 3" xfId="14924"/>
    <cellStyle name="Normal 149" xfId="14925"/>
    <cellStyle name="Normal 15" xfId="661"/>
    <cellStyle name="Normal 15 2" xfId="14926"/>
    <cellStyle name="Normal 15 2 2" xfId="14927"/>
    <cellStyle name="Normal 15 2 2 2" xfId="14928"/>
    <cellStyle name="Normal 15 2 3" xfId="14929"/>
    <cellStyle name="Normal 15 2 3 2" xfId="14930"/>
    <cellStyle name="Normal 15 2 4" xfId="14931"/>
    <cellStyle name="Normal 15 2 5" xfId="20799"/>
    <cellStyle name="Normal 15 3" xfId="14932"/>
    <cellStyle name="Normal 15 3 2" xfId="14933"/>
    <cellStyle name="Normal 15 3 3" xfId="20800"/>
    <cellStyle name="Normal 15 3 4" xfId="20801"/>
    <cellStyle name="Normal 15 4" xfId="14934"/>
    <cellStyle name="Normal 15 4 2" xfId="14935"/>
    <cellStyle name="Normal 15 4 3" xfId="20802"/>
    <cellStyle name="Normal 15 5" xfId="14936"/>
    <cellStyle name="Normal 15 6" xfId="20803"/>
    <cellStyle name="Normal 150" xfId="14937"/>
    <cellStyle name="Normal 150 2" xfId="14938"/>
    <cellStyle name="Normal 150 2 2" xfId="14939"/>
    <cellStyle name="Normal 150 3" xfId="14940"/>
    <cellStyle name="Normal 150 4" xfId="14941"/>
    <cellStyle name="Normal 151" xfId="14942"/>
    <cellStyle name="Normal 151 2" xfId="14943"/>
    <cellStyle name="Normal 152" xfId="14944"/>
    <cellStyle name="Normal 153" xfId="14945"/>
    <cellStyle name="Normal 154" xfId="14946"/>
    <cellStyle name="Normal 155" xfId="14947"/>
    <cellStyle name="Normal 156" xfId="14948"/>
    <cellStyle name="Normal 156 2" xfId="14949"/>
    <cellStyle name="Normal 157" xfId="14950"/>
    <cellStyle name="Normal 157 2" xfId="14951"/>
    <cellStyle name="Normal 158" xfId="14952"/>
    <cellStyle name="Normal 158 2" xfId="14953"/>
    <cellStyle name="Normal 159" xfId="14954"/>
    <cellStyle name="Normal 16" xfId="662"/>
    <cellStyle name="Normal 16 2" xfId="663"/>
    <cellStyle name="Normal 16 2 2" xfId="14955"/>
    <cellStyle name="Normal 16 2 2 2" xfId="14956"/>
    <cellStyle name="Normal 16 2 3" xfId="14957"/>
    <cellStyle name="Normal 16 2 3 2" xfId="14958"/>
    <cellStyle name="Normal 16 2 4" xfId="14959"/>
    <cellStyle name="Normal 16 3" xfId="14960"/>
    <cellStyle name="Normal 16 3 2" xfId="14961"/>
    <cellStyle name="Normal 16 3 2 2" xfId="20804"/>
    <cellStyle name="Normal 16 3 2 3" xfId="20805"/>
    <cellStyle name="Normal 16 3 3" xfId="20806"/>
    <cellStyle name="Normal 16 3 3 2" xfId="20807"/>
    <cellStyle name="Normal 16 3 4" xfId="20808"/>
    <cellStyle name="Normal 16 3 5" xfId="20809"/>
    <cellStyle name="Normal 16 4" xfId="14962"/>
    <cellStyle name="Normal 16 4 2" xfId="14963"/>
    <cellStyle name="Normal 16 4 3" xfId="20810"/>
    <cellStyle name="Normal 16 4 4" xfId="20811"/>
    <cellStyle name="Normal 16 5" xfId="14964"/>
    <cellStyle name="Normal 16 5 2" xfId="20812"/>
    <cellStyle name="Normal 16 5 3" xfId="20813"/>
    <cellStyle name="Normal 16 6" xfId="20814"/>
    <cellStyle name="Normal 160" xfId="14965"/>
    <cellStyle name="Normal 161" xfId="14966"/>
    <cellStyle name="Normal 162" xfId="14967"/>
    <cellStyle name="Normal 163" xfId="14968"/>
    <cellStyle name="Normal 164" xfId="21228"/>
    <cellStyle name="Normal 165" xfId="21292"/>
    <cellStyle name="Normal 166" xfId="21296"/>
    <cellStyle name="Normal 17" xfId="664"/>
    <cellStyle name="Normal 17 10" xfId="20815"/>
    <cellStyle name="Normal 17 11" xfId="20816"/>
    <cellStyle name="Normal 17 12" xfId="20817"/>
    <cellStyle name="Normal 17 13" xfId="20818"/>
    <cellStyle name="Normal 17 2" xfId="665"/>
    <cellStyle name="Normal 17 2 2" xfId="14969"/>
    <cellStyle name="Normal 17 2 2 2" xfId="14970"/>
    <cellStyle name="Normal 17 2 3" xfId="14971"/>
    <cellStyle name="Normal 17 2 3 2" xfId="14972"/>
    <cellStyle name="Normal 17 2 4" xfId="14973"/>
    <cellStyle name="Normal 17 3" xfId="14974"/>
    <cellStyle name="Normal 17 3 2" xfId="14975"/>
    <cellStyle name="Normal 17 3 2 2" xfId="20819"/>
    <cellStyle name="Normal 17 3 2 3" xfId="20820"/>
    <cellStyle name="Normal 17 3 3" xfId="20821"/>
    <cellStyle name="Normal 17 3 3 2" xfId="20822"/>
    <cellStyle name="Normal 17 3 4" xfId="20823"/>
    <cellStyle name="Normal 17 3 4 2" xfId="20824"/>
    <cellStyle name="Normal 17 3 5" xfId="20825"/>
    <cellStyle name="Normal 17 4" xfId="14976"/>
    <cellStyle name="Normal 17 4 2" xfId="14977"/>
    <cellStyle name="Normal 17 4 2 2" xfId="20826"/>
    <cellStyle name="Normal 17 4 3" xfId="20827"/>
    <cellStyle name="Normal 17 4 3 2" xfId="20828"/>
    <cellStyle name="Normal 17 5" xfId="14978"/>
    <cellStyle name="Normal 17 5 2" xfId="20829"/>
    <cellStyle name="Normal 17 6" xfId="18312"/>
    <cellStyle name="Normal 17 6 2" xfId="20830"/>
    <cellStyle name="Normal 17 6 3" xfId="20831"/>
    <cellStyle name="Normal 17 7" xfId="20832"/>
    <cellStyle name="Normal 17 8" xfId="20833"/>
    <cellStyle name="Normal 17 9" xfId="20834"/>
    <cellStyle name="Normal 18" xfId="666"/>
    <cellStyle name="Normal 18 2" xfId="14979"/>
    <cellStyle name="Normal 18 2 2" xfId="14980"/>
    <cellStyle name="Normal 18 2 2 2" xfId="14981"/>
    <cellStyle name="Normal 18 2 3" xfId="14982"/>
    <cellStyle name="Normal 18 2 3 2" xfId="14983"/>
    <cellStyle name="Normal 18 2 4" xfId="14984"/>
    <cellStyle name="Normal 18 3" xfId="14985"/>
    <cellStyle name="Normal 18 3 2" xfId="14986"/>
    <cellStyle name="Normal 18 3 3" xfId="20835"/>
    <cellStyle name="Normal 18 4" xfId="14987"/>
    <cellStyle name="Normal 18 4 2" xfId="14988"/>
    <cellStyle name="Normal 18 5" xfId="14989"/>
    <cellStyle name="Normal 19" xfId="667"/>
    <cellStyle name="Normal 19 2" xfId="14990"/>
    <cellStyle name="Normal 19 2 2" xfId="14991"/>
    <cellStyle name="Normal 19 2 2 2" xfId="14992"/>
    <cellStyle name="Normal 19 2 3" xfId="14993"/>
    <cellStyle name="Normal 19 2 3 2" xfId="14994"/>
    <cellStyle name="Normal 19 2 4" xfId="14995"/>
    <cellStyle name="Normal 19 3" xfId="14996"/>
    <cellStyle name="Normal 19 3 2" xfId="14997"/>
    <cellStyle name="Normal 19 3 3" xfId="20836"/>
    <cellStyle name="Normal 19 4" xfId="14998"/>
    <cellStyle name="Normal 19 4 2" xfId="14999"/>
    <cellStyle name="Normal 19 5" xfId="15000"/>
    <cellStyle name="Normal 2" xfId="7"/>
    <cellStyle name="Normal 2 10" xfId="15001"/>
    <cellStyle name="Normal 2 10 2" xfId="15002"/>
    <cellStyle name="Normal 2 10 2 2" xfId="15003"/>
    <cellStyle name="Normal 2 10 3" xfId="15004"/>
    <cellStyle name="Normal 2 11" xfId="15005"/>
    <cellStyle name="Normal 2 11 2" xfId="15006"/>
    <cellStyle name="Normal 2 11 2 2" xfId="15007"/>
    <cellStyle name="Normal 2 11 3" xfId="15008"/>
    <cellStyle name="Normal 2 12" xfId="15009"/>
    <cellStyle name="Normal 2 12 2" xfId="15010"/>
    <cellStyle name="Normal 2 12 2 2" xfId="15011"/>
    <cellStyle name="Normal 2 12 3" xfId="15012"/>
    <cellStyle name="Normal 2 12 3 2" xfId="15013"/>
    <cellStyle name="Normal 2 12 4" xfId="15014"/>
    <cellStyle name="Normal 2 13" xfId="15015"/>
    <cellStyle name="Normal 2 13 2" xfId="15016"/>
    <cellStyle name="Normal 2 13 2 2" xfId="15017"/>
    <cellStyle name="Normal 2 13 3" xfId="15018"/>
    <cellStyle name="Normal 2 13 3 2" xfId="15019"/>
    <cellStyle name="Normal 2 13 4" xfId="15020"/>
    <cellStyle name="Normal 2 14" xfId="15021"/>
    <cellStyle name="Normal 2 14 2" xfId="15022"/>
    <cellStyle name="Normal 2 15" xfId="15023"/>
    <cellStyle name="Normal 2 15 2" xfId="15024"/>
    <cellStyle name="Normal 2 16" xfId="15025"/>
    <cellStyle name="Normal 2 16 2" xfId="15026"/>
    <cellStyle name="Normal 2 17" xfId="15027"/>
    <cellStyle name="Normal 2 18" xfId="15028"/>
    <cellStyle name="Normal 2 19" xfId="15029"/>
    <cellStyle name="Normal 2 19 2" xfId="15030"/>
    <cellStyle name="Normal 2 2" xfId="668"/>
    <cellStyle name="Normal 2 2 10" xfId="15031"/>
    <cellStyle name="Normal 2 2 10 2" xfId="15032"/>
    <cellStyle name="Normal 2 2 11" xfId="15033"/>
    <cellStyle name="Normal 2 2 12" xfId="18313"/>
    <cellStyle name="Normal 2 2 2" xfId="669"/>
    <cellStyle name="Normal 2 2 2 2" xfId="670"/>
    <cellStyle name="Normal 2 2 2 2 2" xfId="15034"/>
    <cellStyle name="Normal 2 2 2 2 2 2" xfId="15035"/>
    <cellStyle name="Normal 2 2 2 2 2 2 2" xfId="15036"/>
    <cellStyle name="Normal 2 2 2 2 2 3" xfId="15037"/>
    <cellStyle name="Normal 2 2 2 2 2 4" xfId="20837"/>
    <cellStyle name="Normal 2 2 2 2 3" xfId="15038"/>
    <cellStyle name="Normal 2 2 2 2 3 2" xfId="15039"/>
    <cellStyle name="Normal 2 2 2 2 3 2 2" xfId="15040"/>
    <cellStyle name="Normal 2 2 2 2 3 3" xfId="15041"/>
    <cellStyle name="Normal 2 2 2 2 4" xfId="15042"/>
    <cellStyle name="Normal 2 2 2 2 4 2" xfId="15043"/>
    <cellStyle name="Normal 2 2 2 2 5" xfId="15044"/>
    <cellStyle name="Normal 2 2 2 2 5 2" xfId="15045"/>
    <cellStyle name="Normal 2 2 2 2 6" xfId="15046"/>
    <cellStyle name="Normal 2 2 2 2 7" xfId="18314"/>
    <cellStyle name="Normal 2 2 2 2 8" xfId="20838"/>
    <cellStyle name="Normal 2 2 2 3" xfId="15047"/>
    <cellStyle name="Normal 2 2 2 3 2" xfId="15048"/>
    <cellStyle name="Normal 2 2 2 3 2 2" xfId="15049"/>
    <cellStyle name="Normal 2 2 2 3 2 2 2" xfId="15050"/>
    <cellStyle name="Normal 2 2 2 3 2 3" xfId="15051"/>
    <cellStyle name="Normal 2 2 2 3 3" xfId="15052"/>
    <cellStyle name="Normal 2 2 2 3 3 2" xfId="15053"/>
    <cellStyle name="Normal 2 2 2 3 3 2 2" xfId="15054"/>
    <cellStyle name="Normal 2 2 2 3 3 3" xfId="15055"/>
    <cellStyle name="Normal 2 2 2 3 4" xfId="15056"/>
    <cellStyle name="Normal 2 2 2 3 4 2" xfId="15057"/>
    <cellStyle name="Normal 2 2 2 3 5" xfId="15058"/>
    <cellStyle name="Normal 2 2 2 4" xfId="15059"/>
    <cellStyle name="Normal 2 2 2 4 2" xfId="15060"/>
    <cellStyle name="Normal 2 2 2 4 2 2" xfId="15061"/>
    <cellStyle name="Normal 2 2 2 4 3" xfId="15062"/>
    <cellStyle name="Normal 2 2 2 5" xfId="15063"/>
    <cellStyle name="Normal 2 2 2 5 2" xfId="15064"/>
    <cellStyle name="Normal 2 2 2 5 2 2" xfId="15065"/>
    <cellStyle name="Normal 2 2 2 5 3" xfId="15066"/>
    <cellStyle name="Normal 2 2 2 6" xfId="15067"/>
    <cellStyle name="Normal 2 2 2 6 2" xfId="15068"/>
    <cellStyle name="Normal 2 2 2 7" xfId="15069"/>
    <cellStyle name="Normal 2 2 2 7 2" xfId="15070"/>
    <cellStyle name="Normal 2 2 2 8" xfId="15071"/>
    <cellStyle name="Normal 2 2 2_12PCORC Wind Vestas and Royalties" xfId="15072"/>
    <cellStyle name="Normal 2 2 3" xfId="671"/>
    <cellStyle name="Normal 2 2 3 2" xfId="15073"/>
    <cellStyle name="Normal 2 2 3 2 2" xfId="15074"/>
    <cellStyle name="Normal 2 2 3 2 2 2" xfId="15075"/>
    <cellStyle name="Normal 2 2 3 2 3" xfId="15076"/>
    <cellStyle name="Normal 2 2 3 2 3 2" xfId="15077"/>
    <cellStyle name="Normal 2 2 3 2 4" xfId="15078"/>
    <cellStyle name="Normal 2 2 3 3" xfId="15079"/>
    <cellStyle name="Normal 2 2 3 3 2" xfId="15080"/>
    <cellStyle name="Normal 2 2 3 3 2 2" xfId="15081"/>
    <cellStyle name="Normal 2 2 3 3 3" xfId="15082"/>
    <cellStyle name="Normal 2 2 3 4" xfId="15083"/>
    <cellStyle name="Normal 2 2 3 4 2" xfId="15084"/>
    <cellStyle name="Normal 2 2 3 5" xfId="15085"/>
    <cellStyle name="Normal 2 2 3 5 2" xfId="15086"/>
    <cellStyle name="Normal 2 2 3 6" xfId="15087"/>
    <cellStyle name="Normal 2 2 3 7" xfId="18315"/>
    <cellStyle name="Normal 2 2 4" xfId="15088"/>
    <cellStyle name="Normal 2 2 4 2" xfId="15089"/>
    <cellStyle name="Normal 2 2 4 2 2" xfId="15090"/>
    <cellStyle name="Normal 2 2 4 3" xfId="15091"/>
    <cellStyle name="Normal 2 2 4 3 2" xfId="15092"/>
    <cellStyle name="Normal 2 2 4 4" xfId="15093"/>
    <cellStyle name="Normal 2 2 5" xfId="15094"/>
    <cellStyle name="Normal 2 2 5 2" xfId="15095"/>
    <cellStyle name="Normal 2 2 6" xfId="15096"/>
    <cellStyle name="Normal 2 2 6 2" xfId="15097"/>
    <cellStyle name="Normal 2 2 7" xfId="15098"/>
    <cellStyle name="Normal 2 2 7 2" xfId="15099"/>
    <cellStyle name="Normal 2 2 8" xfId="15100"/>
    <cellStyle name="Normal 2 2 8 2" xfId="15101"/>
    <cellStyle name="Normal 2 2 9" xfId="15102"/>
    <cellStyle name="Normal 2 2 9 2" xfId="15103"/>
    <cellStyle name="Normal 2 2_ Price Inputs" xfId="15104"/>
    <cellStyle name="Normal 2 20" xfId="15105"/>
    <cellStyle name="Normal 2 3" xfId="672"/>
    <cellStyle name="Normal 2 3 10" xfId="20839"/>
    <cellStyle name="Normal 2 3 2" xfId="673"/>
    <cellStyle name="Normal 2 3 2 2" xfId="674"/>
    <cellStyle name="Normal 2 3 2 2 2" xfId="15106"/>
    <cellStyle name="Normal 2 3 2 2 3" xfId="18318"/>
    <cellStyle name="Normal 2 3 2 2 4" xfId="20840"/>
    <cellStyle name="Normal 2 3 2 2 5" xfId="20841"/>
    <cellStyle name="Normal 2 3 2 3" xfId="15107"/>
    <cellStyle name="Normal 2 3 2 3 2" xfId="15108"/>
    <cellStyle name="Normal 2 3 2 3 3" xfId="20842"/>
    <cellStyle name="Normal 2 3 2 4" xfId="15109"/>
    <cellStyle name="Normal 2 3 2 4 2" xfId="20843"/>
    <cellStyle name="Normal 2 3 2 5" xfId="18317"/>
    <cellStyle name="Normal 2 3 2 6" xfId="20844"/>
    <cellStyle name="Normal 2 3 2 7" xfId="20845"/>
    <cellStyle name="Normal 2 3 2 8" xfId="20846"/>
    <cellStyle name="Normal 2 3 3" xfId="675"/>
    <cellStyle name="Normal 2 3 3 2" xfId="15110"/>
    <cellStyle name="Normal 2 3 3 2 2" xfId="15111"/>
    <cellStyle name="Normal 2 3 3 3" xfId="15112"/>
    <cellStyle name="Normal 2 3 3 3 2" xfId="15113"/>
    <cellStyle name="Normal 2 3 3 4" xfId="15114"/>
    <cellStyle name="Normal 2 3 3 5" xfId="18319"/>
    <cellStyle name="Normal 2 3 4" xfId="15115"/>
    <cellStyle name="Normal 2 3 4 2" xfId="15116"/>
    <cellStyle name="Normal 2 3 4 3" xfId="20847"/>
    <cellStyle name="Normal 2 3 5" xfId="15117"/>
    <cellStyle name="Normal 2 3 5 2" xfId="15118"/>
    <cellStyle name="Normal 2 3 5 3" xfId="20848"/>
    <cellStyle name="Normal 2 3 6" xfId="15119"/>
    <cellStyle name="Normal 2 3 6 2" xfId="20849"/>
    <cellStyle name="Normal 2 3 7" xfId="18316"/>
    <cellStyle name="Normal 2 3 8" xfId="20850"/>
    <cellStyle name="Normal 2 3 9" xfId="20851"/>
    <cellStyle name="Normal 2 4" xfId="676"/>
    <cellStyle name="Normal 2 4 2" xfId="15120"/>
    <cellStyle name="Normal 2 4 2 2" xfId="15121"/>
    <cellStyle name="Normal 2 4 2 2 2" xfId="15122"/>
    <cellStyle name="Normal 2 4 2 3" xfId="15123"/>
    <cellStyle name="Normal 2 4 2 3 2" xfId="15124"/>
    <cellStyle name="Normal 2 4 2 4" xfId="15125"/>
    <cellStyle name="Normal 2 4 3" xfId="15126"/>
    <cellStyle name="Normal 2 4 3 2" xfId="15127"/>
    <cellStyle name="Normal 2 4 3 2 2" xfId="15128"/>
    <cellStyle name="Normal 2 4 3 3" xfId="15129"/>
    <cellStyle name="Normal 2 4 4" xfId="15130"/>
    <cellStyle name="Normal 2 4 4 2" xfId="15131"/>
    <cellStyle name="Normal 2 4 5" xfId="15132"/>
    <cellStyle name="Normal 2 4 5 2" xfId="15133"/>
    <cellStyle name="Normal 2 4 6" xfId="15134"/>
    <cellStyle name="Normal 2 5" xfId="677"/>
    <cellStyle name="Normal 2 5 2" xfId="15135"/>
    <cellStyle name="Normal 2 5 2 2" xfId="15136"/>
    <cellStyle name="Normal 2 5 2 2 2" xfId="15137"/>
    <cellStyle name="Normal 2 5 2 3" xfId="15138"/>
    <cellStyle name="Normal 2 5 2 3 2" xfId="15139"/>
    <cellStyle name="Normal 2 5 2 4" xfId="15140"/>
    <cellStyle name="Normal 2 5 3" xfId="15141"/>
    <cellStyle name="Normal 2 5 3 2" xfId="15142"/>
    <cellStyle name="Normal 2 5 3 2 2" xfId="15143"/>
    <cellStyle name="Normal 2 5 3 3" xfId="15144"/>
    <cellStyle name="Normal 2 5 4" xfId="15145"/>
    <cellStyle name="Normal 2 5 4 2" xfId="15146"/>
    <cellStyle name="Normal 2 5 5" xfId="15147"/>
    <cellStyle name="Normal 2 5 5 2" xfId="15148"/>
    <cellStyle name="Normal 2 5 6" xfId="15149"/>
    <cellStyle name="Normal 2 5 7" xfId="18320"/>
    <cellStyle name="Normal 2 6" xfId="15150"/>
    <cellStyle name="Normal 2 6 2" xfId="15151"/>
    <cellStyle name="Normal 2 6 2 2" xfId="15152"/>
    <cellStyle name="Normal 2 6 2 2 2" xfId="15153"/>
    <cellStyle name="Normal 2 6 2 3" xfId="15154"/>
    <cellStyle name="Normal 2 6 2 3 2" xfId="15155"/>
    <cellStyle name="Normal 2 6 2 4" xfId="15156"/>
    <cellStyle name="Normal 2 6 3" xfId="15157"/>
    <cellStyle name="Normal 2 6 3 2" xfId="15158"/>
    <cellStyle name="Normal 2 6 4" xfId="15159"/>
    <cellStyle name="Normal 2 6 4 2" xfId="15160"/>
    <cellStyle name="Normal 2 6 5" xfId="15161"/>
    <cellStyle name="Normal 2 6 6" xfId="20852"/>
    <cellStyle name="Normal 2 7" xfId="15162"/>
    <cellStyle name="Normal 2 7 2" xfId="15163"/>
    <cellStyle name="Normal 2 7 2 2" xfId="15164"/>
    <cellStyle name="Normal 2 7 2 2 2" xfId="15165"/>
    <cellStyle name="Normal 2 7 2 3" xfId="15166"/>
    <cellStyle name="Normal 2 7 3" xfId="15167"/>
    <cellStyle name="Normal 2 7 3 2" xfId="15168"/>
    <cellStyle name="Normal 2 7 4" xfId="15169"/>
    <cellStyle name="Normal 2 7 4 2" xfId="15170"/>
    <cellStyle name="Normal 2 7 5" xfId="15171"/>
    <cellStyle name="Normal 2 8" xfId="15172"/>
    <cellStyle name="Normal 2 8 2" xfId="15173"/>
    <cellStyle name="Normal 2 8 2 2" xfId="15174"/>
    <cellStyle name="Normal 2 8 3" xfId="15175"/>
    <cellStyle name="Normal 2 8 3 2" xfId="15176"/>
    <cellStyle name="Normal 2 8 4" xfId="15177"/>
    <cellStyle name="Normal 2 9" xfId="15178"/>
    <cellStyle name="Normal 2 9 2" xfId="15179"/>
    <cellStyle name="Normal 2 9 2 2" xfId="15180"/>
    <cellStyle name="Normal 2 9 3" xfId="15181"/>
    <cellStyle name="Normal 2_16.37E Wild Horse Expansion DeferralRevwrkingfile SF" xfId="15182"/>
    <cellStyle name="Normal 20" xfId="678"/>
    <cellStyle name="Normal 20 2" xfId="15183"/>
    <cellStyle name="Normal 20 2 2" xfId="15184"/>
    <cellStyle name="Normal 20 2 2 2" xfId="15185"/>
    <cellStyle name="Normal 20 2 3" xfId="15186"/>
    <cellStyle name="Normal 20 2 3 2" xfId="15187"/>
    <cellStyle name="Normal 20 2 4" xfId="15188"/>
    <cellStyle name="Normal 20 3" xfId="15189"/>
    <cellStyle name="Normal 20 3 2" xfId="15190"/>
    <cellStyle name="Normal 20 3 2 2" xfId="15191"/>
    <cellStyle name="Normal 20 3 2 3" xfId="15192"/>
    <cellStyle name="Normal 20 3 2 3 2" xfId="18456"/>
    <cellStyle name="Normal 20 3 2 4" xfId="18455"/>
    <cellStyle name="Normal 20 3 3" xfId="15193"/>
    <cellStyle name="Normal 20 3 4" xfId="15194"/>
    <cellStyle name="Normal 20 3 4 2" xfId="18457"/>
    <cellStyle name="Normal 20 3 5" xfId="18454"/>
    <cellStyle name="Normal 20 4" xfId="15195"/>
    <cellStyle name="Normal 20 4 2" xfId="15196"/>
    <cellStyle name="Normal 20 5" xfId="15197"/>
    <cellStyle name="Normal 20 5 2" xfId="15198"/>
    <cellStyle name="Normal 20 6" xfId="15199"/>
    <cellStyle name="Normal 21" xfId="679"/>
    <cellStyle name="Normal 21 2" xfId="680"/>
    <cellStyle name="Normal 21 2 2" xfId="15200"/>
    <cellStyle name="Normal 21 2 2 2" xfId="15201"/>
    <cellStyle name="Normal 21 2 2 2 2" xfId="15202"/>
    <cellStyle name="Normal 21 2 2 2 3" xfId="15203"/>
    <cellStyle name="Normal 21 2 2 2 3 2" xfId="18460"/>
    <cellStyle name="Normal 21 2 2 2 4" xfId="18459"/>
    <cellStyle name="Normal 21 2 2 3" xfId="15204"/>
    <cellStyle name="Normal 21 2 2 4" xfId="15205"/>
    <cellStyle name="Normal 21 2 2 4 2" xfId="18461"/>
    <cellStyle name="Normal 21 2 2 5" xfId="18458"/>
    <cellStyle name="Normal 21 2 3" xfId="15206"/>
    <cellStyle name="Normal 21 3" xfId="15207"/>
    <cellStyle name="Normal 21 3 2" xfId="15208"/>
    <cellStyle name="Normal 21 3 2 2" xfId="15209"/>
    <cellStyle name="Normal 21 3 3" xfId="15210"/>
    <cellStyle name="Normal 21 3 4" xfId="20853"/>
    <cellStyle name="Normal 21 4" xfId="15211"/>
    <cellStyle name="Normal 21 4 2" xfId="15212"/>
    <cellStyle name="Normal 21 4 3" xfId="20854"/>
    <cellStyle name="Normal 21 5" xfId="15213"/>
    <cellStyle name="Normal 21 5 2" xfId="15214"/>
    <cellStyle name="Normal 21 6" xfId="15215"/>
    <cellStyle name="Normal 21_4 31E Reg Asset  Liab and EXH D" xfId="15216"/>
    <cellStyle name="Normal 22" xfId="681"/>
    <cellStyle name="Normal 22 2" xfId="682"/>
    <cellStyle name="Normal 22 2 2" xfId="15217"/>
    <cellStyle name="Normal 22 2 2 2" xfId="15218"/>
    <cellStyle name="Normal 22 2 2 2 2" xfId="15219"/>
    <cellStyle name="Normal 22 2 2 3" xfId="15220"/>
    <cellStyle name="Normal 22 2 2 4" xfId="15221"/>
    <cellStyle name="Normal 22 2 2 4 2" xfId="18463"/>
    <cellStyle name="Normal 22 2 2 5" xfId="18462"/>
    <cellStyle name="Normal 22 2 3" xfId="15222"/>
    <cellStyle name="Normal 22 2 4" xfId="15223"/>
    <cellStyle name="Normal 22 2 4 2" xfId="18464"/>
    <cellStyle name="Normal 22 3" xfId="15224"/>
    <cellStyle name="Normal 22 3 2" xfId="15225"/>
    <cellStyle name="Normal 22 3 2 2" xfId="15226"/>
    <cellStyle name="Normal 22 3 3" xfId="15227"/>
    <cellStyle name="Normal 22 3 4" xfId="20855"/>
    <cellStyle name="Normal 22 4" xfId="15228"/>
    <cellStyle name="Normal 22 4 2" xfId="15229"/>
    <cellStyle name="Normal 22 4 3" xfId="20856"/>
    <cellStyle name="Normal 22 5" xfId="15230"/>
    <cellStyle name="Normal 22 5 2" xfId="15231"/>
    <cellStyle name="Normal 22 6" xfId="15232"/>
    <cellStyle name="Normal 22 6 2" xfId="15233"/>
    <cellStyle name="Normal 22 7" xfId="15234"/>
    <cellStyle name="Normal 23" xfId="683"/>
    <cellStyle name="Normal 23 2" xfId="15235"/>
    <cellStyle name="Normal 23 2 2" xfId="15236"/>
    <cellStyle name="Normal 23 2 2 2" xfId="15237"/>
    <cellStyle name="Normal 23 2 2 2 2" xfId="15238"/>
    <cellStyle name="Normal 23 2 2 2 3" xfId="15239"/>
    <cellStyle name="Normal 23 2 2 2 3 2" xfId="18467"/>
    <cellStyle name="Normal 23 2 2 2 4" xfId="18466"/>
    <cellStyle name="Normal 23 2 2 3" xfId="15240"/>
    <cellStyle name="Normal 23 2 2 4" xfId="15241"/>
    <cellStyle name="Normal 23 2 2 4 2" xfId="18468"/>
    <cellStyle name="Normal 23 2 2 5" xfId="18465"/>
    <cellStyle name="Normal 23 2 3" xfId="15242"/>
    <cellStyle name="Normal 23 3" xfId="15243"/>
    <cellStyle name="Normal 23 3 2" xfId="15244"/>
    <cellStyle name="Normal 23 4" xfId="15245"/>
    <cellStyle name="Normal 23 4 2" xfId="15246"/>
    <cellStyle name="Normal 23 5" xfId="15247"/>
    <cellStyle name="Normal 24" xfId="684"/>
    <cellStyle name="Normal 24 2" xfId="15248"/>
    <cellStyle name="Normal 24 2 2" xfId="15249"/>
    <cellStyle name="Normal 24 2 2 2" xfId="15250"/>
    <cellStyle name="Normal 24 2 2 2 2" xfId="15251"/>
    <cellStyle name="Normal 24 2 2 2 3" xfId="15252"/>
    <cellStyle name="Normal 24 2 2 2 3 2" xfId="18471"/>
    <cellStyle name="Normal 24 2 2 2 4" xfId="18470"/>
    <cellStyle name="Normal 24 2 2 3" xfId="15253"/>
    <cellStyle name="Normal 24 2 2 4" xfId="15254"/>
    <cellStyle name="Normal 24 2 2 4 2" xfId="18472"/>
    <cellStyle name="Normal 24 2 2 5" xfId="18469"/>
    <cellStyle name="Normal 24 2 3" xfId="15255"/>
    <cellStyle name="Normal 24 2 3 2" xfId="15256"/>
    <cellStyle name="Normal 24 2 4" xfId="15257"/>
    <cellStyle name="Normal 24 2 4 2" xfId="15258"/>
    <cellStyle name="Normal 24 2 5" xfId="15259"/>
    <cellStyle name="Normal 24 2 5 2" xfId="15260"/>
    <cellStyle name="Normal 24 2 6" xfId="15261"/>
    <cellStyle name="Normal 24 3" xfId="15262"/>
    <cellStyle name="Normal 24 3 2" xfId="15263"/>
    <cellStyle name="Normal 24 3 2 2" xfId="15264"/>
    <cellStyle name="Normal 24 3 3" xfId="15265"/>
    <cellStyle name="Normal 24 3 3 2" xfId="15266"/>
    <cellStyle name="Normal 24 3 4" xfId="15267"/>
    <cellStyle name="Normal 24 4" xfId="15268"/>
    <cellStyle name="Normal 24 5" xfId="20857"/>
    <cellStyle name="Normal 24_PCA 11 -  Exhibit D Jan 2012 fr A Kellogg" xfId="15269"/>
    <cellStyle name="Normal 25" xfId="685"/>
    <cellStyle name="Normal 25 2" xfId="15270"/>
    <cellStyle name="Normal 25 2 2" xfId="15271"/>
    <cellStyle name="Normal 25 2 2 2" xfId="15272"/>
    <cellStyle name="Normal 25 2 2 2 2" xfId="15273"/>
    <cellStyle name="Normal 25 2 2 2 3" xfId="15274"/>
    <cellStyle name="Normal 25 2 2 2 3 2" xfId="18475"/>
    <cellStyle name="Normal 25 2 2 2 4" xfId="18474"/>
    <cellStyle name="Normal 25 2 2 3" xfId="15275"/>
    <cellStyle name="Normal 25 2 2 4" xfId="15276"/>
    <cellStyle name="Normal 25 2 2 4 2" xfId="18476"/>
    <cellStyle name="Normal 25 2 2 5" xfId="18473"/>
    <cellStyle name="Normal 25 2 3" xfId="15277"/>
    <cellStyle name="Normal 25 2 3 2" xfId="15278"/>
    <cellStyle name="Normal 25 2 4" xfId="15279"/>
    <cellStyle name="Normal 25 2 4 2" xfId="15280"/>
    <cellStyle name="Normal 25 2 5" xfId="15281"/>
    <cellStyle name="Normal 25 3" xfId="15282"/>
    <cellStyle name="Normal 25 3 2" xfId="15283"/>
    <cellStyle name="Normal 25 4" xfId="15284"/>
    <cellStyle name="Normal 25 4 2" xfId="15285"/>
    <cellStyle name="Normal 25 4 3" xfId="15286"/>
    <cellStyle name="Normal 25 4 3 2" xfId="18478"/>
    <cellStyle name="Normal 25 4 4" xfId="18477"/>
    <cellStyle name="Normal 25 5" xfId="15287"/>
    <cellStyle name="Normal 25 6" xfId="15288"/>
    <cellStyle name="Normal 25 6 2" xfId="18479"/>
    <cellStyle name="Normal 26" xfId="686"/>
    <cellStyle name="Normal 26 2" xfId="15289"/>
    <cellStyle name="Normal 26 2 2" xfId="15290"/>
    <cellStyle name="Normal 26 2 2 2" xfId="15291"/>
    <cellStyle name="Normal 26 2 2 2 2" xfId="15292"/>
    <cellStyle name="Normal 26 2 2 3" xfId="15293"/>
    <cellStyle name="Normal 26 2 3" xfId="15294"/>
    <cellStyle name="Normal 26 2 3 2" xfId="15295"/>
    <cellStyle name="Normal 26 2 4" xfId="15296"/>
    <cellStyle name="Normal 26 3" xfId="15297"/>
    <cellStyle name="Normal 26 3 2" xfId="15298"/>
    <cellStyle name="Normal 26 3 2 2" xfId="15299"/>
    <cellStyle name="Normal 26 3 2 2 2" xfId="18482"/>
    <cellStyle name="Normal 26 3 2 3" xfId="18481"/>
    <cellStyle name="Normal 26 3 3" xfId="15300"/>
    <cellStyle name="Normal 26 3 3 2" xfId="18483"/>
    <cellStyle name="Normal 26 3 4" xfId="18480"/>
    <cellStyle name="Normal 26 4" xfId="15301"/>
    <cellStyle name="Normal 26 4 2" xfId="15302"/>
    <cellStyle name="Normal 26 4 2 2" xfId="15303"/>
    <cellStyle name="Normal 26 4 3" xfId="15304"/>
    <cellStyle name="Normal 26 4 4" xfId="15305"/>
    <cellStyle name="Normal 26 4 5" xfId="15306"/>
    <cellStyle name="Normal 26 4 6" xfId="15307"/>
    <cellStyle name="Normal 26 4 6 2" xfId="18485"/>
    <cellStyle name="Normal 26 4 7" xfId="18484"/>
    <cellStyle name="Normal 26 5" xfId="15308"/>
    <cellStyle name="Normal 26 6" xfId="15309"/>
    <cellStyle name="Normal 26 6 2" xfId="18486"/>
    <cellStyle name="Normal 27" xfId="687"/>
    <cellStyle name="Normal 27 2" xfId="15310"/>
    <cellStyle name="Normal 27 2 2" xfId="15311"/>
    <cellStyle name="Normal 27 2 2 2" xfId="15312"/>
    <cellStyle name="Normal 27 2 2 2 2" xfId="15313"/>
    <cellStyle name="Normal 27 2 2 3" xfId="15314"/>
    <cellStyle name="Normal 27 2 3" xfId="15315"/>
    <cellStyle name="Normal 27 2 3 2" xfId="15316"/>
    <cellStyle name="Normal 27 2 4" xfId="15317"/>
    <cellStyle name="Normal 27 3" xfId="15318"/>
    <cellStyle name="Normal 27 3 2" xfId="15319"/>
    <cellStyle name="Normal 27 3 2 2" xfId="15320"/>
    <cellStyle name="Normal 27 3 2 2 2" xfId="18489"/>
    <cellStyle name="Normal 27 3 2 3" xfId="18488"/>
    <cellStyle name="Normal 27 3 3" xfId="15321"/>
    <cellStyle name="Normal 27 3 3 2" xfId="18490"/>
    <cellStyle name="Normal 27 3 4" xfId="18487"/>
    <cellStyle name="Normal 27 4" xfId="15322"/>
    <cellStyle name="Normal 27 4 2" xfId="15323"/>
    <cellStyle name="Normal 27 4 3" xfId="15324"/>
    <cellStyle name="Normal 27 4 3 2" xfId="18492"/>
    <cellStyle name="Normal 27 4 4" xfId="18491"/>
    <cellStyle name="Normal 27 5" xfId="15325"/>
    <cellStyle name="Normal 27 6" xfId="15326"/>
    <cellStyle name="Normal 27 6 2" xfId="18493"/>
    <cellStyle name="Normal 28" xfId="688"/>
    <cellStyle name="Normal 28 2" xfId="15327"/>
    <cellStyle name="Normal 28 2 2" xfId="15328"/>
    <cellStyle name="Normal 28 2 2 2" xfId="15329"/>
    <cellStyle name="Normal 28 2 2 2 2" xfId="15330"/>
    <cellStyle name="Normal 28 2 2 3" xfId="15331"/>
    <cellStyle name="Normal 28 2 3" xfId="15332"/>
    <cellStyle name="Normal 28 2 3 2" xfId="15333"/>
    <cellStyle name="Normal 28 2 4" xfId="15334"/>
    <cellStyle name="Normal 28 3" xfId="15335"/>
    <cellStyle name="Normal 28 3 2" xfId="15336"/>
    <cellStyle name="Normal 28 4" xfId="15337"/>
    <cellStyle name="Normal 28 4 2" xfId="15338"/>
    <cellStyle name="Normal 28 4 2 2" xfId="18495"/>
    <cellStyle name="Normal 28 4 3" xfId="18494"/>
    <cellStyle name="Normal 28 5" xfId="15339"/>
    <cellStyle name="Normal 28 5 2" xfId="18496"/>
    <cellStyle name="Normal 29" xfId="689"/>
    <cellStyle name="Normal 29 2" xfId="15340"/>
    <cellStyle name="Normal 29 2 2" xfId="15341"/>
    <cellStyle name="Normal 29 2 2 2" xfId="15342"/>
    <cellStyle name="Normal 29 2 2 2 2" xfId="15343"/>
    <cellStyle name="Normal 29 2 2 3" xfId="15344"/>
    <cellStyle name="Normal 29 2 2 4" xfId="15345"/>
    <cellStyle name="Normal 29 2 2 4 2" xfId="18499"/>
    <cellStyle name="Normal 29 2 2 5" xfId="18498"/>
    <cellStyle name="Normal 29 2 3" xfId="15346"/>
    <cellStyle name="Normal 29 2 3 2" xfId="15347"/>
    <cellStyle name="Normal 29 2 4" xfId="15348"/>
    <cellStyle name="Normal 29 2 5" xfId="15349"/>
    <cellStyle name="Normal 29 2 5 2" xfId="18500"/>
    <cellStyle name="Normal 29 2 6" xfId="18497"/>
    <cellStyle name="Normal 29 3" xfId="15350"/>
    <cellStyle name="Normal 29 3 2" xfId="15351"/>
    <cellStyle name="Normal 29 4" xfId="15352"/>
    <cellStyle name="Normal 29 5" xfId="20858"/>
    <cellStyle name="Normal 3" xfId="6"/>
    <cellStyle name="Normal 3 10" xfId="15353"/>
    <cellStyle name="Normal 3 10 2" xfId="15354"/>
    <cellStyle name="Normal 3 10 2 2" xfId="15355"/>
    <cellStyle name="Normal 3 10 3" xfId="15356"/>
    <cellStyle name="Normal 3 11" xfId="15357"/>
    <cellStyle name="Normal 3 11 2" xfId="15358"/>
    <cellStyle name="Normal 3 11 2 2" xfId="15359"/>
    <cellStyle name="Normal 3 11 3" xfId="15360"/>
    <cellStyle name="Normal 3 12" xfId="15361"/>
    <cellStyle name="Normal 3 12 2" xfId="15362"/>
    <cellStyle name="Normal 3 13" xfId="15363"/>
    <cellStyle name="Normal 3 13 2" xfId="15364"/>
    <cellStyle name="Normal 3 14" xfId="15365"/>
    <cellStyle name="Normal 3 14 2" xfId="15366"/>
    <cellStyle name="Normal 3 15" xfId="15367"/>
    <cellStyle name="Normal 3 16" xfId="15368"/>
    <cellStyle name="Normal 3 17" xfId="15369"/>
    <cellStyle name="Normal 3 17 2" xfId="15370"/>
    <cellStyle name="Normal 3 18" xfId="15371"/>
    <cellStyle name="Normal 3 18 2" xfId="18501"/>
    <cellStyle name="Normal 3 19" xfId="15372"/>
    <cellStyle name="Normal 3 2" xfId="690"/>
    <cellStyle name="Normal 3 2 2" xfId="691"/>
    <cellStyle name="Normal 3 2 2 2" xfId="692"/>
    <cellStyle name="Normal 3 2 2 2 2" xfId="15373"/>
    <cellStyle name="Normal 3 2 2 2 3" xfId="20859"/>
    <cellStyle name="Normal 3 2 2 3" xfId="15374"/>
    <cellStyle name="Normal 3 2 2 3 2" xfId="15375"/>
    <cellStyle name="Normal 3 2 2 4" xfId="15376"/>
    <cellStyle name="Normal 3 2 2 5" xfId="20860"/>
    <cellStyle name="Normal 3 2 3" xfId="693"/>
    <cellStyle name="Normal 3 2 3 2" xfId="15377"/>
    <cellStyle name="Normal 3 2 3 2 2" xfId="15378"/>
    <cellStyle name="Normal 3 2 3 3" xfId="15379"/>
    <cellStyle name="Normal 3 2 3 4" xfId="20861"/>
    <cellStyle name="Normal 3 2 4" xfId="694"/>
    <cellStyle name="Normal 3 2 4 2" xfId="15380"/>
    <cellStyle name="Normal 3 2 4 3" xfId="20862"/>
    <cellStyle name="Normal 3 2 4 4" xfId="20863"/>
    <cellStyle name="Normal 3 2 5" xfId="15381"/>
    <cellStyle name="Normal 3 2 5 2" xfId="15382"/>
    <cellStyle name="Normal 3 2 6" xfId="15383"/>
    <cellStyle name="Normal 3 2 7" xfId="20864"/>
    <cellStyle name="Normal 3 2 8" xfId="20865"/>
    <cellStyle name="Normal 3 2 9" xfId="20866"/>
    <cellStyle name="Normal 3 2_Chelan PUD Power Costs (8-10)" xfId="15384"/>
    <cellStyle name="Normal 3 20" xfId="21302"/>
    <cellStyle name="Normal 3 3" xfId="695"/>
    <cellStyle name="Normal 3 3 2" xfId="696"/>
    <cellStyle name="Normal 3 3 2 2" xfId="15385"/>
    <cellStyle name="Normal 3 3 2 2 2" xfId="15386"/>
    <cellStyle name="Normal 3 3 2 3" xfId="15387"/>
    <cellStyle name="Normal 3 3 2 3 2" xfId="15388"/>
    <cellStyle name="Normal 3 3 2 4" xfId="15389"/>
    <cellStyle name="Normal 3 3 3" xfId="697"/>
    <cellStyle name="Normal 3 3 3 2" xfId="15390"/>
    <cellStyle name="Normal 3 3 3 3" xfId="20867"/>
    <cellStyle name="Normal 3 3 3 4" xfId="20868"/>
    <cellStyle name="Normal 3 3 4" xfId="15391"/>
    <cellStyle name="Normal 3 3 4 2" xfId="15392"/>
    <cellStyle name="Normal 3 3 5" xfId="15393"/>
    <cellStyle name="Normal 3 3 6" xfId="20869"/>
    <cellStyle name="Normal 3 3 7" xfId="20870"/>
    <cellStyle name="Normal 3 3 8" xfId="20871"/>
    <cellStyle name="Normal 3 4" xfId="698"/>
    <cellStyle name="Normal 3 4 2" xfId="699"/>
    <cellStyle name="Normal 3 4 2 2" xfId="700"/>
    <cellStyle name="Normal 3 4 2 2 2" xfId="15394"/>
    <cellStyle name="Normal 3 4 2 2 3" xfId="20872"/>
    <cellStyle name="Normal 3 4 2 3" xfId="15395"/>
    <cellStyle name="Normal 3 4 2 4" xfId="20873"/>
    <cellStyle name="Normal 3 4 2 5" xfId="20874"/>
    <cellStyle name="Normal 3 4 3" xfId="701"/>
    <cellStyle name="Normal 3 4 3 2" xfId="15396"/>
    <cellStyle name="Normal 3 4 3 3" xfId="20875"/>
    <cellStyle name="Normal 3 4 4" xfId="15397"/>
    <cellStyle name="Normal 3 4 4 2" xfId="15398"/>
    <cellStyle name="Normal 3 4 5" xfId="15399"/>
    <cellStyle name="Normal 3 4 5 2" xfId="15400"/>
    <cellStyle name="Normal 3 4 6" xfId="15401"/>
    <cellStyle name="Normal 3 4 7" xfId="20876"/>
    <cellStyle name="Normal 3 5" xfId="702"/>
    <cellStyle name="Normal 3 5 2" xfId="703"/>
    <cellStyle name="Normal 3 5 2 2" xfId="15402"/>
    <cellStyle name="Normal 3 5 2 3" xfId="20877"/>
    <cellStyle name="Normal 3 5 3" xfId="704"/>
    <cellStyle name="Normal 3 5 3 2" xfId="15403"/>
    <cellStyle name="Normal 3 5 3 3" xfId="20878"/>
    <cellStyle name="Normal 3 5 4" xfId="15404"/>
    <cellStyle name="Normal 3 5 4 2" xfId="20879"/>
    <cellStyle name="Normal 3 5 5" xfId="20880"/>
    <cellStyle name="Normal 3 5 6" xfId="20881"/>
    <cellStyle name="Normal 3 6" xfId="705"/>
    <cellStyle name="Normal 3 6 2" xfId="706"/>
    <cellStyle name="Normal 3 6 2 2" xfId="15405"/>
    <cellStyle name="Normal 3 6 2 3" xfId="15406"/>
    <cellStyle name="Normal 3 6 2 3 2" xfId="18502"/>
    <cellStyle name="Normal 3 6 3" xfId="15407"/>
    <cellStyle name="Normal 3 6 3 2" xfId="15408"/>
    <cellStyle name="Normal 3 6 4" xfId="15409"/>
    <cellStyle name="Normal 3 6 5" xfId="15410"/>
    <cellStyle name="Normal 3 6 5 2" xfId="18503"/>
    <cellStyle name="Normal 3 7" xfId="707"/>
    <cellStyle name="Normal 3 7 2" xfId="15411"/>
    <cellStyle name="Normal 3 7 2 2" xfId="15412"/>
    <cellStyle name="Normal 3 7 3" xfId="15413"/>
    <cellStyle name="Normal 3 7 4" xfId="20882"/>
    <cellStyle name="Normal 3 8" xfId="708"/>
    <cellStyle name="Normal 3 8 2" xfId="15414"/>
    <cellStyle name="Normal 3 8 2 2" xfId="15415"/>
    <cellStyle name="Normal 3 8 3" xfId="15416"/>
    <cellStyle name="Normal 3 8 4" xfId="20883"/>
    <cellStyle name="Normal 3 9" xfId="709"/>
    <cellStyle name="Normal 3 9 2" xfId="15417"/>
    <cellStyle name="Normal 3 9 2 2" xfId="15418"/>
    <cellStyle name="Normal 3 9 3" xfId="15419"/>
    <cellStyle name="Normal 3_ Price Inputs" xfId="15420"/>
    <cellStyle name="Normal 30" xfId="710"/>
    <cellStyle name="Normal 30 2" xfId="15421"/>
    <cellStyle name="Normal 30 2 2" xfId="15422"/>
    <cellStyle name="Normal 30 2 2 2" xfId="15423"/>
    <cellStyle name="Normal 30 2 2 2 2" xfId="15424"/>
    <cellStyle name="Normal 30 2 2 3" xfId="15425"/>
    <cellStyle name="Normal 30 2 3" xfId="15426"/>
    <cellStyle name="Normal 30 2 3 2" xfId="15427"/>
    <cellStyle name="Normal 30 2 4" xfId="15428"/>
    <cellStyle name="Normal 30 3" xfId="15429"/>
    <cellStyle name="Normal 30 3 2" xfId="15430"/>
    <cellStyle name="Normal 30 3 3" xfId="15431"/>
    <cellStyle name="Normal 30 3 3 2" xfId="18505"/>
    <cellStyle name="Normal 30 3 4" xfId="18504"/>
    <cellStyle name="Normal 30 4" xfId="15432"/>
    <cellStyle name="Normal 30 5" xfId="15433"/>
    <cellStyle name="Normal 30 5 2" xfId="18506"/>
    <cellStyle name="Normal 31" xfId="711"/>
    <cellStyle name="Normal 31 2" xfId="15434"/>
    <cellStyle name="Normal 31 2 2" xfId="15435"/>
    <cellStyle name="Normal 31 2 2 2" xfId="15436"/>
    <cellStyle name="Normal 31 2 2 2 2" xfId="15437"/>
    <cellStyle name="Normal 31 2 2 3" xfId="15438"/>
    <cellStyle name="Normal 31 2 3" xfId="15439"/>
    <cellStyle name="Normal 31 2 3 2" xfId="15440"/>
    <cellStyle name="Normal 31 2 3 3" xfId="15441"/>
    <cellStyle name="Normal 31 2 3 3 2" xfId="18509"/>
    <cellStyle name="Normal 31 2 3 4" xfId="18508"/>
    <cellStyle name="Normal 31 2 4" xfId="15442"/>
    <cellStyle name="Normal 31 2 5" xfId="15443"/>
    <cellStyle name="Normal 31 2 5 2" xfId="18510"/>
    <cellStyle name="Normal 31 2 6" xfId="18507"/>
    <cellStyle name="Normal 31 3" xfId="15444"/>
    <cellStyle name="Normal 31 3 2" xfId="15445"/>
    <cellStyle name="Normal 31 3 2 2" xfId="15446"/>
    <cellStyle name="Normal 31 3 3" xfId="15447"/>
    <cellStyle name="Normal 31 4" xfId="15448"/>
    <cellStyle name="Normal 32" xfId="712"/>
    <cellStyle name="Normal 32 2" xfId="15449"/>
    <cellStyle name="Normal 32 2 2" xfId="15450"/>
    <cellStyle name="Normal 32 2 2 2" xfId="15451"/>
    <cellStyle name="Normal 32 2 2 2 2" xfId="15452"/>
    <cellStyle name="Normal 32 2 2 3" xfId="15453"/>
    <cellStyle name="Normal 32 2 2 4" xfId="15454"/>
    <cellStyle name="Normal 32 2 2 4 2" xfId="18513"/>
    <cellStyle name="Normal 32 2 2 5" xfId="18512"/>
    <cellStyle name="Normal 32 2 3" xfId="15455"/>
    <cellStyle name="Normal 32 2 3 2" xfId="15456"/>
    <cellStyle name="Normal 32 2 4" xfId="15457"/>
    <cellStyle name="Normal 32 2 5" xfId="15458"/>
    <cellStyle name="Normal 32 2 5 2" xfId="18514"/>
    <cellStyle name="Normal 32 2 6" xfId="18511"/>
    <cellStyle name="Normal 32 3" xfId="15459"/>
    <cellStyle name="Normal 32 3 2" xfId="15460"/>
    <cellStyle name="Normal 32 4" xfId="15461"/>
    <cellStyle name="Normal 32 4 2" xfId="15462"/>
    <cellStyle name="Normal 32 5" xfId="15463"/>
    <cellStyle name="Normal 33" xfId="713"/>
    <cellStyle name="Normal 33 2" xfId="15464"/>
    <cellStyle name="Normal 33 2 2" xfId="15465"/>
    <cellStyle name="Normal 33 2 2 2" xfId="15466"/>
    <cellStyle name="Normal 33 2 2 2 2" xfId="15467"/>
    <cellStyle name="Normal 33 2 2 3" xfId="15468"/>
    <cellStyle name="Normal 33 2 2 4" xfId="15469"/>
    <cellStyle name="Normal 33 2 2 4 2" xfId="18517"/>
    <cellStyle name="Normal 33 2 2 5" xfId="18516"/>
    <cellStyle name="Normal 33 2 3" xfId="15470"/>
    <cellStyle name="Normal 33 2 3 2" xfId="15471"/>
    <cellStyle name="Normal 33 2 4" xfId="15472"/>
    <cellStyle name="Normal 33 2 5" xfId="15473"/>
    <cellStyle name="Normal 33 2 5 2" xfId="18518"/>
    <cellStyle name="Normal 33 2 6" xfId="18515"/>
    <cellStyle name="Normal 33 3" xfId="15474"/>
    <cellStyle name="Normal 33 3 2" xfId="15475"/>
    <cellStyle name="Normal 33 4" xfId="15476"/>
    <cellStyle name="Normal 33 4 2" xfId="15477"/>
    <cellStyle name="Normal 33 5" xfId="15478"/>
    <cellStyle name="Normal 34" xfId="714"/>
    <cellStyle name="Normal 34 2" xfId="15479"/>
    <cellStyle name="Normal 34 2 2" xfId="15480"/>
    <cellStyle name="Normal 34 2 2 2" xfId="15481"/>
    <cellStyle name="Normal 34 2 2 2 2" xfId="15482"/>
    <cellStyle name="Normal 34 2 2 3" xfId="15483"/>
    <cellStyle name="Normal 34 2 2 4" xfId="15484"/>
    <cellStyle name="Normal 34 2 2 4 2" xfId="18521"/>
    <cellStyle name="Normal 34 2 2 5" xfId="18520"/>
    <cellStyle name="Normal 34 2 3" xfId="15485"/>
    <cellStyle name="Normal 34 2 3 2" xfId="15486"/>
    <cellStyle name="Normal 34 2 4" xfId="15487"/>
    <cellStyle name="Normal 34 2 5" xfId="15488"/>
    <cellStyle name="Normal 34 2 5 2" xfId="18522"/>
    <cellStyle name="Normal 34 2 6" xfId="18519"/>
    <cellStyle name="Normal 34 3" xfId="15489"/>
    <cellStyle name="Normal 34 3 2" xfId="15490"/>
    <cellStyle name="Normal 34 4" xfId="15491"/>
    <cellStyle name="Normal 34 4 2" xfId="15492"/>
    <cellStyle name="Normal 34 5" xfId="15493"/>
    <cellStyle name="Normal 35" xfId="715"/>
    <cellStyle name="Normal 35 2" xfId="15494"/>
    <cellStyle name="Normal 35 2 2" xfId="15495"/>
    <cellStyle name="Normal 35 2 2 2" xfId="15496"/>
    <cellStyle name="Normal 35 2 2 2 2" xfId="15497"/>
    <cellStyle name="Normal 35 2 2 3" xfId="15498"/>
    <cellStyle name="Normal 35 2 2 4" xfId="15499"/>
    <cellStyle name="Normal 35 2 2 4 2" xfId="18525"/>
    <cellStyle name="Normal 35 2 2 5" xfId="18524"/>
    <cellStyle name="Normal 35 2 3" xfId="15500"/>
    <cellStyle name="Normal 35 2 3 2" xfId="15501"/>
    <cellStyle name="Normal 35 2 4" xfId="15502"/>
    <cellStyle name="Normal 35 2 5" xfId="15503"/>
    <cellStyle name="Normal 35 2 5 2" xfId="18526"/>
    <cellStyle name="Normal 35 2 6" xfId="18523"/>
    <cellStyle name="Normal 35 3" xfId="15504"/>
    <cellStyle name="Normal 35 3 2" xfId="15505"/>
    <cellStyle name="Normal 35 4" xfId="15506"/>
    <cellStyle name="Normal 35 4 2" xfId="15507"/>
    <cellStyle name="Normal 35 5" xfId="15508"/>
    <cellStyle name="Normal 36" xfId="716"/>
    <cellStyle name="Normal 36 2" xfId="15509"/>
    <cellStyle name="Normal 36 2 2" xfId="15510"/>
    <cellStyle name="Normal 36 2 2 2" xfId="15511"/>
    <cellStyle name="Normal 36 2 2 2 2" xfId="15512"/>
    <cellStyle name="Normal 36 2 2 3" xfId="15513"/>
    <cellStyle name="Normal 36 2 2 4" xfId="15514"/>
    <cellStyle name="Normal 36 2 2 4 2" xfId="18529"/>
    <cellStyle name="Normal 36 2 2 5" xfId="18528"/>
    <cellStyle name="Normal 36 2 3" xfId="15515"/>
    <cellStyle name="Normal 36 2 3 2" xfId="15516"/>
    <cellStyle name="Normal 36 2 4" xfId="15517"/>
    <cellStyle name="Normal 36 2 5" xfId="15518"/>
    <cellStyle name="Normal 36 2 5 2" xfId="18530"/>
    <cellStyle name="Normal 36 2 6" xfId="18527"/>
    <cellStyle name="Normal 36 3" xfId="15519"/>
    <cellStyle name="Normal 36 3 2" xfId="15520"/>
    <cellStyle name="Normal 36 4" xfId="15521"/>
    <cellStyle name="Normal 36 4 2" xfId="15522"/>
    <cellStyle name="Normal 36 5" xfId="15523"/>
    <cellStyle name="Normal 37" xfId="717"/>
    <cellStyle name="Normal 37 2" xfId="15524"/>
    <cellStyle name="Normal 37 2 2" xfId="15525"/>
    <cellStyle name="Normal 37 2 2 2" xfId="15526"/>
    <cellStyle name="Normal 37 2 2 2 2" xfId="15527"/>
    <cellStyle name="Normal 37 2 2 3" xfId="15528"/>
    <cellStyle name="Normal 37 2 3" xfId="15529"/>
    <cellStyle name="Normal 37 2 3 2" xfId="15530"/>
    <cellStyle name="Normal 37 2 4" xfId="15531"/>
    <cellStyle name="Normal 37 3" xfId="15532"/>
    <cellStyle name="Normal 37 3 2" xfId="15533"/>
    <cellStyle name="Normal 37 3 3" xfId="15534"/>
    <cellStyle name="Normal 37 3 3 2" xfId="18532"/>
    <cellStyle name="Normal 37 3 4" xfId="18531"/>
    <cellStyle name="Normal 37 4" xfId="15535"/>
    <cellStyle name="Normal 37 4 2" xfId="15536"/>
    <cellStyle name="Normal 37 5" xfId="15537"/>
    <cellStyle name="Normal 37 6" xfId="15538"/>
    <cellStyle name="Normal 37 6 2" xfId="18533"/>
    <cellStyle name="Normal 38" xfId="718"/>
    <cellStyle name="Normal 38 2" xfId="15539"/>
    <cellStyle name="Normal 38 2 2" xfId="15540"/>
    <cellStyle name="Normal 38 2 2 2" xfId="15541"/>
    <cellStyle name="Normal 38 2 2 2 2" xfId="15542"/>
    <cellStyle name="Normal 38 2 2 3" xfId="15543"/>
    <cellStyle name="Normal 38 2 3" xfId="15544"/>
    <cellStyle name="Normal 38 2 3 2" xfId="15545"/>
    <cellStyle name="Normal 38 2 4" xfId="15546"/>
    <cellStyle name="Normal 38 3" xfId="15547"/>
    <cellStyle name="Normal 38 3 2" xfId="15548"/>
    <cellStyle name="Normal 38 3 3" xfId="15549"/>
    <cellStyle name="Normal 38 3 3 2" xfId="18535"/>
    <cellStyle name="Normal 38 3 4" xfId="18534"/>
    <cellStyle name="Normal 38 4" xfId="15550"/>
    <cellStyle name="Normal 38 4 2" xfId="15551"/>
    <cellStyle name="Normal 38 5" xfId="15552"/>
    <cellStyle name="Normal 38 6" xfId="15553"/>
    <cellStyle name="Normal 38 6 2" xfId="18536"/>
    <cellStyle name="Normal 39" xfId="719"/>
    <cellStyle name="Normal 39 2" xfId="15554"/>
    <cellStyle name="Normal 39 2 2" xfId="15555"/>
    <cellStyle name="Normal 39 2 2 2" xfId="15556"/>
    <cellStyle name="Normal 39 2 2 2 2" xfId="15557"/>
    <cellStyle name="Normal 39 2 2 3" xfId="15558"/>
    <cellStyle name="Normal 39 2 3" xfId="15559"/>
    <cellStyle name="Normal 39 2 3 2" xfId="15560"/>
    <cellStyle name="Normal 39 2 4" xfId="15561"/>
    <cellStyle name="Normal 39 3" xfId="15562"/>
    <cellStyle name="Normal 39 3 2" xfId="15563"/>
    <cellStyle name="Normal 39 3 3" xfId="15564"/>
    <cellStyle name="Normal 39 3 3 2" xfId="18538"/>
    <cellStyle name="Normal 39 3 4" xfId="18537"/>
    <cellStyle name="Normal 39 4" xfId="15565"/>
    <cellStyle name="Normal 39 4 2" xfId="15566"/>
    <cellStyle name="Normal 39 5" xfId="15567"/>
    <cellStyle name="Normal 39 6" xfId="15568"/>
    <cellStyle name="Normal 39 6 2" xfId="18539"/>
    <cellStyle name="Normal 4" xfId="11"/>
    <cellStyle name="Normal 4 10" xfId="20884"/>
    <cellStyle name="Normal 4 11" xfId="20885"/>
    <cellStyle name="Normal 4 12" xfId="20886"/>
    <cellStyle name="Normal 4 13" xfId="20887"/>
    <cellStyle name="Normal 4 14" xfId="20888"/>
    <cellStyle name="Normal 4 2" xfId="720"/>
    <cellStyle name="Normal 4 2 2" xfId="721"/>
    <cellStyle name="Normal 4 2 2 2" xfId="722"/>
    <cellStyle name="Normal 4 2 2 2 2" xfId="15569"/>
    <cellStyle name="Normal 4 2 2 2 3" xfId="20889"/>
    <cellStyle name="Normal 4 2 2 3" xfId="15570"/>
    <cellStyle name="Normal 4 2 2 3 2" xfId="15571"/>
    <cellStyle name="Normal 4 2 2 4" xfId="15572"/>
    <cellStyle name="Normal 4 2 2 5" xfId="20890"/>
    <cellStyle name="Normal 4 2 3" xfId="723"/>
    <cellStyle name="Normal 4 2 3 2" xfId="15573"/>
    <cellStyle name="Normal 4 2 3 2 2" xfId="15574"/>
    <cellStyle name="Normal 4 2 3 3" xfId="15575"/>
    <cellStyle name="Normal 4 2 3 4" xfId="20891"/>
    <cellStyle name="Normal 4 2 4" xfId="724"/>
    <cellStyle name="Normal 4 2 4 2" xfId="15576"/>
    <cellStyle name="Normal 4 2 4 2 2" xfId="15577"/>
    <cellStyle name="Normal 4 2 4 3" xfId="15578"/>
    <cellStyle name="Normal 4 2 4 4" xfId="20892"/>
    <cellStyle name="Normal 4 2 5" xfId="15579"/>
    <cellStyle name="Normal 4 2 5 2" xfId="15580"/>
    <cellStyle name="Normal 4 2 6" xfId="15581"/>
    <cellStyle name="Normal 4 2 6 2" xfId="15582"/>
    <cellStyle name="Normal 4 2 7" xfId="15583"/>
    <cellStyle name="Normal 4 2 7 2" xfId="15584"/>
    <cellStyle name="Normal 4 2 8" xfId="15585"/>
    <cellStyle name="Normal 4 2 9" xfId="20893"/>
    <cellStyle name="Normal 4 3" xfId="725"/>
    <cellStyle name="Normal 4 3 2" xfId="726"/>
    <cellStyle name="Normal 4 3 2 2" xfId="727"/>
    <cellStyle name="Normal 4 3 2 2 2" xfId="20894"/>
    <cellStyle name="Normal 4 3 2 2 3" xfId="20895"/>
    <cellStyle name="Normal 4 3 2 3" xfId="20896"/>
    <cellStyle name="Normal 4 3 2 4" xfId="20897"/>
    <cellStyle name="Normal 4 3 2 5" xfId="20898"/>
    <cellStyle name="Normal 4 3 3" xfId="728"/>
    <cellStyle name="Normal 4 3 3 2" xfId="15586"/>
    <cellStyle name="Normal 4 3 3 3" xfId="20899"/>
    <cellStyle name="Normal 4 3 3 4" xfId="20900"/>
    <cellStyle name="Normal 4 3 4" xfId="15587"/>
    <cellStyle name="Normal 4 3 4 2" xfId="15588"/>
    <cellStyle name="Normal 4 3 5" xfId="15589"/>
    <cellStyle name="Normal 4 3 6" xfId="20901"/>
    <cellStyle name="Normal 4 3 7" xfId="20902"/>
    <cellStyle name="Normal 4 4" xfId="729"/>
    <cellStyle name="Normal 4 4 2" xfId="730"/>
    <cellStyle name="Normal 4 4 2 2" xfId="731"/>
    <cellStyle name="Normal 4 4 2 2 2" xfId="20903"/>
    <cellStyle name="Normal 4 4 2 2 3" xfId="20904"/>
    <cellStyle name="Normal 4 4 2 3" xfId="20905"/>
    <cellStyle name="Normal 4 4 2 4" xfId="20906"/>
    <cellStyle name="Normal 4 4 2 5" xfId="20907"/>
    <cellStyle name="Normal 4 4 3" xfId="732"/>
    <cellStyle name="Normal 4 4 3 2" xfId="15590"/>
    <cellStyle name="Normal 4 4 3 3" xfId="20908"/>
    <cellStyle name="Normal 4 4 4" xfId="15591"/>
    <cellStyle name="Normal 4 4 4 2" xfId="20909"/>
    <cellStyle name="Normal 4 4 5" xfId="20910"/>
    <cellStyle name="Normal 4 4 6" xfId="20911"/>
    <cellStyle name="Normal 4 4 7" xfId="20912"/>
    <cellStyle name="Normal 4 4 8" xfId="20913"/>
    <cellStyle name="Normal 4 5" xfId="733"/>
    <cellStyle name="Normal 4 5 2" xfId="734"/>
    <cellStyle name="Normal 4 5 2 2" xfId="20914"/>
    <cellStyle name="Normal 4 5 2 3" xfId="20915"/>
    <cellStyle name="Normal 4 5 3" xfId="20916"/>
    <cellStyle name="Normal 4 5 4" xfId="20917"/>
    <cellStyle name="Normal 4 5 5" xfId="20918"/>
    <cellStyle name="Normal 4 6" xfId="735"/>
    <cellStyle name="Normal 4 6 2" xfId="15592"/>
    <cellStyle name="Normal 4 6 3" xfId="20919"/>
    <cellStyle name="Normal 4 6 4" xfId="20920"/>
    <cellStyle name="Normal 4 7" xfId="736"/>
    <cellStyle name="Normal 4 7 2" xfId="20921"/>
    <cellStyle name="Normal 4 7 3" xfId="20922"/>
    <cellStyle name="Normal 4 7 4" xfId="20923"/>
    <cellStyle name="Normal 4 8" xfId="737"/>
    <cellStyle name="Normal 4 8 2" xfId="20924"/>
    <cellStyle name="Normal 4 9" xfId="20925"/>
    <cellStyle name="Normal 4 9 2" xfId="20926"/>
    <cellStyle name="Normal 4_ Price Inputs" xfId="15593"/>
    <cellStyle name="Normal 40" xfId="738"/>
    <cellStyle name="Normal 40 2" xfId="15594"/>
    <cellStyle name="Normal 40 2 2" xfId="15595"/>
    <cellStyle name="Normal 40 2 2 2" xfId="15596"/>
    <cellStyle name="Normal 40 2 2 2 2" xfId="15597"/>
    <cellStyle name="Normal 40 2 2 3" xfId="15598"/>
    <cellStyle name="Normal 40 2 3" xfId="15599"/>
    <cellStyle name="Normal 40 2 3 2" xfId="15600"/>
    <cellStyle name="Normal 40 2 4" xfId="15601"/>
    <cellStyle name="Normal 40 3" xfId="15602"/>
    <cellStyle name="Normal 40 3 2" xfId="15603"/>
    <cellStyle name="Normal 40 3 2 2" xfId="15604"/>
    <cellStyle name="Normal 40 3 3" xfId="15605"/>
    <cellStyle name="Normal 40 3 4" xfId="15606"/>
    <cellStyle name="Normal 40 3 4 2" xfId="18541"/>
    <cellStyle name="Normal 40 3 5" xfId="18540"/>
    <cellStyle name="Normal 40 4" xfId="15607"/>
    <cellStyle name="Normal 40 5" xfId="15608"/>
    <cellStyle name="Normal 40 5 2" xfId="18542"/>
    <cellStyle name="Normal 41" xfId="739"/>
    <cellStyle name="Normal 41 2" xfId="15609"/>
    <cellStyle name="Normal 41 2 2" xfId="15610"/>
    <cellStyle name="Normal 41 2 2 2" xfId="15611"/>
    <cellStyle name="Normal 41 2 3" xfId="15612"/>
    <cellStyle name="Normal 41 2 3 2" xfId="15613"/>
    <cellStyle name="Normal 41 2 4" xfId="15614"/>
    <cellStyle name="Normal 41 3" xfId="15615"/>
    <cellStyle name="Normal 41 3 2" xfId="15616"/>
    <cellStyle name="Normal 41 4" xfId="15617"/>
    <cellStyle name="Normal 42" xfId="740"/>
    <cellStyle name="Normal 42 2" xfId="15618"/>
    <cellStyle name="Normal 42 2 2" xfId="15619"/>
    <cellStyle name="Normal 42 2 2 2" xfId="15620"/>
    <cellStyle name="Normal 42 2 3" xfId="15621"/>
    <cellStyle name="Normal 42 2 3 2" xfId="15622"/>
    <cellStyle name="Normal 42 2 4" xfId="15623"/>
    <cellStyle name="Normal 42 3" xfId="15624"/>
    <cellStyle name="Normal 42 3 2" xfId="15625"/>
    <cellStyle name="Normal 42 3 2 2" xfId="15626"/>
    <cellStyle name="Normal 42 3 3" xfId="15627"/>
    <cellStyle name="Normal 42 4" xfId="15628"/>
    <cellStyle name="Normal 42 4 2" xfId="20927"/>
    <cellStyle name="Normal 42 5" xfId="18321"/>
    <cellStyle name="Normal 42 6" xfId="20928"/>
    <cellStyle name="Normal 42 7" xfId="20929"/>
    <cellStyle name="Normal 42 8" xfId="20930"/>
    <cellStyle name="Normal 43" xfId="741"/>
    <cellStyle name="Normal 43 2" xfId="15629"/>
    <cellStyle name="Normal 43 2 2" xfId="15630"/>
    <cellStyle name="Normal 43 2 2 2" xfId="15631"/>
    <cellStyle name="Normal 43 2 3" xfId="15632"/>
    <cellStyle name="Normal 43 2 3 2" xfId="15633"/>
    <cellStyle name="Normal 43 2 4" xfId="15634"/>
    <cellStyle name="Normal 43 3" xfId="15635"/>
    <cellStyle name="Normal 43 3 2" xfId="15636"/>
    <cellStyle name="Normal 43 3 2 2" xfId="15637"/>
    <cellStyle name="Normal 43 3 3" xfId="15638"/>
    <cellStyle name="Normal 43 3 4" xfId="15639"/>
    <cellStyle name="Normal 43 3 4 2" xfId="18544"/>
    <cellStyle name="Normal 43 3 5" xfId="18543"/>
    <cellStyle name="Normal 43 4" xfId="15640"/>
    <cellStyle name="Normal 43 4 2" xfId="15641"/>
    <cellStyle name="Normal 43 5" xfId="15642"/>
    <cellStyle name="Normal 43 6" xfId="15643"/>
    <cellStyle name="Normal 43 6 2" xfId="18545"/>
    <cellStyle name="Normal 43 7" xfId="18322"/>
    <cellStyle name="Normal 44" xfId="742"/>
    <cellStyle name="Normal 44 2" xfId="15644"/>
    <cellStyle name="Normal 44 2 2" xfId="15645"/>
    <cellStyle name="Normal 44 2 2 2" xfId="15646"/>
    <cellStyle name="Normal 44 2 3" xfId="15647"/>
    <cellStyle name="Normal 44 2 3 2" xfId="15648"/>
    <cellStyle name="Normal 44 2 4" xfId="15649"/>
    <cellStyle name="Normal 44 3" xfId="15650"/>
    <cellStyle name="Normal 44 3 2" xfId="15651"/>
    <cellStyle name="Normal 44 4" xfId="15652"/>
    <cellStyle name="Normal 44 4 2" xfId="15653"/>
    <cellStyle name="Normal 44 5" xfId="15654"/>
    <cellStyle name="Normal 44 6" xfId="18323"/>
    <cellStyle name="Normal 44 7" xfId="20931"/>
    <cellStyle name="Normal 44 8" xfId="20932"/>
    <cellStyle name="Normal 45" xfId="743"/>
    <cellStyle name="Normal 45 10" xfId="20933"/>
    <cellStyle name="Normal 45 2" xfId="15655"/>
    <cellStyle name="Normal 45 2 2" xfId="15656"/>
    <cellStyle name="Normal 45 2 2 2" xfId="15657"/>
    <cellStyle name="Normal 45 2 3" xfId="15658"/>
    <cellStyle name="Normal 45 2 3 2" xfId="15659"/>
    <cellStyle name="Normal 45 2 4" xfId="15660"/>
    <cellStyle name="Normal 45 3" xfId="15661"/>
    <cellStyle name="Normal 45 3 2" xfId="15662"/>
    <cellStyle name="Normal 45 3 3" xfId="20934"/>
    <cellStyle name="Normal 45 3 4" xfId="20935"/>
    <cellStyle name="Normal 45 4" xfId="15663"/>
    <cellStyle name="Normal 45 4 2" xfId="15664"/>
    <cellStyle name="Normal 45 4 3" xfId="20936"/>
    <cellStyle name="Normal 45 5" xfId="15665"/>
    <cellStyle name="Normal 45 5 2" xfId="15666"/>
    <cellStyle name="Normal 45 6" xfId="15667"/>
    <cellStyle name="Normal 45 7" xfId="18324"/>
    <cellStyle name="Normal 45 8" xfId="20937"/>
    <cellStyle name="Normal 45 9" xfId="20938"/>
    <cellStyle name="Normal 46" xfId="889"/>
    <cellStyle name="Normal 46 2" xfId="15668"/>
    <cellStyle name="Normal 46 2 2" xfId="15669"/>
    <cellStyle name="Normal 46 2 2 2" xfId="15670"/>
    <cellStyle name="Normal 46 2 3" xfId="15671"/>
    <cellStyle name="Normal 46 2 3 2" xfId="15672"/>
    <cellStyle name="Normal 46 2 4" xfId="15673"/>
    <cellStyle name="Normal 46 3" xfId="15674"/>
    <cellStyle name="Normal 46 3 2" xfId="15675"/>
    <cellStyle name="Normal 46 3 3" xfId="20939"/>
    <cellStyle name="Normal 46 3 4" xfId="20940"/>
    <cellStyle name="Normal 46 4" xfId="15676"/>
    <cellStyle name="Normal 46 4 2" xfId="15677"/>
    <cellStyle name="Normal 46 4 3" xfId="20941"/>
    <cellStyle name="Normal 46 5" xfId="15678"/>
    <cellStyle name="Normal 46 5 2" xfId="15679"/>
    <cellStyle name="Normal 46 6" xfId="15680"/>
    <cellStyle name="Normal 46 7" xfId="20942"/>
    <cellStyle name="Normal 46 8" xfId="20943"/>
    <cellStyle name="Normal 46 9" xfId="20944"/>
    <cellStyle name="Normal 47" xfId="15681"/>
    <cellStyle name="Normal 47 2" xfId="15682"/>
    <cellStyle name="Normal 47 2 2" xfId="15683"/>
    <cellStyle name="Normal 47 2 2 2" xfId="15684"/>
    <cellStyle name="Normal 47 2 3" xfId="15685"/>
    <cellStyle name="Normal 47 2 3 2" xfId="15686"/>
    <cellStyle name="Normal 47 2 4" xfId="15687"/>
    <cellStyle name="Normal 47 2 5" xfId="15688"/>
    <cellStyle name="Normal 47 2 5 2" xfId="18547"/>
    <cellStyle name="Normal 47 2 6" xfId="18546"/>
    <cellStyle name="Normal 47 3" xfId="15689"/>
    <cellStyle name="Normal 47 3 2" xfId="15690"/>
    <cellStyle name="Normal 47 3 2 2" xfId="15691"/>
    <cellStyle name="Normal 47 3 3" xfId="15692"/>
    <cellStyle name="Normal 47 3 4" xfId="20945"/>
    <cellStyle name="Normal 47 4" xfId="15693"/>
    <cellStyle name="Normal 47 4 2" xfId="15694"/>
    <cellStyle name="Normal 47 4 3" xfId="20946"/>
    <cellStyle name="Normal 47 5" xfId="15695"/>
    <cellStyle name="Normal 47 5 2" xfId="15696"/>
    <cellStyle name="Normal 47 6" xfId="15697"/>
    <cellStyle name="Normal 47 7" xfId="20947"/>
    <cellStyle name="Normal 47 8" xfId="20948"/>
    <cellStyle name="Normal 47 9" xfId="20949"/>
    <cellStyle name="Normal 48" xfId="15698"/>
    <cellStyle name="Normal 48 2" xfId="15699"/>
    <cellStyle name="Normal 48 2 2" xfId="15700"/>
    <cellStyle name="Normal 48 2 2 2" xfId="15701"/>
    <cellStyle name="Normal 48 2 3" xfId="15702"/>
    <cellStyle name="Normal 48 2 3 2" xfId="15703"/>
    <cellStyle name="Normal 48 2 4" xfId="15704"/>
    <cellStyle name="Normal 48 3" xfId="15705"/>
    <cellStyle name="Normal 48 3 2" xfId="15706"/>
    <cellStyle name="Normal 48 4" xfId="15707"/>
    <cellStyle name="Normal 48 4 2" xfId="15708"/>
    <cellStyle name="Normal 48 5" xfId="15709"/>
    <cellStyle name="Normal 48 6" xfId="20950"/>
    <cellStyle name="Normal 48 7" xfId="20951"/>
    <cellStyle name="Normal 48 8" xfId="20952"/>
    <cellStyle name="Normal 49" xfId="15710"/>
    <cellStyle name="Normal 49 2" xfId="15711"/>
    <cellStyle name="Normal 49 2 2" xfId="15712"/>
    <cellStyle name="Normal 49 2 2 2" xfId="15713"/>
    <cellStyle name="Normal 49 2 3" xfId="15714"/>
    <cellStyle name="Normal 49 3" xfId="15715"/>
    <cellStyle name="Normal 49 3 2" xfId="15716"/>
    <cellStyle name="Normal 49 4" xfId="15717"/>
    <cellStyle name="Normal 49 4 2" xfId="15718"/>
    <cellStyle name="Normal 49 5" xfId="15719"/>
    <cellStyle name="Normal 49 5 2" xfId="15720"/>
    <cellStyle name="Normal 49 6" xfId="15721"/>
    <cellStyle name="Normal 49 7" xfId="20953"/>
    <cellStyle name="Normal 49 8" xfId="20954"/>
    <cellStyle name="Normal 5" xfId="744"/>
    <cellStyle name="Normal 5 10" xfId="20955"/>
    <cellStyle name="Normal 5 11" xfId="20956"/>
    <cellStyle name="Normal 5 12" xfId="20957"/>
    <cellStyle name="Normal 5 13" xfId="20958"/>
    <cellStyle name="Normal 5 2" xfId="745"/>
    <cellStyle name="Normal 5 2 2" xfId="746"/>
    <cellStyle name="Normal 5 2 2 2" xfId="15722"/>
    <cellStyle name="Normal 5 2 2 3" xfId="18327"/>
    <cellStyle name="Normal 5 2 2 4" xfId="20959"/>
    <cellStyle name="Normal 5 2 2 5" xfId="20960"/>
    <cellStyle name="Normal 5 2 3" xfId="15723"/>
    <cellStyle name="Normal 5 2 3 2" xfId="15724"/>
    <cellStyle name="Normal 5 2 3 3" xfId="20961"/>
    <cellStyle name="Normal 5 2 4" xfId="15725"/>
    <cellStyle name="Normal 5 2 4 2" xfId="20962"/>
    <cellStyle name="Normal 5 2 5" xfId="18326"/>
    <cellStyle name="Normal 5 2 6" xfId="20963"/>
    <cellStyle name="Normal 5 2 7" xfId="20964"/>
    <cellStyle name="Normal 5 2 8" xfId="20965"/>
    <cellStyle name="Normal 5 2 9" xfId="20966"/>
    <cellStyle name="Normal 5 3" xfId="747"/>
    <cellStyle name="Normal 5 3 2" xfId="748"/>
    <cellStyle name="Normal 5 3 2 2" xfId="15726"/>
    <cellStyle name="Normal 5 3 3" xfId="15727"/>
    <cellStyle name="Normal 5 4" xfId="749"/>
    <cellStyle name="Normal 5 4 2" xfId="15728"/>
    <cellStyle name="Normal 5 4 2 2" xfId="20967"/>
    <cellStyle name="Normal 5 4 3" xfId="18328"/>
    <cellStyle name="Normal 5 4 3 2" xfId="20968"/>
    <cellStyle name="Normal 5 4 4" xfId="20969"/>
    <cellStyle name="Normal 5 4 5" xfId="20970"/>
    <cellStyle name="Normal 5 4 6" xfId="20971"/>
    <cellStyle name="Normal 5 4 7" xfId="20972"/>
    <cellStyle name="Normal 5 5" xfId="15729"/>
    <cellStyle name="Normal 5 5 2" xfId="20973"/>
    <cellStyle name="Normal 5 5 2 2" xfId="20974"/>
    <cellStyle name="Normal 5 5 3" xfId="20975"/>
    <cellStyle name="Normal 5 5 3 2" xfId="20976"/>
    <cellStyle name="Normal 5 5 4" xfId="20977"/>
    <cellStyle name="Normal 5 5 5" xfId="20978"/>
    <cellStyle name="Normal 5 5 6" xfId="20979"/>
    <cellStyle name="Normal 5 6" xfId="18325"/>
    <cellStyle name="Normal 5 6 2" xfId="20980"/>
    <cellStyle name="Normal 5 6 2 2" xfId="20981"/>
    <cellStyle name="Normal 5 6 3" xfId="20982"/>
    <cellStyle name="Normal 5 6 4" xfId="20983"/>
    <cellStyle name="Normal 5 6 5" xfId="20984"/>
    <cellStyle name="Normal 5 7" xfId="20985"/>
    <cellStyle name="Normal 5 7 2" xfId="20986"/>
    <cellStyle name="Normal 5 8" xfId="20987"/>
    <cellStyle name="Normal 5 9" xfId="20988"/>
    <cellStyle name="Normal 50" xfId="15730"/>
    <cellStyle name="Normal 50 2" xfId="15731"/>
    <cellStyle name="Normal 50 2 2" xfId="15732"/>
    <cellStyle name="Normal 50 2 2 2" xfId="15733"/>
    <cellStyle name="Normal 50 2 3" xfId="15734"/>
    <cellStyle name="Normal 50 2 4" xfId="15735"/>
    <cellStyle name="Normal 50 2 4 2" xfId="18549"/>
    <cellStyle name="Normal 50 2 5" xfId="18548"/>
    <cellStyle name="Normal 50 3" xfId="15736"/>
    <cellStyle name="Normal 50 3 2" xfId="15737"/>
    <cellStyle name="Normal 50 4" xfId="15738"/>
    <cellStyle name="Normal 50 4 2" xfId="15739"/>
    <cellStyle name="Normal 50 5" xfId="15740"/>
    <cellStyle name="Normal 50 5 2" xfId="15741"/>
    <cellStyle name="Normal 50 6" xfId="15742"/>
    <cellStyle name="Normal 50 7" xfId="20989"/>
    <cellStyle name="Normal 51" xfId="15743"/>
    <cellStyle name="Normal 51 2" xfId="15744"/>
    <cellStyle name="Normal 51 2 2" xfId="15745"/>
    <cellStyle name="Normal 51 2 2 2" xfId="15746"/>
    <cellStyle name="Normal 51 2 3" xfId="15747"/>
    <cellStyle name="Normal 51 3" xfId="15748"/>
    <cellStyle name="Normal 51 3 2" xfId="15749"/>
    <cellStyle name="Normal 51 4" xfId="15750"/>
    <cellStyle name="Normal 51 4 2" xfId="15751"/>
    <cellStyle name="Normal 51 5" xfId="15752"/>
    <cellStyle name="Normal 51 6" xfId="20990"/>
    <cellStyle name="Normal 52" xfId="15753"/>
    <cellStyle name="Normal 52 2" xfId="15754"/>
    <cellStyle name="Normal 52 2 2" xfId="15755"/>
    <cellStyle name="Normal 52 2 2 2" xfId="15756"/>
    <cellStyle name="Normal 52 2 3" xfId="15757"/>
    <cellStyle name="Normal 52 3" xfId="15758"/>
    <cellStyle name="Normal 52 3 2" xfId="15759"/>
    <cellStyle name="Normal 52 4" xfId="15760"/>
    <cellStyle name="Normal 52 4 2" xfId="15761"/>
    <cellStyle name="Normal 52 5" xfId="15762"/>
    <cellStyle name="Normal 53" xfId="15763"/>
    <cellStyle name="Normal 53 2" xfId="15764"/>
    <cellStyle name="Normal 53 2 2" xfId="15765"/>
    <cellStyle name="Normal 53 2 2 2" xfId="15766"/>
    <cellStyle name="Normal 53 2 3" xfId="15767"/>
    <cellStyle name="Normal 53 3" xfId="15768"/>
    <cellStyle name="Normal 53 3 2" xfId="15769"/>
    <cellStyle name="Normal 53 4" xfId="15770"/>
    <cellStyle name="Normal 53 4 2" xfId="15771"/>
    <cellStyle name="Normal 53 5" xfId="15772"/>
    <cellStyle name="Normal 54" xfId="15773"/>
    <cellStyle name="Normal 54 2" xfId="15774"/>
    <cellStyle name="Normal 54 2 2" xfId="15775"/>
    <cellStyle name="Normal 54 2 2 2" xfId="15776"/>
    <cellStyle name="Normal 54 2 3" xfId="15777"/>
    <cellStyle name="Normal 54 3" xfId="15778"/>
    <cellStyle name="Normal 54 3 2" xfId="15779"/>
    <cellStyle name="Normal 54 4" xfId="15780"/>
    <cellStyle name="Normal 54 4 2" xfId="15781"/>
    <cellStyle name="Normal 54 5" xfId="15782"/>
    <cellStyle name="Normal 55" xfId="15783"/>
    <cellStyle name="Normal 55 2" xfId="15784"/>
    <cellStyle name="Normal 55 2 2" xfId="15785"/>
    <cellStyle name="Normal 55 2 2 2" xfId="15786"/>
    <cellStyle name="Normal 55 2 3" xfId="15787"/>
    <cellStyle name="Normal 55 3" xfId="15788"/>
    <cellStyle name="Normal 55 3 2" xfId="15789"/>
    <cellStyle name="Normal 55 4" xfId="15790"/>
    <cellStyle name="Normal 55 4 2" xfId="15791"/>
    <cellStyle name="Normal 55 5" xfId="15792"/>
    <cellStyle name="Normal 56" xfId="15793"/>
    <cellStyle name="Normal 56 2" xfId="15794"/>
    <cellStyle name="Normal 56 2 2" xfId="15795"/>
    <cellStyle name="Normal 56 2 2 2" xfId="15796"/>
    <cellStyle name="Normal 56 2 3" xfId="15797"/>
    <cellStyle name="Normal 56 3" xfId="15798"/>
    <cellStyle name="Normal 56 3 2" xfId="15799"/>
    <cellStyle name="Normal 56 4" xfId="15800"/>
    <cellStyle name="Normal 56 4 2" xfId="15801"/>
    <cellStyle name="Normal 56 5" xfId="15802"/>
    <cellStyle name="Normal 57" xfId="15803"/>
    <cellStyle name="Normal 57 2" xfId="15804"/>
    <cellStyle name="Normal 57 2 2" xfId="15805"/>
    <cellStyle name="Normal 57 2 2 2" xfId="15806"/>
    <cellStyle name="Normal 57 2 3" xfId="15807"/>
    <cellStyle name="Normal 57 3" xfId="15808"/>
    <cellStyle name="Normal 57 3 2" xfId="15809"/>
    <cellStyle name="Normal 57 4" xfId="15810"/>
    <cellStyle name="Normal 57 4 2" xfId="15811"/>
    <cellStyle name="Normal 57 5" xfId="15812"/>
    <cellStyle name="Normal 58" xfId="15813"/>
    <cellStyle name="Normal 58 2" xfId="15814"/>
    <cellStyle name="Normal 58 2 2" xfId="15815"/>
    <cellStyle name="Normal 58 2 2 2" xfId="15816"/>
    <cellStyle name="Normal 58 2 3" xfId="15817"/>
    <cellStyle name="Normal 58 3" xfId="15818"/>
    <cellStyle name="Normal 58 3 2" xfId="15819"/>
    <cellStyle name="Normal 58 4" xfId="15820"/>
    <cellStyle name="Normal 58 4 2" xfId="15821"/>
    <cellStyle name="Normal 58 5" xfId="15822"/>
    <cellStyle name="Normal 59" xfId="15823"/>
    <cellStyle name="Normal 59 2" xfId="15824"/>
    <cellStyle name="Normal 59 2 2" xfId="15825"/>
    <cellStyle name="Normal 59 2 2 2" xfId="15826"/>
    <cellStyle name="Normal 59 2 3" xfId="15827"/>
    <cellStyle name="Normal 59 3" xfId="15828"/>
    <cellStyle name="Normal 59 3 2" xfId="15829"/>
    <cellStyle name="Normal 59 4" xfId="15830"/>
    <cellStyle name="Normal 59 4 2" xfId="15831"/>
    <cellStyle name="Normal 59 5" xfId="15832"/>
    <cellStyle name="Normal 6" xfId="750"/>
    <cellStyle name="Normal 6 10" xfId="20991"/>
    <cellStyle name="Normal 6 11" xfId="20992"/>
    <cellStyle name="Normal 6 12" xfId="20993"/>
    <cellStyle name="Normal 6 2" xfId="751"/>
    <cellStyle name="Normal 6 2 2" xfId="752"/>
    <cellStyle name="Normal 6 2 2 2" xfId="753"/>
    <cellStyle name="Normal 6 2 2 2 2" xfId="20994"/>
    <cellStyle name="Normal 6 2 2 2 3" xfId="20995"/>
    <cellStyle name="Normal 6 2 2 3" xfId="20996"/>
    <cellStyle name="Normal 6 2 2 4" xfId="20997"/>
    <cellStyle name="Normal 6 2 2 5" xfId="20998"/>
    <cellStyle name="Normal 6 2 3" xfId="754"/>
    <cellStyle name="Normal 6 2 3 2" xfId="15833"/>
    <cellStyle name="Normal 6 2 3 3" xfId="20999"/>
    <cellStyle name="Normal 6 2 3 4" xfId="21000"/>
    <cellStyle name="Normal 6 2 4" xfId="755"/>
    <cellStyle name="Normal 6 2 4 2" xfId="15834"/>
    <cellStyle name="Normal 6 2 4 3" xfId="21001"/>
    <cellStyle name="Normal 6 2 4 4" xfId="21002"/>
    <cellStyle name="Normal 6 2 5" xfId="15835"/>
    <cellStyle name="Normal 6 2 5 2" xfId="21003"/>
    <cellStyle name="Normal 6 2 6" xfId="21004"/>
    <cellStyle name="Normal 6 2 7" xfId="21005"/>
    <cellStyle name="Normal 6 2 8" xfId="21006"/>
    <cellStyle name="Normal 6 2 9" xfId="21007"/>
    <cellStyle name="Normal 6 3" xfId="756"/>
    <cellStyle name="Normal 6 3 2" xfId="757"/>
    <cellStyle name="Normal 6 3 2 2" xfId="758"/>
    <cellStyle name="Normal 6 3 2 2 2" xfId="21008"/>
    <cellStyle name="Normal 6 3 2 2 3" xfId="21009"/>
    <cellStyle name="Normal 6 3 2 3" xfId="21010"/>
    <cellStyle name="Normal 6 3 2 4" xfId="21011"/>
    <cellStyle name="Normal 6 3 2 5" xfId="21012"/>
    <cellStyle name="Normal 6 3 3" xfId="759"/>
    <cellStyle name="Normal 6 3 3 2" xfId="15836"/>
    <cellStyle name="Normal 6 3 3 3" xfId="21013"/>
    <cellStyle name="Normal 6 3 3 4" xfId="21014"/>
    <cellStyle name="Normal 6 3 4" xfId="15837"/>
    <cellStyle name="Normal 6 3 4 2" xfId="21015"/>
    <cellStyle name="Normal 6 3 5" xfId="21016"/>
    <cellStyle name="Normal 6 3 6" xfId="21017"/>
    <cellStyle name="Normal 6 3 7" xfId="21018"/>
    <cellStyle name="Normal 6 4" xfId="760"/>
    <cellStyle name="Normal 6 4 2" xfId="761"/>
    <cellStyle name="Normal 6 4 2 2" xfId="762"/>
    <cellStyle name="Normal 6 4 2 2 2" xfId="21019"/>
    <cellStyle name="Normal 6 4 2 2 3" xfId="21020"/>
    <cellStyle name="Normal 6 4 2 3" xfId="21021"/>
    <cellStyle name="Normal 6 4 2 4" xfId="21022"/>
    <cellStyle name="Normal 6 4 2 5" xfId="21023"/>
    <cellStyle name="Normal 6 4 3" xfId="763"/>
    <cellStyle name="Normal 6 4 3 2" xfId="21024"/>
    <cellStyle name="Normal 6 4 3 3" xfId="21025"/>
    <cellStyle name="Normal 6 4 4" xfId="21026"/>
    <cellStyle name="Normal 6 4 4 2" xfId="21027"/>
    <cellStyle name="Normal 6 4 5" xfId="21028"/>
    <cellStyle name="Normal 6 4 6" xfId="21029"/>
    <cellStyle name="Normal 6 4 7" xfId="21030"/>
    <cellStyle name="Normal 6 4 8" xfId="21031"/>
    <cellStyle name="Normal 6 5" xfId="764"/>
    <cellStyle name="Normal 6 5 2" xfId="765"/>
    <cellStyle name="Normal 6 5 2 2" xfId="21032"/>
    <cellStyle name="Normal 6 5 2 3" xfId="21033"/>
    <cellStyle name="Normal 6 5 3" xfId="21034"/>
    <cellStyle name="Normal 6 5 4" xfId="21035"/>
    <cellStyle name="Normal 6 5 5" xfId="21036"/>
    <cellStyle name="Normal 6 6" xfId="766"/>
    <cellStyle name="Normal 6 6 2" xfId="21037"/>
    <cellStyle name="Normal 6 6 3" xfId="21038"/>
    <cellStyle name="Normal 6 6 4" xfId="21039"/>
    <cellStyle name="Normal 6 7" xfId="767"/>
    <cellStyle name="Normal 6 7 2" xfId="21040"/>
    <cellStyle name="Normal 6 7 3" xfId="21041"/>
    <cellStyle name="Normal 6 7 4" xfId="21042"/>
    <cellStyle name="Normal 6 8" xfId="768"/>
    <cellStyle name="Normal 6 8 2" xfId="21043"/>
    <cellStyle name="Normal 6 9" xfId="21044"/>
    <cellStyle name="Normal 6 9 2" xfId="21045"/>
    <cellStyle name="Normal 6_Scenario 1 REC vs PTC Offset" xfId="15838"/>
    <cellStyle name="Normal 60" xfId="15839"/>
    <cellStyle name="Normal 60 2" xfId="15840"/>
    <cellStyle name="Normal 60 2 2" xfId="15841"/>
    <cellStyle name="Normal 60 2 2 2" xfId="15842"/>
    <cellStyle name="Normal 60 2 3" xfId="15843"/>
    <cellStyle name="Normal 60 3" xfId="15844"/>
    <cellStyle name="Normal 60 3 2" xfId="15845"/>
    <cellStyle name="Normal 60 4" xfId="15846"/>
    <cellStyle name="Normal 60 4 2" xfId="15847"/>
    <cellStyle name="Normal 60 5" xfId="15848"/>
    <cellStyle name="Normal 61" xfId="15849"/>
    <cellStyle name="Normal 61 2" xfId="15850"/>
    <cellStyle name="Normal 61 2 2" xfId="15851"/>
    <cellStyle name="Normal 61 2 2 2" xfId="15852"/>
    <cellStyle name="Normal 61 2 3" xfId="15853"/>
    <cellStyle name="Normal 61 3" xfId="15854"/>
    <cellStyle name="Normal 61 3 2" xfId="15855"/>
    <cellStyle name="Normal 61 4" xfId="15856"/>
    <cellStyle name="Normal 62" xfId="15857"/>
    <cellStyle name="Normal 62 2" xfId="15858"/>
    <cellStyle name="Normal 63" xfId="15859"/>
    <cellStyle name="Normal 63 2" xfId="15860"/>
    <cellStyle name="Normal 63 2 2" xfId="15861"/>
    <cellStyle name="Normal 63 3" xfId="15862"/>
    <cellStyle name="Normal 63 3 2" xfId="15863"/>
    <cellStyle name="Normal 63 4" xfId="15864"/>
    <cellStyle name="Normal 64" xfId="15865"/>
    <cellStyle name="Normal 64 2" xfId="15866"/>
    <cellStyle name="Normal 64 2 2" xfId="15867"/>
    <cellStyle name="Normal 64 3" xfId="15868"/>
    <cellStyle name="Normal 64 3 2" xfId="15869"/>
    <cellStyle name="Normal 64 4" xfId="15870"/>
    <cellStyle name="Normal 65" xfId="15871"/>
    <cellStyle name="Normal 65 2" xfId="15872"/>
    <cellStyle name="Normal 65 2 2" xfId="15873"/>
    <cellStyle name="Normal 65 3" xfId="15874"/>
    <cellStyle name="Normal 65 3 2" xfId="15875"/>
    <cellStyle name="Normal 65 4" xfId="15876"/>
    <cellStyle name="Normal 66" xfId="15877"/>
    <cellStyle name="Normal 66 2" xfId="15878"/>
    <cellStyle name="Normal 66 2 2" xfId="15879"/>
    <cellStyle name="Normal 66 3" xfId="15880"/>
    <cellStyle name="Normal 66 3 2" xfId="15881"/>
    <cellStyle name="Normal 66 4" xfId="15882"/>
    <cellStyle name="Normal 67" xfId="15883"/>
    <cellStyle name="Normal 67 2" xfId="15884"/>
    <cellStyle name="Normal 67 2 2" xfId="15885"/>
    <cellStyle name="Normal 67 3" xfId="15886"/>
    <cellStyle name="Normal 67 3 2" xfId="15887"/>
    <cellStyle name="Normal 67 4" xfId="15888"/>
    <cellStyle name="Normal 68" xfId="15889"/>
    <cellStyle name="Normal 68 2" xfId="15890"/>
    <cellStyle name="Normal 68 2 2" xfId="15891"/>
    <cellStyle name="Normal 68 3" xfId="15892"/>
    <cellStyle name="Normal 68 3 2" xfId="15893"/>
    <cellStyle name="Normal 68 4" xfId="15894"/>
    <cellStyle name="Normal 68 5" xfId="15895"/>
    <cellStyle name="Normal 68 5 2" xfId="18551"/>
    <cellStyle name="Normal 68 6" xfId="18550"/>
    <cellStyle name="Normal 69" xfId="15896"/>
    <cellStyle name="Normal 69 2" xfId="15897"/>
    <cellStyle name="Normal 69 2 2" xfId="15898"/>
    <cellStyle name="Normal 69 3" xfId="15899"/>
    <cellStyle name="Normal 69 3 2" xfId="15900"/>
    <cellStyle name="Normal 69 4" xfId="15901"/>
    <cellStyle name="Normal 69 5" xfId="15902"/>
    <cellStyle name="Normal 69 5 2" xfId="18553"/>
    <cellStyle name="Normal 69 6" xfId="18552"/>
    <cellStyle name="Normal 7" xfId="769"/>
    <cellStyle name="Normal 7 10" xfId="21046"/>
    <cellStyle name="Normal 7 11" xfId="21047"/>
    <cellStyle name="Normal 7 2" xfId="770"/>
    <cellStyle name="Normal 7 2 2" xfId="771"/>
    <cellStyle name="Normal 7 2 2 2" xfId="772"/>
    <cellStyle name="Normal 7 2 2 2 2" xfId="15903"/>
    <cellStyle name="Normal 7 2 2 2 3" xfId="21048"/>
    <cellStyle name="Normal 7 2 2 3" xfId="15904"/>
    <cellStyle name="Normal 7 2 2 4" xfId="21049"/>
    <cellStyle name="Normal 7 2 2 5" xfId="21050"/>
    <cellStyle name="Normal 7 2 3" xfId="773"/>
    <cellStyle name="Normal 7 2 3 2" xfId="15905"/>
    <cellStyle name="Normal 7 2 3 3" xfId="21051"/>
    <cellStyle name="Normal 7 2 3 4" xfId="21052"/>
    <cellStyle name="Normal 7 2 4" xfId="15906"/>
    <cellStyle name="Normal 7 2 5" xfId="21053"/>
    <cellStyle name="Normal 7 2 6" xfId="21054"/>
    <cellStyle name="Normal 7 2 7" xfId="21055"/>
    <cellStyle name="Normal 7 3" xfId="774"/>
    <cellStyle name="Normal 7 3 2" xfId="775"/>
    <cellStyle name="Normal 7 3 2 2" xfId="15907"/>
    <cellStyle name="Normal 7 3 2 3" xfId="21056"/>
    <cellStyle name="Normal 7 3 2 4" xfId="21057"/>
    <cellStyle name="Normal 7 3 3" xfId="15908"/>
    <cellStyle name="Normal 7 3 3 2" xfId="21058"/>
    <cellStyle name="Normal 7 3 4" xfId="21059"/>
    <cellStyle name="Normal 7 3 5" xfId="21060"/>
    <cellStyle name="Normal 7 3 6" xfId="21061"/>
    <cellStyle name="Normal 7 4" xfId="776"/>
    <cellStyle name="Normal 7 4 2" xfId="777"/>
    <cellStyle name="Normal 7 4 2 2" xfId="18330"/>
    <cellStyle name="Normal 7 4 2 2 2" xfId="21062"/>
    <cellStyle name="Normal 7 4 2 2 3" xfId="21063"/>
    <cellStyle name="Normal 7 4 2 2 4" xfId="21064"/>
    <cellStyle name="Normal 7 4 2 3" xfId="21065"/>
    <cellStyle name="Normal 7 4 2 3 2" xfId="21066"/>
    <cellStyle name="Normal 7 4 2 3 3" xfId="21067"/>
    <cellStyle name="Normal 7 4 2 4" xfId="21068"/>
    <cellStyle name="Normal 7 4 2 4 2" xfId="21069"/>
    <cellStyle name="Normal 7 4 2 5" xfId="21070"/>
    <cellStyle name="Normal 7 4 2 6" xfId="21071"/>
    <cellStyle name="Normal 7 4 2 7" xfId="21072"/>
    <cellStyle name="Normal 7 4 2 8" xfId="21073"/>
    <cellStyle name="Normal 7 4 3" xfId="21074"/>
    <cellStyle name="Normal 7 4 4" xfId="21075"/>
    <cellStyle name="Normal 7 4 5" xfId="21076"/>
    <cellStyle name="Normal 7 4 6" xfId="21077"/>
    <cellStyle name="Normal 7 4 7" xfId="21078"/>
    <cellStyle name="Normal 7 5" xfId="778"/>
    <cellStyle name="Normal 7 5 2" xfId="21079"/>
    <cellStyle name="Normal 7 5 3" xfId="21080"/>
    <cellStyle name="Normal 7 5 4" xfId="21081"/>
    <cellStyle name="Normal 7 6" xfId="779"/>
    <cellStyle name="Normal 7 6 2" xfId="21082"/>
    <cellStyle name="Normal 7 7" xfId="780"/>
    <cellStyle name="Normal 7 7 2" xfId="18331"/>
    <cellStyle name="Normal 7 7 2 2" xfId="21083"/>
    <cellStyle name="Normal 7 7 2 3" xfId="21084"/>
    <cellStyle name="Normal 7 7 3" xfId="21085"/>
    <cellStyle name="Normal 7 7 3 2" xfId="21086"/>
    <cellStyle name="Normal 7 7 4" xfId="21087"/>
    <cellStyle name="Normal 7 7 4 2" xfId="21088"/>
    <cellStyle name="Normal 7 7 5" xfId="21089"/>
    <cellStyle name="Normal 7 7 6" xfId="21090"/>
    <cellStyle name="Normal 7 7 7" xfId="21091"/>
    <cellStyle name="Normal 7 7 8" xfId="21092"/>
    <cellStyle name="Normal 7 8" xfId="18329"/>
    <cellStyle name="Normal 7 9" xfId="21093"/>
    <cellStyle name="Normal 70" xfId="15909"/>
    <cellStyle name="Normal 70 2" xfId="15910"/>
    <cellStyle name="Normal 70 2 2" xfId="15911"/>
    <cellStyle name="Normal 70 3" xfId="15912"/>
    <cellStyle name="Normal 70 4" xfId="15913"/>
    <cellStyle name="Normal 70 4 2" xfId="18555"/>
    <cellStyle name="Normal 70 5" xfId="18554"/>
    <cellStyle name="Normal 71" xfId="15914"/>
    <cellStyle name="Normal 71 2" xfId="15915"/>
    <cellStyle name="Normal 71 2 2" xfId="15916"/>
    <cellStyle name="Normal 71 2 3" xfId="15917"/>
    <cellStyle name="Normal 71 2 3 2" xfId="18558"/>
    <cellStyle name="Normal 71 2 4" xfId="18557"/>
    <cellStyle name="Normal 71 3" xfId="15918"/>
    <cellStyle name="Normal 71 4" xfId="15919"/>
    <cellStyle name="Normal 71 4 2" xfId="18559"/>
    <cellStyle name="Normal 71 5" xfId="18556"/>
    <cellStyle name="Normal 72" xfId="15920"/>
    <cellStyle name="Normal 72 2" xfId="15921"/>
    <cellStyle name="Normal 72 2 2" xfId="15922"/>
    <cellStyle name="Normal 72 3" xfId="15923"/>
    <cellStyle name="Normal 72 4" xfId="15924"/>
    <cellStyle name="Normal 72 4 2" xfId="18561"/>
    <cellStyle name="Normal 72 5" xfId="18560"/>
    <cellStyle name="Normal 73" xfId="15925"/>
    <cellStyle name="Normal 73 2" xfId="15926"/>
    <cellStyle name="Normal 73 2 2" xfId="15927"/>
    <cellStyle name="Normal 73 3" xfId="15928"/>
    <cellStyle name="Normal 73 3 2" xfId="15929"/>
    <cellStyle name="Normal 73 4" xfId="15930"/>
    <cellStyle name="Normal 73 5" xfId="15931"/>
    <cellStyle name="Normal 73 5 2" xfId="18563"/>
    <cellStyle name="Normal 73 6" xfId="18562"/>
    <cellStyle name="Normal 74" xfId="15932"/>
    <cellStyle name="Normal 74 2" xfId="15933"/>
    <cellStyle name="Normal 74 2 2" xfId="15934"/>
    <cellStyle name="Normal 74 3" xfId="15935"/>
    <cellStyle name="Normal 74 3 2" xfId="15936"/>
    <cellStyle name="Normal 74 4" xfId="15937"/>
    <cellStyle name="Normal 75" xfId="15938"/>
    <cellStyle name="Normal 75 2" xfId="15939"/>
    <cellStyle name="Normal 75 2 2" xfId="15940"/>
    <cellStyle name="Normal 75 3" xfId="15941"/>
    <cellStyle name="Normal 75 3 2" xfId="15942"/>
    <cellStyle name="Normal 75 4" xfId="15943"/>
    <cellStyle name="Normal 76" xfId="15944"/>
    <cellStyle name="Normal 76 2" xfId="15945"/>
    <cellStyle name="Normal 76 2 2" xfId="15946"/>
    <cellStyle name="Normal 76 3" xfId="15947"/>
    <cellStyle name="Normal 76 3 2" xfId="15948"/>
    <cellStyle name="Normal 76 4" xfId="15949"/>
    <cellStyle name="Normal 77" xfId="15950"/>
    <cellStyle name="Normal 77 2" xfId="15951"/>
    <cellStyle name="Normal 77 2 2" xfId="15952"/>
    <cellStyle name="Normal 77 3" xfId="15953"/>
    <cellStyle name="Normal 77 3 2" xfId="15954"/>
    <cellStyle name="Normal 77 4" xfId="15955"/>
    <cellStyle name="Normal 78" xfId="15956"/>
    <cellStyle name="Normal 78 2" xfId="15957"/>
    <cellStyle name="Normal 78 2 2" xfId="15958"/>
    <cellStyle name="Normal 78 3" xfId="15959"/>
    <cellStyle name="Normal 78 3 2" xfId="15960"/>
    <cellStyle name="Normal 78 4" xfId="15961"/>
    <cellStyle name="Normal 79" xfId="15962"/>
    <cellStyle name="Normal 79 2" xfId="15963"/>
    <cellStyle name="Normal 79 2 2" xfId="15964"/>
    <cellStyle name="Normal 79 3" xfId="15965"/>
    <cellStyle name="Normal 79 3 2" xfId="15966"/>
    <cellStyle name="Normal 79 4" xfId="15967"/>
    <cellStyle name="Normal 8" xfId="781"/>
    <cellStyle name="Normal 8 2" xfId="782"/>
    <cellStyle name="Normal 8 2 2" xfId="783"/>
    <cellStyle name="Normal 8 2 2 2" xfId="15968"/>
    <cellStyle name="Normal 8 2 2 3" xfId="21094"/>
    <cellStyle name="Normal 8 2 2 4" xfId="21095"/>
    <cellStyle name="Normal 8 2 3" xfId="784"/>
    <cellStyle name="Normal 8 2 3 2" xfId="15969"/>
    <cellStyle name="Normal 8 2 3 3" xfId="21096"/>
    <cellStyle name="Normal 8 2 3 4" xfId="21097"/>
    <cellStyle name="Normal 8 2 4" xfId="15970"/>
    <cellStyle name="Normal 8 2 4 2" xfId="21098"/>
    <cellStyle name="Normal 8 2 5" xfId="21099"/>
    <cellStyle name="Normal 8 2 6" xfId="21100"/>
    <cellStyle name="Normal 8 2 7" xfId="21101"/>
    <cellStyle name="Normal 8 3" xfId="785"/>
    <cellStyle name="Normal 8 3 2" xfId="786"/>
    <cellStyle name="Normal 8 3 2 2" xfId="15971"/>
    <cellStyle name="Normal 8 3 2 3" xfId="21102"/>
    <cellStyle name="Normal 8 3 2 4" xfId="21103"/>
    <cellStyle name="Normal 8 3 3" xfId="15972"/>
    <cellStyle name="Normal 8 3 3 2" xfId="21104"/>
    <cellStyle name="Normal 8 3 4" xfId="21105"/>
    <cellStyle name="Normal 8 3 5" xfId="21106"/>
    <cellStyle name="Normal 8 3 6" xfId="21107"/>
    <cellStyle name="Normal 8 4" xfId="787"/>
    <cellStyle name="Normal 8 4 2" xfId="15973"/>
    <cellStyle name="Normal 8 4 3" xfId="21108"/>
    <cellStyle name="Normal 8 4 4" xfId="21109"/>
    <cellStyle name="Normal 8 5" xfId="788"/>
    <cellStyle name="Normal 8 5 2" xfId="21110"/>
    <cellStyle name="Normal 8 6" xfId="21111"/>
    <cellStyle name="Normal 8 7" xfId="21112"/>
    <cellStyle name="Normal 8 8" xfId="21113"/>
    <cellStyle name="Normal 80" xfId="15974"/>
    <cellStyle name="Normal 80 2" xfId="15975"/>
    <cellStyle name="Normal 80 2 2" xfId="15976"/>
    <cellStyle name="Normal 80 3" xfId="15977"/>
    <cellStyle name="Normal 80 3 2" xfId="15978"/>
    <cellStyle name="Normal 80 4" xfId="15979"/>
    <cellStyle name="Normal 81" xfId="15980"/>
    <cellStyle name="Normal 81 2" xfId="15981"/>
    <cellStyle name="Normal 81 2 2" xfId="15982"/>
    <cellStyle name="Normal 81 3" xfId="15983"/>
    <cellStyle name="Normal 81 3 2" xfId="15984"/>
    <cellStyle name="Normal 81 4" xfId="15985"/>
    <cellStyle name="Normal 82" xfId="15986"/>
    <cellStyle name="Normal 82 2" xfId="15987"/>
    <cellStyle name="Normal 82 2 2" xfId="15988"/>
    <cellStyle name="Normal 82 3" xfId="15989"/>
    <cellStyle name="Normal 82 3 2" xfId="15990"/>
    <cellStyle name="Normal 82 4" xfId="15991"/>
    <cellStyle name="Normal 83" xfId="15992"/>
    <cellStyle name="Normal 83 2" xfId="15993"/>
    <cellStyle name="Normal 83 2 2" xfId="15994"/>
    <cellStyle name="Normal 83 3" xfId="15995"/>
    <cellStyle name="Normal 83 3 2" xfId="15996"/>
    <cellStyle name="Normal 83 4" xfId="15997"/>
    <cellStyle name="Normal 84" xfId="15998"/>
    <cellStyle name="Normal 84 2" xfId="15999"/>
    <cellStyle name="Normal 84 2 2" xfId="16000"/>
    <cellStyle name="Normal 84 3" xfId="16001"/>
    <cellStyle name="Normal 84 3 2" xfId="16002"/>
    <cellStyle name="Normal 84 4" xfId="16003"/>
    <cellStyle name="Normal 85" xfId="16004"/>
    <cellStyle name="Normal 85 2" xfId="16005"/>
    <cellStyle name="Normal 85 2 2" xfId="16006"/>
    <cellStyle name="Normal 85 3" xfId="16007"/>
    <cellStyle name="Normal 85 3 2" xfId="16008"/>
    <cellStyle name="Normal 85 4" xfId="16009"/>
    <cellStyle name="Normal 86" xfId="16010"/>
    <cellStyle name="Normal 86 2" xfId="16011"/>
    <cellStyle name="Normal 86 2 2" xfId="16012"/>
    <cellStyle name="Normal 86 3" xfId="16013"/>
    <cellStyle name="Normal 87" xfId="16014"/>
    <cellStyle name="Normal 87 2" xfId="16015"/>
    <cellStyle name="Normal 87 2 2" xfId="16016"/>
    <cellStyle name="Normal 87 3" xfId="16017"/>
    <cellStyle name="Normal 88" xfId="16018"/>
    <cellStyle name="Normal 88 2" xfId="16019"/>
    <cellStyle name="Normal 88 2 2" xfId="16020"/>
    <cellStyle name="Normal 88 3" xfId="16021"/>
    <cellStyle name="Normal 89" xfId="16022"/>
    <cellStyle name="Normal 89 2" xfId="16023"/>
    <cellStyle name="Normal 89 2 2" xfId="16024"/>
    <cellStyle name="Normal 89 3" xfId="16025"/>
    <cellStyle name="Normal 9" xfId="789"/>
    <cellStyle name="Normal 9 2" xfId="790"/>
    <cellStyle name="Normal 9 2 2" xfId="791"/>
    <cellStyle name="Normal 9 2 2 2" xfId="16026"/>
    <cellStyle name="Normal 9 2 2 3" xfId="21114"/>
    <cellStyle name="Normal 9 2 2 4" xfId="21115"/>
    <cellStyle name="Normal 9 2 3" xfId="16027"/>
    <cellStyle name="Normal 9 2 3 2" xfId="16028"/>
    <cellStyle name="Normal 9 2 4" xfId="16029"/>
    <cellStyle name="Normal 9 2 5" xfId="21116"/>
    <cellStyle name="Normal 9 2 6" xfId="21117"/>
    <cellStyle name="Normal 9 3" xfId="792"/>
    <cellStyle name="Normal 9 3 2" xfId="16030"/>
    <cellStyle name="Normal 9 3 3" xfId="21118"/>
    <cellStyle name="Normal 9 3 4" xfId="21119"/>
    <cellStyle name="Normal 9 4" xfId="793"/>
    <cellStyle name="Normal 9 4 2" xfId="16031"/>
    <cellStyle name="Normal 9 5" xfId="16032"/>
    <cellStyle name="Normal 9 6" xfId="21120"/>
    <cellStyle name="Normal 9 7" xfId="21121"/>
    <cellStyle name="Normal 90" xfId="16033"/>
    <cellStyle name="Normal 90 2" xfId="16034"/>
    <cellStyle name="Normal 90 2 2" xfId="16035"/>
    <cellStyle name="Normal 90 3" xfId="16036"/>
    <cellStyle name="Normal 91" xfId="16037"/>
    <cellStyle name="Normal 91 2" xfId="16038"/>
    <cellStyle name="Normal 91 2 2" xfId="16039"/>
    <cellStyle name="Normal 91 3" xfId="16040"/>
    <cellStyle name="Normal 92" xfId="16041"/>
    <cellStyle name="Normal 92 2" xfId="16042"/>
    <cellStyle name="Normal 92 2 2" xfId="16043"/>
    <cellStyle name="Normal 92 3" xfId="16044"/>
    <cellStyle name="Normal 93" xfId="16045"/>
    <cellStyle name="Normal 93 2" xfId="16046"/>
    <cellStyle name="Normal 93 2 2" xfId="16047"/>
    <cellStyle name="Normal 93 3" xfId="16048"/>
    <cellStyle name="Normal 94" xfId="16049"/>
    <cellStyle name="Normal 94 2" xfId="16050"/>
    <cellStyle name="Normal 94 2 2" xfId="16051"/>
    <cellStyle name="Normal 94 3" xfId="16052"/>
    <cellStyle name="Normal 94 3 2" xfId="16053"/>
    <cellStyle name="Normal 94 4" xfId="16054"/>
    <cellStyle name="Normal 95" xfId="16055"/>
    <cellStyle name="Normal 95 2" xfId="16056"/>
    <cellStyle name="Normal 95 2 2" xfId="16057"/>
    <cellStyle name="Normal 95 3" xfId="16058"/>
    <cellStyle name="Normal 96" xfId="16059"/>
    <cellStyle name="Normal 96 2" xfId="16060"/>
    <cellStyle name="Normal 96 2 2" xfId="16061"/>
    <cellStyle name="Normal 96 3" xfId="16062"/>
    <cellStyle name="Normal 96 3 2" xfId="16063"/>
    <cellStyle name="Normal 96 4" xfId="16064"/>
    <cellStyle name="Normal 97" xfId="16065"/>
    <cellStyle name="Normal 97 2" xfId="16066"/>
    <cellStyle name="Normal 97 2 2" xfId="16067"/>
    <cellStyle name="Normal 97 3" xfId="16068"/>
    <cellStyle name="Normal 98" xfId="16069"/>
    <cellStyle name="Normal 98 2" xfId="16070"/>
    <cellStyle name="Normal 98 2 2" xfId="16071"/>
    <cellStyle name="Normal 98 3" xfId="16072"/>
    <cellStyle name="Normal 99" xfId="16073"/>
    <cellStyle name="Normal 99 2" xfId="16074"/>
    <cellStyle name="Normal 99 2 2" xfId="16075"/>
    <cellStyle name="Normal 99 3" xfId="16076"/>
    <cellStyle name="Normal_Hopkins Ridge" xfId="8"/>
    <cellStyle name="Normal_Wild Horse 2006 GRC" xfId="21226"/>
    <cellStyle name="Note 10" xfId="16077"/>
    <cellStyle name="Note 10 2" xfId="16078"/>
    <cellStyle name="Note 10 2 2" xfId="16079"/>
    <cellStyle name="Note 10 2 2 2" xfId="16080"/>
    <cellStyle name="Note 10 2 3" xfId="16081"/>
    <cellStyle name="Note 10 2 4" xfId="16082"/>
    <cellStyle name="Note 10 3" xfId="16083"/>
    <cellStyle name="Note 10 3 2" xfId="16084"/>
    <cellStyle name="Note 10 3 2 2" xfId="16085"/>
    <cellStyle name="Note 10 3 3" xfId="16086"/>
    <cellStyle name="Note 10 4" xfId="16087"/>
    <cellStyle name="Note 10 4 2" xfId="16088"/>
    <cellStyle name="Note 10 5" xfId="16089"/>
    <cellStyle name="Note 10 5 2" xfId="16090"/>
    <cellStyle name="Note 10 6" xfId="16091"/>
    <cellStyle name="Note 10 6 2" xfId="16092"/>
    <cellStyle name="Note 10 7" xfId="16093"/>
    <cellStyle name="Note 10 7 2" xfId="16094"/>
    <cellStyle name="Note 10 8" xfId="16095"/>
    <cellStyle name="Note 10 9" xfId="16096"/>
    <cellStyle name="Note 11" xfId="16097"/>
    <cellStyle name="Note 11 2" xfId="16098"/>
    <cellStyle name="Note 11 2 2" xfId="16099"/>
    <cellStyle name="Note 11 2 3" xfId="16100"/>
    <cellStyle name="Note 11 3" xfId="16101"/>
    <cellStyle name="Note 11 3 2" xfId="16102"/>
    <cellStyle name="Note 11 3 3" xfId="16103"/>
    <cellStyle name="Note 11 4" xfId="16104"/>
    <cellStyle name="Note 11 4 2" xfId="16105"/>
    <cellStyle name="Note 11 5" xfId="16106"/>
    <cellStyle name="Note 11 6" xfId="16107"/>
    <cellStyle name="Note 12" xfId="16108"/>
    <cellStyle name="Note 12 2" xfId="16109"/>
    <cellStyle name="Note 12 2 2" xfId="16110"/>
    <cellStyle name="Note 12 2 2 2" xfId="16111"/>
    <cellStyle name="Note 12 2 3" xfId="16112"/>
    <cellStyle name="Note 12 2 3 2" xfId="16113"/>
    <cellStyle name="Note 12 2 4" xfId="16114"/>
    <cellStyle name="Note 12 2 5" xfId="16115"/>
    <cellStyle name="Note 12 3" xfId="16116"/>
    <cellStyle name="Note 12 3 2" xfId="16117"/>
    <cellStyle name="Note 12 4" xfId="16118"/>
    <cellStyle name="Note 12 4 2" xfId="16119"/>
    <cellStyle name="Note 12 5" xfId="16120"/>
    <cellStyle name="Note 12 6" xfId="16121"/>
    <cellStyle name="Note 13" xfId="16122"/>
    <cellStyle name="Note 13 2" xfId="16123"/>
    <cellStyle name="Note 13 2 2" xfId="16124"/>
    <cellStyle name="Note 13 2 3" xfId="16125"/>
    <cellStyle name="Note 13 3" xfId="16126"/>
    <cellStyle name="Note 13 4" xfId="16127"/>
    <cellStyle name="Note 14" xfId="16128"/>
    <cellStyle name="Note 14 2" xfId="16129"/>
    <cellStyle name="Note 14 3" xfId="16130"/>
    <cellStyle name="Note 14 3 2" xfId="16131"/>
    <cellStyle name="Note 14 3 2 2" xfId="18566"/>
    <cellStyle name="Note 14 3 3" xfId="18565"/>
    <cellStyle name="Note 14 4" xfId="16132"/>
    <cellStyle name="Note 14 4 2" xfId="18567"/>
    <cellStyle name="Note 14 5" xfId="18564"/>
    <cellStyle name="Note 15" xfId="16133"/>
    <cellStyle name="Note 15 2" xfId="16134"/>
    <cellStyle name="Note 15 2 2" xfId="16135"/>
    <cellStyle name="Note 15 3" xfId="16136"/>
    <cellStyle name="Note 16" xfId="16137"/>
    <cellStyle name="Note 16 2" xfId="16138"/>
    <cellStyle name="Note 16 2 2" xfId="16139"/>
    <cellStyle name="Note 16 3" xfId="16140"/>
    <cellStyle name="Note 17" xfId="16141"/>
    <cellStyle name="Note 17 2" xfId="18568"/>
    <cellStyle name="Note 18" xfId="16142"/>
    <cellStyle name="Note 18 2" xfId="16143"/>
    <cellStyle name="Note 2" xfId="794"/>
    <cellStyle name="Note 2 10" xfId="21122"/>
    <cellStyle name="Note 2 11" xfId="21123"/>
    <cellStyle name="Note 2 12" xfId="21124"/>
    <cellStyle name="Note 2 12 2" xfId="21125"/>
    <cellStyle name="Note 2 2" xfId="795"/>
    <cellStyle name="Note 2 2 2" xfId="796"/>
    <cellStyle name="Note 2 2 2 2" xfId="797"/>
    <cellStyle name="Note 2 2 2 2 2" xfId="16144"/>
    <cellStyle name="Note 2 2 2 2 3" xfId="21126"/>
    <cellStyle name="Note 2 2 2 3" xfId="16145"/>
    <cellStyle name="Note 2 2 2 3 2" xfId="16146"/>
    <cellStyle name="Note 2 2 2 4" xfId="16147"/>
    <cellStyle name="Note 2 2 2 5" xfId="16148"/>
    <cellStyle name="Note 2 2 3" xfId="798"/>
    <cellStyle name="Note 2 2 3 2" xfId="799"/>
    <cellStyle name="Note 2 2 3 2 2" xfId="16149"/>
    <cellStyle name="Note 2 2 3 2 3" xfId="21127"/>
    <cellStyle name="Note 2 2 3 3" xfId="16150"/>
    <cellStyle name="Note 2 2 3 4" xfId="21128"/>
    <cellStyle name="Note 2 2 3 5" xfId="21129"/>
    <cellStyle name="Note 2 2 4" xfId="800"/>
    <cellStyle name="Note 2 2 4 2" xfId="16151"/>
    <cellStyle name="Note 2 2 4 3" xfId="21130"/>
    <cellStyle name="Note 2 2 4 4" xfId="21131"/>
    <cellStyle name="Note 2 2 5" xfId="16152"/>
    <cellStyle name="Note 2 2 5 2" xfId="16153"/>
    <cellStyle name="Note 2 2 6" xfId="16154"/>
    <cellStyle name="Note 2 2 6 2" xfId="16155"/>
    <cellStyle name="Note 2 2 7" xfId="16156"/>
    <cellStyle name="Note 2 2 8" xfId="16157"/>
    <cellStyle name="Note 2 3" xfId="801"/>
    <cellStyle name="Note 2 3 2" xfId="802"/>
    <cellStyle name="Note 2 3 2 2" xfId="803"/>
    <cellStyle name="Note 2 3 2 2 2" xfId="16158"/>
    <cellStyle name="Note 2 3 2 2 3" xfId="21132"/>
    <cellStyle name="Note 2 3 2 3" xfId="16159"/>
    <cellStyle name="Note 2 3 2 4" xfId="16160"/>
    <cellStyle name="Note 2 3 2 5" xfId="21133"/>
    <cellStyle name="Note 2 3 3" xfId="804"/>
    <cellStyle name="Note 2 3 3 2" xfId="16161"/>
    <cellStyle name="Note 2 3 3 2 2" xfId="16162"/>
    <cellStyle name="Note 2 3 3 3" xfId="16163"/>
    <cellStyle name="Note 2 3 3 4" xfId="21134"/>
    <cellStyle name="Note 2 3 4" xfId="16164"/>
    <cellStyle name="Note 2 3 4 2" xfId="16165"/>
    <cellStyle name="Note 2 3 5" xfId="16166"/>
    <cellStyle name="Note 2 3 5 2" xfId="16167"/>
    <cellStyle name="Note 2 3 6" xfId="16168"/>
    <cellStyle name="Note 2 3 7" xfId="16169"/>
    <cellStyle name="Note 2 3 8" xfId="18332"/>
    <cellStyle name="Note 2 4" xfId="805"/>
    <cellStyle name="Note 2 4 2" xfId="806"/>
    <cellStyle name="Note 2 4 2 2" xfId="16170"/>
    <cellStyle name="Note 2 4 2 3" xfId="21135"/>
    <cellStyle name="Note 2 4 2 4" xfId="21136"/>
    <cellStyle name="Note 2 4 3" xfId="16171"/>
    <cellStyle name="Note 2 4 3 2" xfId="16172"/>
    <cellStyle name="Note 2 4 4" xfId="16173"/>
    <cellStyle name="Note 2 4 4 2" xfId="16174"/>
    <cellStyle name="Note 2 4 5" xfId="16175"/>
    <cellStyle name="Note 2 4 6" xfId="16176"/>
    <cellStyle name="Note 2 5" xfId="807"/>
    <cellStyle name="Note 2 5 2" xfId="16177"/>
    <cellStyle name="Note 2 5 2 2" xfId="16178"/>
    <cellStyle name="Note 2 5 3" xfId="16179"/>
    <cellStyle name="Note 2 5 4" xfId="21137"/>
    <cellStyle name="Note 2 6" xfId="808"/>
    <cellStyle name="Note 2 6 2" xfId="16180"/>
    <cellStyle name="Note 2 6 2 2" xfId="21138"/>
    <cellStyle name="Note 2 6 2 3" xfId="21139"/>
    <cellStyle name="Note 2 6 2 4" xfId="21140"/>
    <cellStyle name="Note 2 6 3" xfId="18333"/>
    <cellStyle name="Note 2 6 3 2" xfId="21141"/>
    <cellStyle name="Note 2 6 3 3" xfId="21142"/>
    <cellStyle name="Note 2 6 4" xfId="21143"/>
    <cellStyle name="Note 2 6 4 2" xfId="21144"/>
    <cellStyle name="Note 2 6 5" xfId="21145"/>
    <cellStyle name="Note 2 6 6" xfId="21146"/>
    <cellStyle name="Note 2 6 7" xfId="21147"/>
    <cellStyle name="Note 2 6 8" xfId="21148"/>
    <cellStyle name="Note 2 7" xfId="809"/>
    <cellStyle name="Note 2 7 2" xfId="16181"/>
    <cellStyle name="Note 2 7 3" xfId="21149"/>
    <cellStyle name="Note 2 7 4" xfId="21150"/>
    <cellStyle name="Note 2 8" xfId="810"/>
    <cellStyle name="Note 2 8 2" xfId="21151"/>
    <cellStyle name="Note 2 9" xfId="16182"/>
    <cellStyle name="Note 2 9 2" xfId="21152"/>
    <cellStyle name="Note 2_AURORA Total New" xfId="16183"/>
    <cellStyle name="Note 3" xfId="811"/>
    <cellStyle name="Note 3 10" xfId="21153"/>
    <cellStyle name="Note 3 2" xfId="812"/>
    <cellStyle name="Note 3 2 2" xfId="813"/>
    <cellStyle name="Note 3 2 2 2" xfId="814"/>
    <cellStyle name="Note 3 2 2 2 2" xfId="21154"/>
    <cellStyle name="Note 3 2 2 2 3" xfId="21155"/>
    <cellStyle name="Note 3 2 2 3" xfId="21156"/>
    <cellStyle name="Note 3 2 2 4" xfId="21157"/>
    <cellStyle name="Note 3 2 2 5" xfId="21158"/>
    <cellStyle name="Note 3 2 3" xfId="815"/>
    <cellStyle name="Note 3 2 3 2" xfId="816"/>
    <cellStyle name="Note 3 2 3 2 2" xfId="21159"/>
    <cellStyle name="Note 3 2 3 2 3" xfId="21160"/>
    <cellStyle name="Note 3 2 3 3" xfId="21161"/>
    <cellStyle name="Note 3 2 3 4" xfId="21162"/>
    <cellStyle name="Note 3 2 3 5" xfId="21163"/>
    <cellStyle name="Note 3 2 4" xfId="817"/>
    <cellStyle name="Note 3 2 4 2" xfId="16184"/>
    <cellStyle name="Note 3 2 4 3" xfId="21164"/>
    <cellStyle name="Note 3 2 4 4" xfId="21165"/>
    <cellStyle name="Note 3 2 5" xfId="16185"/>
    <cellStyle name="Note 3 2 5 2" xfId="21166"/>
    <cellStyle name="Note 3 2 6" xfId="16186"/>
    <cellStyle name="Note 3 2 7" xfId="21167"/>
    <cellStyle name="Note 3 2 8" xfId="21168"/>
    <cellStyle name="Note 3 3" xfId="818"/>
    <cellStyle name="Note 3 3 2" xfId="819"/>
    <cellStyle name="Note 3 3 2 2" xfId="820"/>
    <cellStyle name="Note 3 3 2 2 2" xfId="21169"/>
    <cellStyle name="Note 3 3 2 2 3" xfId="21170"/>
    <cellStyle name="Note 3 3 2 3" xfId="21171"/>
    <cellStyle name="Note 3 3 2 4" xfId="21172"/>
    <cellStyle name="Note 3 3 2 5" xfId="21173"/>
    <cellStyle name="Note 3 3 3" xfId="821"/>
    <cellStyle name="Note 3 3 3 2" xfId="16187"/>
    <cellStyle name="Note 3 3 3 3" xfId="21174"/>
    <cellStyle name="Note 3 3 3 4" xfId="21175"/>
    <cellStyle name="Note 3 3 4" xfId="16188"/>
    <cellStyle name="Note 3 3 5" xfId="16189"/>
    <cellStyle name="Note 3 3 6" xfId="18334"/>
    <cellStyle name="Note 3 3 7" xfId="21176"/>
    <cellStyle name="Note 3 4" xfId="822"/>
    <cellStyle name="Note 3 4 2" xfId="823"/>
    <cellStyle name="Note 3 4 2 2" xfId="21177"/>
    <cellStyle name="Note 3 4 2 3" xfId="21178"/>
    <cellStyle name="Note 3 4 2 4" xfId="21179"/>
    <cellStyle name="Note 3 4 3" xfId="21180"/>
    <cellStyle name="Note 3 4 3 2" xfId="21181"/>
    <cellStyle name="Note 3 4 4" xfId="21182"/>
    <cellStyle name="Note 3 4 5" xfId="21183"/>
    <cellStyle name="Note 3 4 6" xfId="21184"/>
    <cellStyle name="Note 3 5" xfId="824"/>
    <cellStyle name="Note 3 5 2" xfId="16190"/>
    <cellStyle name="Note 3 5 3" xfId="21185"/>
    <cellStyle name="Note 3 5 4" xfId="21186"/>
    <cellStyle name="Note 3 6" xfId="825"/>
    <cellStyle name="Note 3 6 2" xfId="21187"/>
    <cellStyle name="Note 3 6 3" xfId="21188"/>
    <cellStyle name="Note 3 6 4" xfId="21189"/>
    <cellStyle name="Note 3 7" xfId="826"/>
    <cellStyle name="Note 3 7 2" xfId="21190"/>
    <cellStyle name="Note 3 8" xfId="21191"/>
    <cellStyle name="Note 3 8 2" xfId="21192"/>
    <cellStyle name="Note 3 9" xfId="21193"/>
    <cellStyle name="Note 4" xfId="827"/>
    <cellStyle name="Note 4 2" xfId="828"/>
    <cellStyle name="Note 4 2 2" xfId="829"/>
    <cellStyle name="Note 4 2 2 2" xfId="16191"/>
    <cellStyle name="Note 4 2 2 3" xfId="21194"/>
    <cellStyle name="Note 4 2 2 4" xfId="21195"/>
    <cellStyle name="Note 4 2 3" xfId="16192"/>
    <cellStyle name="Note 4 2 3 2" xfId="16193"/>
    <cellStyle name="Note 4 2 4" xfId="16194"/>
    <cellStyle name="Note 4 2 5" xfId="16195"/>
    <cellStyle name="Note 4 2 6" xfId="21196"/>
    <cellStyle name="Note 4 3" xfId="830"/>
    <cellStyle name="Note 4 3 2" xfId="831"/>
    <cellStyle name="Note 4 3 2 2" xfId="16196"/>
    <cellStyle name="Note 4 3 3" xfId="16197"/>
    <cellStyle name="Note 4 3 4" xfId="21197"/>
    <cellStyle name="Note 4 4" xfId="832"/>
    <cellStyle name="Note 4 4 2" xfId="16198"/>
    <cellStyle name="Note 4 4 3" xfId="21198"/>
    <cellStyle name="Note 4 4 4" xfId="21199"/>
    <cellStyle name="Note 4 5" xfId="833"/>
    <cellStyle name="Note 4 5 2" xfId="16199"/>
    <cellStyle name="Note 4 6" xfId="16200"/>
    <cellStyle name="Note 4 6 2" xfId="16201"/>
    <cellStyle name="Note 4 7" xfId="16202"/>
    <cellStyle name="Note 4 8" xfId="16203"/>
    <cellStyle name="Note 4 9" xfId="18335"/>
    <cellStyle name="Note 5" xfId="834"/>
    <cellStyle name="Note 5 2" xfId="835"/>
    <cellStyle name="Note 5 2 2" xfId="16204"/>
    <cellStyle name="Note 5 2 2 2" xfId="16205"/>
    <cellStyle name="Note 5 2 3" xfId="16206"/>
    <cellStyle name="Note 5 2 3 2" xfId="16207"/>
    <cellStyle name="Note 5 2 4" xfId="16208"/>
    <cellStyle name="Note 5 2 5" xfId="16209"/>
    <cellStyle name="Note 5 3" xfId="836"/>
    <cellStyle name="Note 5 3 2" xfId="16210"/>
    <cellStyle name="Note 5 3 2 2" xfId="16211"/>
    <cellStyle name="Note 5 3 3" xfId="16212"/>
    <cellStyle name="Note 5 3 4" xfId="21200"/>
    <cellStyle name="Note 5 4" xfId="837"/>
    <cellStyle name="Note 5 4 2" xfId="16213"/>
    <cellStyle name="Note 5 5" xfId="16214"/>
    <cellStyle name="Note 5 5 2" xfId="16215"/>
    <cellStyle name="Note 5 6" xfId="16216"/>
    <cellStyle name="Note 5 6 2" xfId="16217"/>
    <cellStyle name="Note 5 7" xfId="16218"/>
    <cellStyle name="Note 5 8" xfId="16219"/>
    <cellStyle name="Note 6" xfId="16220"/>
    <cellStyle name="Note 6 2" xfId="16221"/>
    <cellStyle name="Note 6 2 2" xfId="16222"/>
    <cellStyle name="Note 6 2 2 2" xfId="16223"/>
    <cellStyle name="Note 6 2 3" xfId="16224"/>
    <cellStyle name="Note 6 2 4" xfId="16225"/>
    <cellStyle name="Note 6 3" xfId="16226"/>
    <cellStyle name="Note 6 3 2" xfId="16227"/>
    <cellStyle name="Note 6 3 2 2" xfId="16228"/>
    <cellStyle name="Note 6 3 3" xfId="16229"/>
    <cellStyle name="Note 6 3 4" xfId="21201"/>
    <cellStyle name="Note 6 4" xfId="16230"/>
    <cellStyle name="Note 6 4 2" xfId="16231"/>
    <cellStyle name="Note 6 5" xfId="16232"/>
    <cellStyle name="Note 6 6" xfId="16233"/>
    <cellStyle name="Note 6 7" xfId="21202"/>
    <cellStyle name="Note 7" xfId="16234"/>
    <cellStyle name="Note 7 2" xfId="16235"/>
    <cellStyle name="Note 7 2 2" xfId="16236"/>
    <cellStyle name="Note 7 2 2 2" xfId="16237"/>
    <cellStyle name="Note 7 2 2 3" xfId="21203"/>
    <cellStyle name="Note 7 2 3" xfId="16238"/>
    <cellStyle name="Note 7 2 4" xfId="16239"/>
    <cellStyle name="Note 7 3" xfId="16240"/>
    <cellStyle name="Note 7 3 2" xfId="16241"/>
    <cellStyle name="Note 7 3 2 2" xfId="16242"/>
    <cellStyle name="Note 7 3 3" xfId="16243"/>
    <cellStyle name="Note 7 3 3 2" xfId="21204"/>
    <cellStyle name="Note 7 3 4" xfId="21205"/>
    <cellStyle name="Note 7 4" xfId="16244"/>
    <cellStyle name="Note 7 4 2" xfId="16245"/>
    <cellStyle name="Note 7 5" xfId="16246"/>
    <cellStyle name="Note 7 6" xfId="16247"/>
    <cellStyle name="Note 7 7" xfId="21206"/>
    <cellStyle name="Note 7 8" xfId="21207"/>
    <cellStyle name="Note 8" xfId="16248"/>
    <cellStyle name="Note 8 2" xfId="16249"/>
    <cellStyle name="Note 8 2 2" xfId="16250"/>
    <cellStyle name="Note 8 2 2 2" xfId="16251"/>
    <cellStyle name="Note 8 2 2 3" xfId="21208"/>
    <cellStyle name="Note 8 2 3" xfId="16252"/>
    <cellStyle name="Note 8 2 3 2" xfId="21209"/>
    <cellStyle name="Note 8 2 4" xfId="16253"/>
    <cellStyle name="Note 8 2 5" xfId="21210"/>
    <cellStyle name="Note 8 3" xfId="16254"/>
    <cellStyle name="Note 8 3 2" xfId="16255"/>
    <cellStyle name="Note 8 3 2 2" xfId="16256"/>
    <cellStyle name="Note 8 3 3" xfId="16257"/>
    <cellStyle name="Note 8 4" xfId="16258"/>
    <cellStyle name="Note 8 4 2" xfId="16259"/>
    <cellStyle name="Note 8 5" xfId="16260"/>
    <cellStyle name="Note 8 6" xfId="16261"/>
    <cellStyle name="Note 8 7" xfId="21211"/>
    <cellStyle name="Note 9" xfId="16262"/>
    <cellStyle name="Note 9 2" xfId="16263"/>
    <cellStyle name="Note 9 2 2" xfId="16264"/>
    <cellStyle name="Note 9 2 2 2" xfId="16265"/>
    <cellStyle name="Note 9 2 3" xfId="16266"/>
    <cellStyle name="Note 9 2 4" xfId="16267"/>
    <cellStyle name="Note 9 3" xfId="16268"/>
    <cellStyle name="Note 9 3 2" xfId="16269"/>
    <cellStyle name="Note 9 3 2 2" xfId="16270"/>
    <cellStyle name="Note 9 3 3" xfId="16271"/>
    <cellStyle name="Note 9 4" xfId="16272"/>
    <cellStyle name="Note 9 4 2" xfId="16273"/>
    <cellStyle name="Note 9 5" xfId="16274"/>
    <cellStyle name="Note 9 6" xfId="16275"/>
    <cellStyle name="Note 9 7" xfId="21212"/>
    <cellStyle name="Note 9 8" xfId="21213"/>
    <cellStyle name="Output 2" xfId="838"/>
    <cellStyle name="Output 2 2" xfId="839"/>
    <cellStyle name="Output 2 2 2" xfId="16276"/>
    <cellStyle name="Output 2 2 2 2" xfId="16277"/>
    <cellStyle name="Output 2 2 2 3" xfId="16278"/>
    <cellStyle name="Output 2 2 3" xfId="16279"/>
    <cellStyle name="Output 2 2 3 2" xfId="16280"/>
    <cellStyle name="Output 2 2 3 2 2" xfId="16281"/>
    <cellStyle name="Output 2 2 3 3" xfId="16282"/>
    <cellStyle name="Output 2 2 4" xfId="16283"/>
    <cellStyle name="Output 2 2 4 2" xfId="16284"/>
    <cellStyle name="Output 2 2 5" xfId="16285"/>
    <cellStyle name="Output 2 2 6" xfId="16286"/>
    <cellStyle name="Output 2 3" xfId="16287"/>
    <cellStyle name="Output 2 3 2" xfId="16288"/>
    <cellStyle name="Output 2 3 2 2" xfId="16289"/>
    <cellStyle name="Output 2 3 3" xfId="16290"/>
    <cellStyle name="Output 2 4" xfId="16291"/>
    <cellStyle name="Output 2 4 2" xfId="16292"/>
    <cellStyle name="Output 2 4 2 2" xfId="16293"/>
    <cellStyle name="Output 2 4 3" xfId="16294"/>
    <cellStyle name="Output 2 4 4" xfId="16295"/>
    <cellStyle name="Output 2 5" xfId="16296"/>
    <cellStyle name="Output 2 5 2" xfId="16297"/>
    <cellStyle name="Output 2 6" xfId="16298"/>
    <cellStyle name="Output 2 7" xfId="16299"/>
    <cellStyle name="Output 3" xfId="840"/>
    <cellStyle name="Output 3 2" xfId="841"/>
    <cellStyle name="Output 3 2 2" xfId="16300"/>
    <cellStyle name="Output 3 2 3" xfId="16301"/>
    <cellStyle name="Output 3 3" xfId="16302"/>
    <cellStyle name="Output 3 3 2" xfId="16303"/>
    <cellStyle name="Output 3 3 2 2" xfId="16304"/>
    <cellStyle name="Output 3 3 3" xfId="16305"/>
    <cellStyle name="Output 3 4" xfId="16306"/>
    <cellStyle name="Output 3 4 2" xfId="16307"/>
    <cellStyle name="Output 3 5" xfId="16308"/>
    <cellStyle name="Output 3 6" xfId="16309"/>
    <cellStyle name="Output 4" xfId="842"/>
    <cellStyle name="Output 4 2" xfId="16310"/>
    <cellStyle name="Output 4 2 2" xfId="16311"/>
    <cellStyle name="Output 4 3" xfId="16312"/>
    <cellStyle name="Output 4 3 2" xfId="16313"/>
    <cellStyle name="Output 4 4" xfId="16314"/>
    <cellStyle name="Output 4 5" xfId="16315"/>
    <cellStyle name="Output 5" xfId="16316"/>
    <cellStyle name="Output 5 2" xfId="16317"/>
    <cellStyle name="Output 5 2 2" xfId="16318"/>
    <cellStyle name="Output 5 3" xfId="16319"/>
    <cellStyle name="Output 5 3 2" xfId="16320"/>
    <cellStyle name="Output 5 4" xfId="16321"/>
    <cellStyle name="Output 6" xfId="16322"/>
    <cellStyle name="Output 6 2" xfId="16323"/>
    <cellStyle name="Output 6 2 2" xfId="16324"/>
    <cellStyle name="Output 6 3" xfId="16325"/>
    <cellStyle name="Output 7" xfId="16326"/>
    <cellStyle name="Output 7 2" xfId="16327"/>
    <cellStyle name="Percen - Style1" xfId="16328"/>
    <cellStyle name="Percen - Style1 2" xfId="16329"/>
    <cellStyle name="Percen - Style1 2 2" xfId="16330"/>
    <cellStyle name="Percen - Style1 2 2 2" xfId="16331"/>
    <cellStyle name="Percen - Style1 2 3" xfId="16332"/>
    <cellStyle name="Percen - Style1 3" xfId="16333"/>
    <cellStyle name="Percen - Style1 3 2" xfId="16334"/>
    <cellStyle name="Percen - Style1 4" xfId="16335"/>
    <cellStyle name="Percen - Style2" xfId="16336"/>
    <cellStyle name="Percen - Style2 2" xfId="16337"/>
    <cellStyle name="Percen - Style2 2 2" xfId="16338"/>
    <cellStyle name="Percen - Style2 2 2 2" xfId="16339"/>
    <cellStyle name="Percen - Style2 2 3" xfId="16340"/>
    <cellStyle name="Percen - Style2 3" xfId="16341"/>
    <cellStyle name="Percen - Style2 3 2" xfId="16342"/>
    <cellStyle name="Percen - Style2 4" xfId="16343"/>
    <cellStyle name="Percen - Style3" xfId="16344"/>
    <cellStyle name="Percen - Style3 2" xfId="16345"/>
    <cellStyle name="Percen - Style3 2 2" xfId="16346"/>
    <cellStyle name="Percen - Style3 2 2 2" xfId="16347"/>
    <cellStyle name="Percen - Style3 2 3" xfId="16348"/>
    <cellStyle name="Percen - Style3 3" xfId="16349"/>
    <cellStyle name="Percen - Style3 3 2" xfId="16350"/>
    <cellStyle name="Percen - Style3 4" xfId="16351"/>
    <cellStyle name="Percen - Style3_Electric Rev Req Model (2009 GRC) Rebuttal" xfId="18235"/>
    <cellStyle name="Percen - Style5" xfId="16352"/>
    <cellStyle name="Percent" xfId="18252" builtinId="5"/>
    <cellStyle name="Percent (0)" xfId="16353"/>
    <cellStyle name="Percent [2]" xfId="843"/>
    <cellStyle name="Percent [2] 10" xfId="5"/>
    <cellStyle name="Percent [2] 2" xfId="844"/>
    <cellStyle name="Percent [2] 2 2" xfId="16354"/>
    <cellStyle name="Percent [2] 2 2 2" xfId="16355"/>
    <cellStyle name="Percent [2] 2 2 2 2" xfId="16356"/>
    <cellStyle name="Percent [2] 2 2 3" xfId="16357"/>
    <cellStyle name="Percent [2] 2 3" xfId="16358"/>
    <cellStyle name="Percent [2] 2 3 2" xfId="16359"/>
    <cellStyle name="Percent [2] 2 3 2 2" xfId="16360"/>
    <cellStyle name="Percent [2] 2 3 3" xfId="16361"/>
    <cellStyle name="Percent [2] 2 4" xfId="16362"/>
    <cellStyle name="Percent [2] 3" xfId="16363"/>
    <cellStyle name="Percent [2] 3 2" xfId="16364"/>
    <cellStyle name="Percent [2] 3 2 2" xfId="16365"/>
    <cellStyle name="Percent [2] 3 3" xfId="16366"/>
    <cellStyle name="Percent [2] 4" xfId="16367"/>
    <cellStyle name="Percent [2] 4 2" xfId="16368"/>
    <cellStyle name="Percent [2] 4 2 2" xfId="16369"/>
    <cellStyle name="Percent [2] 4 2 2 2" xfId="16370"/>
    <cellStyle name="Percent [2] 4 2 3" xfId="16371"/>
    <cellStyle name="Percent [2] 4 3" xfId="16372"/>
    <cellStyle name="Percent [2] 4 3 2" xfId="16373"/>
    <cellStyle name="Percent [2] 4 4" xfId="16374"/>
    <cellStyle name="Percent [2] 5" xfId="16375"/>
    <cellStyle name="Percent [2] 5 2" xfId="16376"/>
    <cellStyle name="Percent [2] 5 2 2" xfId="16377"/>
    <cellStyle name="Percent [2] 5 3" xfId="16378"/>
    <cellStyle name="Percent [2] 6" xfId="16379"/>
    <cellStyle name="Percent [2] 6 2" xfId="16380"/>
    <cellStyle name="Percent [2] 6 2 2" xfId="16381"/>
    <cellStyle name="Percent [2] 6 3" xfId="16382"/>
    <cellStyle name="Percent [2] 7" xfId="16383"/>
    <cellStyle name="Percent [2] 7 2" xfId="16384"/>
    <cellStyle name="Percent [2] 7 2 2" xfId="16385"/>
    <cellStyle name="Percent [2] 7 3" xfId="16386"/>
    <cellStyle name="Percent [2] 8" xfId="16387"/>
    <cellStyle name="Percent [2] 8 2" xfId="16388"/>
    <cellStyle name="Percent [2] 9" xfId="16389"/>
    <cellStyle name="Percent 10" xfId="845"/>
    <cellStyle name="Percent 10 10" xfId="21300"/>
    <cellStyle name="Percent 10 2" xfId="846"/>
    <cellStyle name="Percent 10 2 2" xfId="16390"/>
    <cellStyle name="Percent 10 2 2 2" xfId="16391"/>
    <cellStyle name="Percent 10 2 3" xfId="16392"/>
    <cellStyle name="Percent 10 2 4" xfId="18337"/>
    <cellStyle name="Percent 10 2 5" xfId="21214"/>
    <cellStyle name="Percent 10 3" xfId="16393"/>
    <cellStyle name="Percent 10 3 2" xfId="16394"/>
    <cellStyle name="Percent 10 3 2 2" xfId="16395"/>
    <cellStyle name="Percent 10 3 3" xfId="16396"/>
    <cellStyle name="Percent 10 3 3 2" xfId="16397"/>
    <cellStyle name="Percent 10 3 4" xfId="16398"/>
    <cellStyle name="Percent 10 4" xfId="16399"/>
    <cellStyle name="Percent 10 4 2" xfId="16400"/>
    <cellStyle name="Percent 10 5" xfId="16401"/>
    <cellStyle name="Percent 10 6" xfId="18336"/>
    <cellStyle name="Percent 10 7" xfId="21215"/>
    <cellStyle name="Percent 10 8" xfId="21216"/>
    <cellStyle name="Percent 10 9" xfId="21217"/>
    <cellStyle name="Percent 11" xfId="847"/>
    <cellStyle name="Percent 11 2" xfId="16402"/>
    <cellStyle name="Percent 11 2 2" xfId="16403"/>
    <cellStyle name="Percent 11 2 2 2" xfId="16404"/>
    <cellStyle name="Percent 11 2 3" xfId="16405"/>
    <cellStyle name="Percent 11 3" xfId="16406"/>
    <cellStyle name="Percent 11 3 2" xfId="16407"/>
    <cellStyle name="Percent 11 3 2 2" xfId="16408"/>
    <cellStyle name="Percent 11 3 3" xfId="16409"/>
    <cellStyle name="Percent 11 4" xfId="16410"/>
    <cellStyle name="Percent 12" xfId="848"/>
    <cellStyle name="Percent 12 2" xfId="16411"/>
    <cellStyle name="Percent 12 2 2" xfId="16412"/>
    <cellStyle name="Percent 12 2 2 2" xfId="16413"/>
    <cellStyle name="Percent 12 2 3" xfId="16414"/>
    <cellStyle name="Percent 12 3" xfId="16415"/>
    <cellStyle name="Percent 12 3 2" xfId="16416"/>
    <cellStyle name="Percent 12 4" xfId="16417"/>
    <cellStyle name="Percent 13" xfId="849"/>
    <cellStyle name="Percent 13 2" xfId="850"/>
    <cellStyle name="Percent 13 2 2" xfId="16418"/>
    <cellStyle name="Percent 13 2 2 2" xfId="16419"/>
    <cellStyle name="Percent 13 2 3" xfId="16420"/>
    <cellStyle name="Percent 13 3" xfId="16421"/>
    <cellStyle name="Percent 13 3 2" xfId="16422"/>
    <cellStyle name="Percent 13 4" xfId="16423"/>
    <cellStyle name="Percent 14" xfId="851"/>
    <cellStyle name="Percent 14 2" xfId="852"/>
    <cellStyle name="Percent 14 2 2" xfId="16424"/>
    <cellStyle name="Percent 14 2 2 2" xfId="16425"/>
    <cellStyle name="Percent 14 2 3" xfId="16426"/>
    <cellStyle name="Percent 14 3" xfId="16427"/>
    <cellStyle name="Percent 14 3 2" xfId="16428"/>
    <cellStyle name="Percent 14 4" xfId="16429"/>
    <cellStyle name="Percent 15" xfId="853"/>
    <cellStyle name="Percent 15 2" xfId="16430"/>
    <cellStyle name="Percent 15 2 2" xfId="16431"/>
    <cellStyle name="Percent 15 2 2 2" xfId="16432"/>
    <cellStyle name="Percent 15 2 3" xfId="16433"/>
    <cellStyle name="Percent 15 3" xfId="16434"/>
    <cellStyle name="Percent 15 3 2" xfId="16435"/>
    <cellStyle name="Percent 15 4" xfId="16436"/>
    <cellStyle name="Percent 16" xfId="854"/>
    <cellStyle name="Percent 16 2" xfId="16437"/>
    <cellStyle name="Percent 16 2 2" xfId="16438"/>
    <cellStyle name="Percent 16 2 2 2" xfId="16439"/>
    <cellStyle name="Percent 16 2 3" xfId="16440"/>
    <cellStyle name="Percent 16 3" xfId="16441"/>
    <cellStyle name="Percent 16 3 2" xfId="16442"/>
    <cellStyle name="Percent 16 4" xfId="16443"/>
    <cellStyle name="Percent 17" xfId="855"/>
    <cellStyle name="Percent 17 2" xfId="16444"/>
    <cellStyle name="Percent 17 2 2" xfId="16445"/>
    <cellStyle name="Percent 17 2 2 2" xfId="16446"/>
    <cellStyle name="Percent 17 2 3" xfId="16447"/>
    <cellStyle name="Percent 17 3" xfId="16448"/>
    <cellStyle name="Percent 17 3 2" xfId="16449"/>
    <cellStyle name="Percent 17 4" xfId="16450"/>
    <cellStyle name="Percent 18" xfId="856"/>
    <cellStyle name="Percent 18 2" xfId="16451"/>
    <cellStyle name="Percent 18 2 2" xfId="16452"/>
    <cellStyle name="Percent 18 2 2 2" xfId="16453"/>
    <cellStyle name="Percent 18 2 3" xfId="16454"/>
    <cellStyle name="Percent 18 3" xfId="16455"/>
    <cellStyle name="Percent 18 3 2" xfId="16456"/>
    <cellStyle name="Percent 18 4" xfId="16457"/>
    <cellStyle name="Percent 19" xfId="857"/>
    <cellStyle name="Percent 19 2" xfId="16458"/>
    <cellStyle name="Percent 19 2 2" xfId="16459"/>
    <cellStyle name="Percent 19 2 2 2" xfId="16460"/>
    <cellStyle name="Percent 19 2 3" xfId="16461"/>
    <cellStyle name="Percent 19 3" xfId="16462"/>
    <cellStyle name="Percent 19 3 2" xfId="16463"/>
    <cellStyle name="Percent 19 4" xfId="16464"/>
    <cellStyle name="Percent 2" xfId="858"/>
    <cellStyle name="Percent 2 2" xfId="859"/>
    <cellStyle name="Percent 2 2 2" xfId="16465"/>
    <cellStyle name="Percent 2 2 2 2" xfId="16466"/>
    <cellStyle name="Percent 2 2 2 2 2" xfId="16467"/>
    <cellStyle name="Percent 2 2 2 2 2 2" xfId="16468"/>
    <cellStyle name="Percent 2 2 2 2 3" xfId="16469"/>
    <cellStyle name="Percent 2 2 2 3" xfId="16470"/>
    <cellStyle name="Percent 2 2 2 3 2" xfId="16471"/>
    <cellStyle name="Percent 2 2 2 4" xfId="16472"/>
    <cellStyle name="Percent 2 2 3" xfId="16473"/>
    <cellStyle name="Percent 2 2 3 2" xfId="16474"/>
    <cellStyle name="Percent 2 2 3 2 2" xfId="16475"/>
    <cellStyle name="Percent 2 2 3 2 2 2" xfId="16476"/>
    <cellStyle name="Percent 2 2 3 2 3" xfId="16477"/>
    <cellStyle name="Percent 2 2 3 3" xfId="16478"/>
    <cellStyle name="Percent 2 2 4" xfId="16479"/>
    <cellStyle name="Percent 2 2 4 2" xfId="16480"/>
    <cellStyle name="Percent 2 2 4 2 2" xfId="16481"/>
    <cellStyle name="Percent 2 2 4 3" xfId="16482"/>
    <cellStyle name="Percent 2 2 5" xfId="16483"/>
    <cellStyle name="Percent 2 2 5 2" xfId="16484"/>
    <cellStyle name="Percent 2 2 6" xfId="16485"/>
    <cellStyle name="Percent 2 3" xfId="16486"/>
    <cellStyle name="Percent 2 3 2" xfId="16487"/>
    <cellStyle name="Percent 2 3 2 2" xfId="16488"/>
    <cellStyle name="Percent 2 3 2 2 2" xfId="16489"/>
    <cellStyle name="Percent 2 3 2 3" xfId="16490"/>
    <cellStyle name="Percent 2 3 3" xfId="16491"/>
    <cellStyle name="Percent 2 3 3 2" xfId="16492"/>
    <cellStyle name="Percent 2 3 4" xfId="16493"/>
    <cellStyle name="Percent 2 4" xfId="16494"/>
    <cellStyle name="Percent 2 4 2" xfId="16495"/>
    <cellStyle name="Percent 2 4 2 2" xfId="16496"/>
    <cellStyle name="Percent 2 4 3" xfId="16497"/>
    <cellStyle name="Percent 2 4 3 2" xfId="16498"/>
    <cellStyle name="Percent 2 4 4" xfId="16499"/>
    <cellStyle name="Percent 2 5" xfId="16500"/>
    <cellStyle name="Percent 2 5 2" xfId="16501"/>
    <cellStyle name="Percent 2 6" xfId="16502"/>
    <cellStyle name="Percent 2 7" xfId="21304"/>
    <cellStyle name="Percent 20" xfId="860"/>
    <cellStyle name="Percent 20 2" xfId="16503"/>
    <cellStyle name="Percent 20 2 2" xfId="16504"/>
    <cellStyle name="Percent 20 2 2 2" xfId="16505"/>
    <cellStyle name="Percent 20 2 3" xfId="16506"/>
    <cellStyle name="Percent 20 3" xfId="16507"/>
    <cellStyle name="Percent 20 3 2" xfId="16508"/>
    <cellStyle name="Percent 20 4" xfId="16509"/>
    <cellStyle name="Percent 21" xfId="861"/>
    <cellStyle name="Percent 21 2" xfId="16510"/>
    <cellStyle name="Percent 21 2 2" xfId="16511"/>
    <cellStyle name="Percent 21 3" xfId="16512"/>
    <cellStyle name="Percent 21 3 2" xfId="16513"/>
    <cellStyle name="Percent 21 4" xfId="16514"/>
    <cellStyle name="Percent 21 4 2" xfId="16515"/>
    <cellStyle name="Percent 21 5" xfId="16516"/>
    <cellStyle name="Percent 21 6" xfId="18338"/>
    <cellStyle name="Percent 22" xfId="862"/>
    <cellStyle name="Percent 22 2" xfId="16517"/>
    <cellStyle name="Percent 22 2 2" xfId="16518"/>
    <cellStyle name="Percent 22 2 2 2" xfId="16519"/>
    <cellStyle name="Percent 22 2 3" xfId="16520"/>
    <cellStyle name="Percent 22 3" xfId="16521"/>
    <cellStyle name="Percent 22 4" xfId="18339"/>
    <cellStyle name="Percent 23" xfId="863"/>
    <cellStyle name="Percent 23 2" xfId="16522"/>
    <cellStyle name="Percent 23 2 2" xfId="16523"/>
    <cellStyle name="Percent 23 3" xfId="16524"/>
    <cellStyle name="Percent 23 4" xfId="18340"/>
    <cellStyle name="Percent 24" xfId="16525"/>
    <cellStyle name="Percent 24 2" xfId="16526"/>
    <cellStyle name="Percent 24 2 2" xfId="16527"/>
    <cellStyle name="Percent 24 3" xfId="16528"/>
    <cellStyle name="Percent 24 3 2" xfId="16529"/>
    <cellStyle name="Percent 24 4" xfId="16530"/>
    <cellStyle name="Percent 25" xfId="16531"/>
    <cellStyle name="Percent 25 2" xfId="16532"/>
    <cellStyle name="Percent 25 2 2" xfId="16533"/>
    <cellStyle name="Percent 25 3" xfId="16534"/>
    <cellStyle name="Percent 25 3 2" xfId="16535"/>
    <cellStyle name="Percent 25 4" xfId="16536"/>
    <cellStyle name="Percent 25 4 2" xfId="16537"/>
    <cellStyle name="Percent 25 5" xfId="16538"/>
    <cellStyle name="Percent 25 6" xfId="16539"/>
    <cellStyle name="Percent 25 7" xfId="16540"/>
    <cellStyle name="Percent 26" xfId="16541"/>
    <cellStyle name="Percent 26 2" xfId="16542"/>
    <cellStyle name="Percent 26 2 2" xfId="16543"/>
    <cellStyle name="Percent 26 3" xfId="16544"/>
    <cellStyle name="Percent 27" xfId="16545"/>
    <cellStyle name="Percent 27 2" xfId="16546"/>
    <cellStyle name="Percent 27 2 2" xfId="16547"/>
    <cellStyle name="Percent 27 3" xfId="16548"/>
    <cellStyle name="Percent 28" xfId="16549"/>
    <cellStyle name="Percent 28 2" xfId="16550"/>
    <cellStyle name="Percent 28 2 2" xfId="16551"/>
    <cellStyle name="Percent 28 3" xfId="16552"/>
    <cellStyle name="Percent 29" xfId="16553"/>
    <cellStyle name="Percent 29 2" xfId="16554"/>
    <cellStyle name="Percent 29 2 2" xfId="16555"/>
    <cellStyle name="Percent 29 3" xfId="16556"/>
    <cellStyle name="Percent 3" xfId="864"/>
    <cellStyle name="Percent 3 2" xfId="865"/>
    <cellStyle name="Percent 3 2 2" xfId="16557"/>
    <cellStyle name="Percent 3 2 2 2" xfId="16558"/>
    <cellStyle name="Percent 3 2 2 2 2" xfId="16559"/>
    <cellStyle name="Percent 3 2 2 3" xfId="16560"/>
    <cellStyle name="Percent 3 2 3" xfId="16561"/>
    <cellStyle name="Percent 3 2 3 2" xfId="16562"/>
    <cellStyle name="Percent 3 2 4" xfId="16563"/>
    <cellStyle name="Percent 3 3" xfId="16564"/>
    <cellStyle name="Percent 3 3 2" xfId="16565"/>
    <cellStyle name="Percent 3 3 2 2" xfId="16566"/>
    <cellStyle name="Percent 3 3 2 2 2" xfId="16567"/>
    <cellStyle name="Percent 3 3 2 3" xfId="16568"/>
    <cellStyle name="Percent 3 3 3" xfId="16569"/>
    <cellStyle name="Percent 3 3 3 2" xfId="16570"/>
    <cellStyle name="Percent 3 3 4" xfId="16571"/>
    <cellStyle name="Percent 3 4" xfId="16572"/>
    <cellStyle name="Percent 3 4 2" xfId="16573"/>
    <cellStyle name="Percent 3 4 2 2" xfId="16574"/>
    <cellStyle name="Percent 3 4 3" xfId="16575"/>
    <cellStyle name="Percent 3 4 3 2" xfId="16576"/>
    <cellStyle name="Percent 3 4 4" xfId="16577"/>
    <cellStyle name="Percent 3 5" xfId="16578"/>
    <cellStyle name="Percent 3 5 2" xfId="16579"/>
    <cellStyle name="Percent 3 5 2 2" xfId="16580"/>
    <cellStyle name="Percent 3 5 3" xfId="16581"/>
    <cellStyle name="Percent 3 6" xfId="16582"/>
    <cellStyle name="Percent 3 6 2" xfId="16583"/>
    <cellStyle name="Percent 3 6 2 2" xfId="16584"/>
    <cellStyle name="Percent 3 6 3" xfId="16585"/>
    <cellStyle name="Percent 3 7" xfId="16586"/>
    <cellStyle name="Percent 3 7 2" xfId="16587"/>
    <cellStyle name="Percent 3 8" xfId="16588"/>
    <cellStyle name="Percent 30" xfId="16589"/>
    <cellStyle name="Percent 30 2" xfId="16590"/>
    <cellStyle name="Percent 30 2 2" xfId="16591"/>
    <cellStyle name="Percent 30 3" xfId="16592"/>
    <cellStyle name="Percent 31" xfId="16593"/>
    <cellStyle name="Percent 31 2" xfId="16594"/>
    <cellStyle name="Percent 31 2 2" xfId="16595"/>
    <cellStyle name="Percent 31 3" xfId="16596"/>
    <cellStyle name="Percent 31 4" xfId="16597"/>
    <cellStyle name="Percent 32" xfId="16598"/>
    <cellStyle name="Percent 32 2" xfId="16599"/>
    <cellStyle name="Percent 32 3" xfId="16600"/>
    <cellStyle name="Percent 32 3 2" xfId="18570"/>
    <cellStyle name="Percent 32 4" xfId="18569"/>
    <cellStyle name="Percent 33" xfId="16601"/>
    <cellStyle name="Percent 33 2" xfId="16602"/>
    <cellStyle name="Percent 33 2 2" xfId="16603"/>
    <cellStyle name="Percent 33 2 2 2" xfId="18573"/>
    <cellStyle name="Percent 33 2 3" xfId="18572"/>
    <cellStyle name="Percent 33 3" xfId="16604"/>
    <cellStyle name="Percent 33 3 2" xfId="18574"/>
    <cellStyle name="Percent 33 4" xfId="18571"/>
    <cellStyle name="Percent 34" xfId="16605"/>
    <cellStyle name="Percent 34 2" xfId="16606"/>
    <cellStyle name="Percent 35" xfId="16607"/>
    <cellStyle name="Percent 35 2" xfId="16608"/>
    <cellStyle name="Percent 36" xfId="16609"/>
    <cellStyle name="Percent 36 2" xfId="16610"/>
    <cellStyle name="Percent 37" xfId="16611"/>
    <cellStyle name="Percent 37 2" xfId="16612"/>
    <cellStyle name="Percent 38" xfId="16613"/>
    <cellStyle name="Percent 38 2" xfId="16614"/>
    <cellStyle name="Percent 39" xfId="16615"/>
    <cellStyle name="Percent 39 2" xfId="16616"/>
    <cellStyle name="Percent 4" xfId="866"/>
    <cellStyle name="Percent 4 2" xfId="16617"/>
    <cellStyle name="Percent 4 2 2" xfId="16618"/>
    <cellStyle name="Percent 4 2 2 2" xfId="16619"/>
    <cellStyle name="Percent 4 2 2 2 2" xfId="16620"/>
    <cellStyle name="Percent 4 2 2 3" xfId="16621"/>
    <cellStyle name="Percent 4 2 3" xfId="16622"/>
    <cellStyle name="Percent 4 2 3 2" xfId="16623"/>
    <cellStyle name="Percent 4 2 3 2 2" xfId="16624"/>
    <cellStyle name="Percent 4 2 3 3" xfId="16625"/>
    <cellStyle name="Percent 4 2 4" xfId="16626"/>
    <cellStyle name="Percent 4 2 4 2" xfId="16627"/>
    <cellStyle name="Percent 4 2 5" xfId="16628"/>
    <cellStyle name="Percent 4 3" xfId="16629"/>
    <cellStyle name="Percent 4 3 2" xfId="16630"/>
    <cellStyle name="Percent 4 3 2 2" xfId="16631"/>
    <cellStyle name="Percent 4 3 3" xfId="16632"/>
    <cellStyle name="Percent 4 4" xfId="16633"/>
    <cellStyle name="Percent 4 4 2" xfId="16634"/>
    <cellStyle name="Percent 4 4 2 2" xfId="16635"/>
    <cellStyle name="Percent 4 4 3" xfId="16636"/>
    <cellStyle name="Percent 4 5" xfId="16637"/>
    <cellStyle name="Percent 4 5 2" xfId="16638"/>
    <cellStyle name="Percent 4 6" xfId="16639"/>
    <cellStyle name="Percent 40" xfId="16640"/>
    <cellStyle name="Percent 40 2" xfId="18575"/>
    <cellStyle name="Percent 41" xfId="16641"/>
    <cellStyle name="Percent 41 2" xfId="16642"/>
    <cellStyle name="Percent 41 2 2" xfId="16643"/>
    <cellStyle name="Percent 41 3" xfId="16644"/>
    <cellStyle name="Percent 42" xfId="16645"/>
    <cellStyle name="Percent 43" xfId="16646"/>
    <cellStyle name="Percent 44" xfId="16647"/>
    <cellStyle name="Percent 45" xfId="16648"/>
    <cellStyle name="Percent 46" xfId="16649"/>
    <cellStyle name="Percent 47" xfId="16650"/>
    <cellStyle name="Percent 48" xfId="21230"/>
    <cellStyle name="Percent 49" xfId="21294"/>
    <cellStyle name="Percent 5" xfId="867"/>
    <cellStyle name="Percent 5 2" xfId="868"/>
    <cellStyle name="Percent 5 2 2" xfId="16651"/>
    <cellStyle name="Percent 5 2 2 2" xfId="16652"/>
    <cellStyle name="Percent 5 2 3" xfId="16653"/>
    <cellStyle name="Percent 5 3" xfId="16654"/>
    <cellStyle name="Percent 5 3 2" xfId="16655"/>
    <cellStyle name="Percent 5 3 2 2" xfId="16656"/>
    <cellStyle name="Percent 5 3 3" xfId="16657"/>
    <cellStyle name="Percent 5 4" xfId="16658"/>
    <cellStyle name="Percent 5 4 2" xfId="16659"/>
    <cellStyle name="Percent 5 5" xfId="16660"/>
    <cellStyle name="Percent 50" xfId="21298"/>
    <cellStyle name="Percent 51" xfId="21301"/>
    <cellStyle name="Percent 6" xfId="869"/>
    <cellStyle name="Percent 6 2" xfId="16661"/>
    <cellStyle name="Percent 6 2 2" xfId="16662"/>
    <cellStyle name="Percent 6 2 2 2" xfId="16663"/>
    <cellStyle name="Percent 6 2 2 2 2" xfId="16664"/>
    <cellStyle name="Percent 6 2 2 3" xfId="16665"/>
    <cellStyle name="Percent 6 2 3" xfId="16666"/>
    <cellStyle name="Percent 6 3" xfId="16667"/>
    <cellStyle name="Percent 6 3 2" xfId="16668"/>
    <cellStyle name="Percent 6 3 2 2" xfId="16669"/>
    <cellStyle name="Percent 6 3 3" xfId="16670"/>
    <cellStyle name="Percent 6 4" xfId="16671"/>
    <cellStyle name="Percent 6 4 2" xfId="16672"/>
    <cellStyle name="Percent 6 5" xfId="16673"/>
    <cellStyle name="Percent 7" xfId="870"/>
    <cellStyle name="Percent 7 2" xfId="16674"/>
    <cellStyle name="Percent 7 2 2" xfId="16675"/>
    <cellStyle name="Percent 7 2 2 2" xfId="16676"/>
    <cellStyle name="Percent 7 2 3" xfId="16677"/>
    <cellStyle name="Percent 7 2 3 2" xfId="16678"/>
    <cellStyle name="Percent 7 2 4" xfId="16679"/>
    <cellStyle name="Percent 7 3" xfId="16680"/>
    <cellStyle name="Percent 7 3 2" xfId="16681"/>
    <cellStyle name="Percent 7 4" xfId="16682"/>
    <cellStyle name="Percent 8" xfId="871"/>
    <cellStyle name="Percent 8 2" xfId="16683"/>
    <cellStyle name="Percent 8 2 2" xfId="16684"/>
    <cellStyle name="Percent 8 2 2 2" xfId="16685"/>
    <cellStyle name="Percent 8 2 2 2 2" xfId="16686"/>
    <cellStyle name="Percent 8 2 2 3" xfId="16687"/>
    <cellStyle name="Percent 8 2 3" xfId="16688"/>
    <cellStyle name="Percent 8 3" xfId="16689"/>
    <cellStyle name="Percent 8 3 2" xfId="16690"/>
    <cellStyle name="Percent 8 3 2 2" xfId="16691"/>
    <cellStyle name="Percent 8 3 3" xfId="16692"/>
    <cellStyle name="Percent 8 4" xfId="16693"/>
    <cellStyle name="Percent 8 4 2" xfId="16694"/>
    <cellStyle name="Percent 8 5" xfId="16695"/>
    <cellStyle name="Percent 9" xfId="872"/>
    <cellStyle name="Percent 9 2" xfId="873"/>
    <cellStyle name="Percent 9 2 2" xfId="874"/>
    <cellStyle name="Percent 9 2 2 2" xfId="16696"/>
    <cellStyle name="Percent 9 2 2 2 2" xfId="16697"/>
    <cellStyle name="Percent 9 2 2 3" xfId="16698"/>
    <cellStyle name="Percent 9 2 2 4" xfId="18342"/>
    <cellStyle name="Percent 9 2 2 5" xfId="21218"/>
    <cellStyle name="Percent 9 2 3" xfId="16699"/>
    <cellStyle name="Percent 9 2 3 2" xfId="21219"/>
    <cellStyle name="Percent 9 2 3 3" xfId="21220"/>
    <cellStyle name="Percent 9 2 4" xfId="18341"/>
    <cellStyle name="Percent 9 2 4 2" xfId="21221"/>
    <cellStyle name="Percent 9 2 5" xfId="21222"/>
    <cellStyle name="Percent 9 2 6" xfId="21223"/>
    <cellStyle name="Percent 9 2 7" xfId="21224"/>
    <cellStyle name="Percent 9 2 8" xfId="21225"/>
    <cellStyle name="Percent 9 3" xfId="16700"/>
    <cellStyle name="Percent 9 3 2" xfId="16701"/>
    <cellStyle name="Percent 9 3 2 2" xfId="16702"/>
    <cellStyle name="Percent 9 3 3" xfId="16703"/>
    <cellStyle name="Percent 9 4" xfId="16704"/>
    <cellStyle name="Processing" xfId="16705"/>
    <cellStyle name="Processing 2" xfId="16706"/>
    <cellStyle name="Processing 2 2" xfId="16707"/>
    <cellStyle name="Processing 2 2 2" xfId="16708"/>
    <cellStyle name="Processing 2 2 2 2" xfId="16709"/>
    <cellStyle name="Processing 2 2 3" xfId="16710"/>
    <cellStyle name="Processing 2 3" xfId="16711"/>
    <cellStyle name="Processing 2 3 2" xfId="16712"/>
    <cellStyle name="Processing 2 4" xfId="16713"/>
    <cellStyle name="Processing 3" xfId="16714"/>
    <cellStyle name="Processing 3 2" xfId="16715"/>
    <cellStyle name="Processing 3 2 2" xfId="16716"/>
    <cellStyle name="Processing 3 3" xfId="16717"/>
    <cellStyle name="Processing 4" xfId="16718"/>
    <cellStyle name="Processing 4 2" xfId="16719"/>
    <cellStyle name="Processing 4 2 2" xfId="16720"/>
    <cellStyle name="Processing 4 3" xfId="16721"/>
    <cellStyle name="Processing 5" xfId="16722"/>
    <cellStyle name="Processing 5 2" xfId="16723"/>
    <cellStyle name="Processing 6" xfId="16724"/>
    <cellStyle name="Processing_AURORA Total New" xfId="16725"/>
    <cellStyle name="Protected" xfId="16726"/>
    <cellStyle name="ProtectedDates" xfId="16727"/>
    <cellStyle name="PSChar" xfId="16728"/>
    <cellStyle name="PSChar 2" xfId="16729"/>
    <cellStyle name="PSChar 2 2" xfId="16730"/>
    <cellStyle name="PSChar 2 2 2" xfId="16731"/>
    <cellStyle name="PSChar 2 3" xfId="16732"/>
    <cellStyle name="PSChar 2 3 2" xfId="16733"/>
    <cellStyle name="PSChar 2 4" xfId="16734"/>
    <cellStyle name="PSChar 3" xfId="16735"/>
    <cellStyle name="PSChar 3 2" xfId="16736"/>
    <cellStyle name="PSChar 4" xfId="16737"/>
    <cellStyle name="PSDate" xfId="16738"/>
    <cellStyle name="PSDate 2" xfId="16739"/>
    <cellStyle name="PSDate 2 2" xfId="16740"/>
    <cellStyle name="PSDate 2 2 2" xfId="16741"/>
    <cellStyle name="PSDate 2 3" xfId="16742"/>
    <cellStyle name="PSDate 2 3 2" xfId="16743"/>
    <cellStyle name="PSDate 2 4" xfId="16744"/>
    <cellStyle name="PSDate 3" xfId="16745"/>
    <cellStyle name="PSDate 3 2" xfId="16746"/>
    <cellStyle name="PSDate 4" xfId="16747"/>
    <cellStyle name="PSDec" xfId="16748"/>
    <cellStyle name="PSDec 2" xfId="16749"/>
    <cellStyle name="PSDec 2 2" xfId="16750"/>
    <cellStyle name="PSDec 2 2 2" xfId="16751"/>
    <cellStyle name="PSDec 2 3" xfId="16752"/>
    <cellStyle name="PSDec 2 3 2" xfId="16753"/>
    <cellStyle name="PSDec 2 4" xfId="16754"/>
    <cellStyle name="PSDec 3" xfId="16755"/>
    <cellStyle name="PSDec 3 2" xfId="16756"/>
    <cellStyle name="PSDec 4" xfId="16757"/>
    <cellStyle name="PSHeading" xfId="16758"/>
    <cellStyle name="PSHeading 2" xfId="16759"/>
    <cellStyle name="PSHeading 2 2" xfId="16760"/>
    <cellStyle name="PSHeading 2 2 2" xfId="16761"/>
    <cellStyle name="PSHeading 2 2 3" xfId="16762"/>
    <cellStyle name="PSHeading 2 2 3 2" xfId="16763"/>
    <cellStyle name="PSHeading 2 2 3 3" xfId="16764"/>
    <cellStyle name="PSHeading 2 2 3 4" xfId="16765"/>
    <cellStyle name="PSHeading 2 2 4" xfId="16766"/>
    <cellStyle name="PSHeading 2 2 5" xfId="16767"/>
    <cellStyle name="PSHeading 2 2 6" xfId="16768"/>
    <cellStyle name="PSHeading 2 3" xfId="16769"/>
    <cellStyle name="PSHeading 2 3 2" xfId="16770"/>
    <cellStyle name="PSHeading 2 4" xfId="16771"/>
    <cellStyle name="PSHeading 2 5" xfId="16772"/>
    <cellStyle name="PSHeading 2 5 2" xfId="16773"/>
    <cellStyle name="PSHeading 2 5 3" xfId="16774"/>
    <cellStyle name="PSHeading 2 5 4" xfId="16775"/>
    <cellStyle name="PSHeading 2 6" xfId="16776"/>
    <cellStyle name="PSHeading 2 7" xfId="16777"/>
    <cellStyle name="PSHeading 2 8" xfId="16778"/>
    <cellStyle name="PSHeading 3" xfId="16779"/>
    <cellStyle name="PSHeading 3 2" xfId="16780"/>
    <cellStyle name="PSHeading 4" xfId="16781"/>
    <cellStyle name="PSHeading 5" xfId="16782"/>
    <cellStyle name="PSHeading 5 2" xfId="16783"/>
    <cellStyle name="PSHeading 5 3" xfId="16784"/>
    <cellStyle name="PSHeading 5 4" xfId="16785"/>
    <cellStyle name="PSHeading 6" xfId="16786"/>
    <cellStyle name="PSHeading 7" xfId="16787"/>
    <cellStyle name="PSHeading 8" xfId="16788"/>
    <cellStyle name="PSInt" xfId="16789"/>
    <cellStyle name="PSInt 2" xfId="16790"/>
    <cellStyle name="PSInt 2 2" xfId="16791"/>
    <cellStyle name="PSInt 2 2 2" xfId="16792"/>
    <cellStyle name="PSInt 2 3" xfId="16793"/>
    <cellStyle name="PSInt 2 3 2" xfId="16794"/>
    <cellStyle name="PSInt 2 4" xfId="16795"/>
    <cellStyle name="PSInt 3" xfId="16796"/>
    <cellStyle name="PSInt 3 2" xfId="16797"/>
    <cellStyle name="PSInt 4" xfId="16798"/>
    <cellStyle name="PSSpacer" xfId="16799"/>
    <cellStyle name="PSSpacer 2" xfId="16800"/>
    <cellStyle name="PSSpacer 2 2" xfId="16801"/>
    <cellStyle name="PSSpacer 2 2 2" xfId="16802"/>
    <cellStyle name="PSSpacer 2 3" xfId="16803"/>
    <cellStyle name="PSSpacer 2 3 2" xfId="16804"/>
    <cellStyle name="PSSpacer 2 4" xfId="16805"/>
    <cellStyle name="PSSpacer 3" xfId="16806"/>
    <cellStyle name="PSSpacer 3 2" xfId="16807"/>
    <cellStyle name="PSSpacer 4" xfId="16808"/>
    <cellStyle name="purple - Style8" xfId="16809"/>
    <cellStyle name="purple - Style8 2" xfId="16810"/>
    <cellStyle name="purple - Style8 2 2" xfId="16811"/>
    <cellStyle name="purple - Style8 2 2 2" xfId="16812"/>
    <cellStyle name="purple - Style8 2 3" xfId="16813"/>
    <cellStyle name="purple - Style8 3" xfId="16814"/>
    <cellStyle name="purple - Style8 3 2" xfId="16815"/>
    <cellStyle name="purple - Style8 4" xfId="16816"/>
    <cellStyle name="purple - Style8_Electric Rev Req Model (2009 GRC) Rebuttal" xfId="18236"/>
    <cellStyle name="RED" xfId="16817"/>
    <cellStyle name="Red - Style7" xfId="16818"/>
    <cellStyle name="Red - Style7 2" xfId="16819"/>
    <cellStyle name="Red - Style7 2 2" xfId="16820"/>
    <cellStyle name="Red - Style7 2 2 2" xfId="16821"/>
    <cellStyle name="Red - Style7 2 3" xfId="16822"/>
    <cellStyle name="Red - Style7 3" xfId="16823"/>
    <cellStyle name="Red - Style7 3 2" xfId="16824"/>
    <cellStyle name="Red - Style7 4" xfId="16825"/>
    <cellStyle name="Red - Style7_Electric Rev Req Model (2009 GRC) Rebuttal" xfId="18237"/>
    <cellStyle name="RED 2" xfId="16826"/>
    <cellStyle name="RED 2 2" xfId="16827"/>
    <cellStyle name="RED 2 2 2" xfId="16828"/>
    <cellStyle name="RED 2 3" xfId="16829"/>
    <cellStyle name="RED 2 3 2" xfId="16830"/>
    <cellStyle name="RED 2 4" xfId="16831"/>
    <cellStyle name="RED 3" xfId="16832"/>
    <cellStyle name="RED 3 2" xfId="16833"/>
    <cellStyle name="RED 3 2 2" xfId="16834"/>
    <cellStyle name="RED 3 3" xfId="16835"/>
    <cellStyle name="RED 4" xfId="16836"/>
    <cellStyle name="RED 4 2" xfId="16837"/>
    <cellStyle name="RED 4 2 2" xfId="16838"/>
    <cellStyle name="RED 4 3" xfId="16839"/>
    <cellStyle name="RED 5" xfId="16840"/>
    <cellStyle name="RED 5 2" xfId="16841"/>
    <cellStyle name="RED 5 2 2" xfId="16842"/>
    <cellStyle name="RED 5 3" xfId="16843"/>
    <cellStyle name="RED 6" xfId="16844"/>
    <cellStyle name="RED 6 2" xfId="16845"/>
    <cellStyle name="RED 6 2 2" xfId="16846"/>
    <cellStyle name="RED 6 3" xfId="16847"/>
    <cellStyle name="RED 7" xfId="16848"/>
    <cellStyle name="RED 7 2" xfId="16849"/>
    <cellStyle name="RED 8" xfId="16850"/>
    <cellStyle name="RED_04 07E Wild Horse Wind Expansion (C) (2)" xfId="16851"/>
    <cellStyle name="Report" xfId="16852"/>
    <cellStyle name="Report - Style5" xfId="18238"/>
    <cellStyle name="Report - Style6" xfId="18239"/>
    <cellStyle name="Report - Style7" xfId="18240"/>
    <cellStyle name="Report - Style8" xfId="18241"/>
    <cellStyle name="Report 2" xfId="16853"/>
    <cellStyle name="Report 2 2" xfId="16854"/>
    <cellStyle name="Report 2 2 2" xfId="16855"/>
    <cellStyle name="Report 2 2 2 2" xfId="16856"/>
    <cellStyle name="Report 2 2 3" xfId="16857"/>
    <cellStyle name="Report 2 3" xfId="16858"/>
    <cellStyle name="Report 2 3 2" xfId="16859"/>
    <cellStyle name="Report 2 4" xfId="16860"/>
    <cellStyle name="Report 3" xfId="16861"/>
    <cellStyle name="Report 3 2" xfId="16862"/>
    <cellStyle name="Report 3 2 2" xfId="16863"/>
    <cellStyle name="Report 3 3" xfId="16864"/>
    <cellStyle name="Report 4" xfId="16865"/>
    <cellStyle name="Report 4 2" xfId="16866"/>
    <cellStyle name="Report 4 2 2" xfId="16867"/>
    <cellStyle name="Report 4 3" xfId="16868"/>
    <cellStyle name="Report 5" xfId="16869"/>
    <cellStyle name="Report 5 2" xfId="16870"/>
    <cellStyle name="Report 6" xfId="16871"/>
    <cellStyle name="Report Bar" xfId="16872"/>
    <cellStyle name="Report Bar 2" xfId="16873"/>
    <cellStyle name="Report Bar 2 2" xfId="16874"/>
    <cellStyle name="Report Bar 2 2 2" xfId="16875"/>
    <cellStyle name="Report Bar 2 2 2 2" xfId="16876"/>
    <cellStyle name="Report Bar 2 2 3" xfId="16877"/>
    <cellStyle name="Report Bar 2 3" xfId="16878"/>
    <cellStyle name="Report Bar 2 3 2" xfId="16879"/>
    <cellStyle name="Report Bar 2 4" xfId="16880"/>
    <cellStyle name="Report Bar 3" xfId="16881"/>
    <cellStyle name="Report Bar 3 2" xfId="16882"/>
    <cellStyle name="Report Bar 3 2 2" xfId="16883"/>
    <cellStyle name="Report Bar 3 3" xfId="16884"/>
    <cellStyle name="Report Bar 4" xfId="16885"/>
    <cellStyle name="Report Bar 4 2" xfId="16886"/>
    <cellStyle name="Report Bar 4 2 2" xfId="16887"/>
    <cellStyle name="Report Bar 4 3" xfId="16888"/>
    <cellStyle name="Report Bar 5" xfId="16889"/>
    <cellStyle name="Report Bar 5 2" xfId="16890"/>
    <cellStyle name="Report Bar 6" xfId="16891"/>
    <cellStyle name="Report Bar_AURORA Total New" xfId="16892"/>
    <cellStyle name="Report Heading" xfId="16893"/>
    <cellStyle name="Report Heading 10" xfId="16894"/>
    <cellStyle name="Report Heading 2" xfId="16895"/>
    <cellStyle name="Report Heading 2 2" xfId="16896"/>
    <cellStyle name="Report Heading 2 2 2" xfId="16897"/>
    <cellStyle name="Report Heading 2 3" xfId="16898"/>
    <cellStyle name="Report Heading 2 4" xfId="16899"/>
    <cellStyle name="Report Heading 2 4 2" xfId="16900"/>
    <cellStyle name="Report Heading 2 4 2 2" xfId="16901"/>
    <cellStyle name="Report Heading 2 4 3" xfId="16902"/>
    <cellStyle name="Report Heading 2 4 3 2" xfId="16903"/>
    <cellStyle name="Report Heading 2 4 4" xfId="16904"/>
    <cellStyle name="Report Heading 2 4 4 2" xfId="16905"/>
    <cellStyle name="Report Heading 2 4 5" xfId="16906"/>
    <cellStyle name="Report Heading 2 4 5 2" xfId="16907"/>
    <cellStyle name="Report Heading 2 4 6" xfId="16908"/>
    <cellStyle name="Report Heading 2 5" xfId="16909"/>
    <cellStyle name="Report Heading 2 5 2" xfId="16910"/>
    <cellStyle name="Report Heading 2 6" xfId="16911"/>
    <cellStyle name="Report Heading 2 6 2" xfId="16912"/>
    <cellStyle name="Report Heading 2 7" xfId="16913"/>
    <cellStyle name="Report Heading 2 7 2" xfId="16914"/>
    <cellStyle name="Report Heading 2 8" xfId="16915"/>
    <cellStyle name="Report Heading 2 8 2" xfId="16916"/>
    <cellStyle name="Report Heading 2 9" xfId="16917"/>
    <cellStyle name="Report Heading 3" xfId="16918"/>
    <cellStyle name="Report Heading 3 2" xfId="16919"/>
    <cellStyle name="Report Heading 4" xfId="16920"/>
    <cellStyle name="Report Heading 5" xfId="16921"/>
    <cellStyle name="Report Heading 5 2" xfId="16922"/>
    <cellStyle name="Report Heading 5 2 2" xfId="16923"/>
    <cellStyle name="Report Heading 5 3" xfId="16924"/>
    <cellStyle name="Report Heading 5 3 2" xfId="16925"/>
    <cellStyle name="Report Heading 5 4" xfId="16926"/>
    <cellStyle name="Report Heading 5 4 2" xfId="16927"/>
    <cellStyle name="Report Heading 5 5" xfId="16928"/>
    <cellStyle name="Report Heading 5 5 2" xfId="16929"/>
    <cellStyle name="Report Heading 5 6" xfId="16930"/>
    <cellStyle name="Report Heading 6" xfId="16931"/>
    <cellStyle name="Report Heading 6 2" xfId="16932"/>
    <cellStyle name="Report Heading 7" xfId="16933"/>
    <cellStyle name="Report Heading 7 2" xfId="16934"/>
    <cellStyle name="Report Heading 8" xfId="16935"/>
    <cellStyle name="Report Heading 8 2" xfId="16936"/>
    <cellStyle name="Report Heading 9" xfId="16937"/>
    <cellStyle name="Report Heading 9 2" xfId="16938"/>
    <cellStyle name="Report Heading_Electric Rev Req Model (2009 GRC) Rebuttal" xfId="18242"/>
    <cellStyle name="Report Percent" xfId="16939"/>
    <cellStyle name="Report Percent 2" xfId="16940"/>
    <cellStyle name="Report Percent 2 2" xfId="16941"/>
    <cellStyle name="Report Percent 2 2 2" xfId="16942"/>
    <cellStyle name="Report Percent 2 2 2 2" xfId="16943"/>
    <cellStyle name="Report Percent 2 2 3" xfId="16944"/>
    <cellStyle name="Report Percent 2 3" xfId="16945"/>
    <cellStyle name="Report Percent 2 3 2" xfId="16946"/>
    <cellStyle name="Report Percent 2 3 2 2" xfId="16947"/>
    <cellStyle name="Report Percent 2 3 3" xfId="16948"/>
    <cellStyle name="Report Percent 2 4" xfId="16949"/>
    <cellStyle name="Report Percent 3" xfId="16950"/>
    <cellStyle name="Report Percent 3 2" xfId="16951"/>
    <cellStyle name="Report Percent 3 2 2" xfId="16952"/>
    <cellStyle name="Report Percent 3 3" xfId="16953"/>
    <cellStyle name="Report Percent 4" xfId="16954"/>
    <cellStyle name="Report Percent 4 2" xfId="16955"/>
    <cellStyle name="Report Percent 4 2 2" xfId="16956"/>
    <cellStyle name="Report Percent 4 2 2 2" xfId="16957"/>
    <cellStyle name="Report Percent 4 2 3" xfId="16958"/>
    <cellStyle name="Report Percent 4 3" xfId="16959"/>
    <cellStyle name="Report Percent 4 3 2" xfId="16960"/>
    <cellStyle name="Report Percent 4 4" xfId="16961"/>
    <cellStyle name="Report Percent 5" xfId="16962"/>
    <cellStyle name="Report Percent 5 2" xfId="16963"/>
    <cellStyle name="Report Percent 5 2 2" xfId="16964"/>
    <cellStyle name="Report Percent 5 3" xfId="16965"/>
    <cellStyle name="Report Percent 6" xfId="16966"/>
    <cellStyle name="Report Percent 6 2" xfId="16967"/>
    <cellStyle name="Report Percent 6 2 2" xfId="16968"/>
    <cellStyle name="Report Percent 6 3" xfId="16969"/>
    <cellStyle name="Report Percent 7" xfId="16970"/>
    <cellStyle name="Report Percent 7 2" xfId="16971"/>
    <cellStyle name="Report Percent 7 2 2" xfId="16972"/>
    <cellStyle name="Report Percent 7 3" xfId="16973"/>
    <cellStyle name="Report Percent 8" xfId="16974"/>
    <cellStyle name="Report Percent 8 2" xfId="16975"/>
    <cellStyle name="Report Percent 9" xfId="16976"/>
    <cellStyle name="Report Percent_AURORA Total New" xfId="16977"/>
    <cellStyle name="Report Unit Cost" xfId="16978"/>
    <cellStyle name="Report Unit Cost 10" xfId="16979"/>
    <cellStyle name="Report Unit Cost 2" xfId="16980"/>
    <cellStyle name="Report Unit Cost 2 2" xfId="16981"/>
    <cellStyle name="Report Unit Cost 2 2 2" xfId="16982"/>
    <cellStyle name="Report Unit Cost 2 2 2 2" xfId="16983"/>
    <cellStyle name="Report Unit Cost 2 2 3" xfId="16984"/>
    <cellStyle name="Report Unit Cost 2 3" xfId="16985"/>
    <cellStyle name="Report Unit Cost 2 3 2" xfId="16986"/>
    <cellStyle name="Report Unit Cost 2 3 2 2" xfId="16987"/>
    <cellStyle name="Report Unit Cost 2 3 3" xfId="16988"/>
    <cellStyle name="Report Unit Cost 2 4" xfId="16989"/>
    <cellStyle name="Report Unit Cost 3" xfId="16990"/>
    <cellStyle name="Report Unit Cost 3 2" xfId="16991"/>
    <cellStyle name="Report Unit Cost 3 2 2" xfId="16992"/>
    <cellStyle name="Report Unit Cost 3 3" xfId="16993"/>
    <cellStyle name="Report Unit Cost 4" xfId="16994"/>
    <cellStyle name="Report Unit Cost 4 2" xfId="16995"/>
    <cellStyle name="Report Unit Cost 4 2 2" xfId="16996"/>
    <cellStyle name="Report Unit Cost 4 2 2 2" xfId="16997"/>
    <cellStyle name="Report Unit Cost 4 2 3" xfId="16998"/>
    <cellStyle name="Report Unit Cost 4 3" xfId="16999"/>
    <cellStyle name="Report Unit Cost 4 3 2" xfId="17000"/>
    <cellStyle name="Report Unit Cost 4 4" xfId="17001"/>
    <cellStyle name="Report Unit Cost 5" xfId="17002"/>
    <cellStyle name="Report Unit Cost 5 2" xfId="17003"/>
    <cellStyle name="Report Unit Cost 5 2 2" xfId="17004"/>
    <cellStyle name="Report Unit Cost 5 3" xfId="17005"/>
    <cellStyle name="Report Unit Cost 5 3 2" xfId="17006"/>
    <cellStyle name="Report Unit Cost 5 4" xfId="17007"/>
    <cellStyle name="Report Unit Cost 6" xfId="17008"/>
    <cellStyle name="Report Unit Cost 6 2" xfId="17009"/>
    <cellStyle name="Report Unit Cost 7" xfId="17010"/>
    <cellStyle name="Report Unit Cost 7 2" xfId="17011"/>
    <cellStyle name="Report Unit Cost 7 2 2" xfId="17012"/>
    <cellStyle name="Report Unit Cost 7 3" xfId="17013"/>
    <cellStyle name="Report Unit Cost 8" xfId="17014"/>
    <cellStyle name="Report Unit Cost 8 2" xfId="17015"/>
    <cellStyle name="Report Unit Cost 8 2 2" xfId="17016"/>
    <cellStyle name="Report Unit Cost 8 3" xfId="17017"/>
    <cellStyle name="Report Unit Cost 9" xfId="17018"/>
    <cellStyle name="Report Unit Cost 9 2" xfId="17019"/>
    <cellStyle name="Report Unit Cost_AURORA Total New" xfId="17020"/>
    <cellStyle name="Report_Adj Bench DR 3 for Initial Briefs (Electric)" xfId="17021"/>
    <cellStyle name="Reports" xfId="17022"/>
    <cellStyle name="Reports 2" xfId="17023"/>
    <cellStyle name="Reports 2 2" xfId="17024"/>
    <cellStyle name="Reports 2 2 2" xfId="17025"/>
    <cellStyle name="Reports 2 3" xfId="17026"/>
    <cellStyle name="Reports 3" xfId="17027"/>
    <cellStyle name="Reports 3 2" xfId="17028"/>
    <cellStyle name="Reports 4" xfId="17029"/>
    <cellStyle name="Reports Total" xfId="17030"/>
    <cellStyle name="Reports Total 2" xfId="17031"/>
    <cellStyle name="Reports Total 2 2" xfId="17032"/>
    <cellStyle name="Reports Total 2 2 2" xfId="17033"/>
    <cellStyle name="Reports Total 2 2 2 2" xfId="17034"/>
    <cellStyle name="Reports Total 2 2 3" xfId="17035"/>
    <cellStyle name="Reports Total 2 2 4" xfId="17036"/>
    <cellStyle name="Reports Total 2 2 4 2" xfId="18579"/>
    <cellStyle name="Reports Total 2 2 5" xfId="18578"/>
    <cellStyle name="Reports Total 2 3" xfId="17037"/>
    <cellStyle name="Reports Total 2 3 2" xfId="17038"/>
    <cellStyle name="Reports Total 2 4" xfId="17039"/>
    <cellStyle name="Reports Total 2 5" xfId="17040"/>
    <cellStyle name="Reports Total 2 5 2" xfId="18580"/>
    <cellStyle name="Reports Total 2 6" xfId="18577"/>
    <cellStyle name="Reports Total 3" xfId="17041"/>
    <cellStyle name="Reports Total 3 2" xfId="17042"/>
    <cellStyle name="Reports Total 3 2 2" xfId="17043"/>
    <cellStyle name="Reports Total 3 3" xfId="17044"/>
    <cellStyle name="Reports Total 3 4" xfId="17045"/>
    <cellStyle name="Reports Total 3 4 2" xfId="18582"/>
    <cellStyle name="Reports Total 3 5" xfId="18581"/>
    <cellStyle name="Reports Total 4" xfId="17046"/>
    <cellStyle name="Reports Total 4 2" xfId="17047"/>
    <cellStyle name="Reports Total 4 2 2" xfId="17048"/>
    <cellStyle name="Reports Total 4 3" xfId="17049"/>
    <cellStyle name="Reports Total 5" xfId="17050"/>
    <cellStyle name="Reports Total 5 2" xfId="17051"/>
    <cellStyle name="Reports Total 6" xfId="17052"/>
    <cellStyle name="Reports Total 7" xfId="17053"/>
    <cellStyle name="Reports Total 7 2" xfId="18583"/>
    <cellStyle name="Reports Total 8" xfId="18576"/>
    <cellStyle name="Reports Total_AURORA Total New" xfId="17054"/>
    <cellStyle name="Reports Unit Cost Total" xfId="17055"/>
    <cellStyle name="Reports Unit Cost Total 2" xfId="17056"/>
    <cellStyle name="Reports Unit Cost Total 2 2" xfId="17057"/>
    <cellStyle name="Reports Unit Cost Total 2 2 2" xfId="17058"/>
    <cellStyle name="Reports Unit Cost Total 2 3" xfId="17059"/>
    <cellStyle name="Reports Unit Cost Total 3" xfId="17060"/>
    <cellStyle name="Reports Unit Cost Total 3 2" xfId="17061"/>
    <cellStyle name="Reports Unit Cost Total 3 2 2" xfId="17062"/>
    <cellStyle name="Reports Unit Cost Total 3 3" xfId="17063"/>
    <cellStyle name="Reports Unit Cost Total 4" xfId="17064"/>
    <cellStyle name="Reports Unit Cost Total 4 2" xfId="17065"/>
    <cellStyle name="Reports Unit Cost Total 5" xfId="17066"/>
    <cellStyle name="Reports Unit Cost Total 6" xfId="17067"/>
    <cellStyle name="Reports Unit Cost Total 6 2" xfId="18585"/>
    <cellStyle name="Reports Unit Cost Total 7" xfId="18584"/>
    <cellStyle name="Reports_16.37E Wild Horse Expansion DeferralRevwrkingfile SF" xfId="17068"/>
    <cellStyle name="RevList" xfId="17069"/>
    <cellStyle name="RevList 2" xfId="17070"/>
    <cellStyle name="RevList 2 2" xfId="17071"/>
    <cellStyle name="RevList 2 2 2" xfId="17072"/>
    <cellStyle name="RevList 2 3" xfId="17073"/>
    <cellStyle name="RevList 3" xfId="17074"/>
    <cellStyle name="RevList 3 2" xfId="17075"/>
    <cellStyle name="RevList 4" xfId="17076"/>
    <cellStyle name="round100" xfId="17077"/>
    <cellStyle name="round100 2" xfId="17078"/>
    <cellStyle name="round100 2 2" xfId="17079"/>
    <cellStyle name="round100 2 2 2" xfId="17080"/>
    <cellStyle name="round100 2 2 2 2" xfId="17081"/>
    <cellStyle name="round100 2 2 3" xfId="17082"/>
    <cellStyle name="round100 2 3" xfId="17083"/>
    <cellStyle name="round100 2 3 2" xfId="17084"/>
    <cellStyle name="round100 2 3 2 2" xfId="17085"/>
    <cellStyle name="round100 2 3 3" xfId="17086"/>
    <cellStyle name="round100 2 4" xfId="17087"/>
    <cellStyle name="round100 3" xfId="17088"/>
    <cellStyle name="round100 3 2" xfId="17089"/>
    <cellStyle name="round100 3 2 2" xfId="17090"/>
    <cellStyle name="round100 3 3" xfId="17091"/>
    <cellStyle name="round100 4" xfId="17092"/>
    <cellStyle name="round100 4 2" xfId="17093"/>
    <cellStyle name="round100 4 2 2" xfId="17094"/>
    <cellStyle name="round100 4 2 2 2" xfId="17095"/>
    <cellStyle name="round100 4 2 3" xfId="17096"/>
    <cellStyle name="round100 4 3" xfId="17097"/>
    <cellStyle name="round100 4 3 2" xfId="17098"/>
    <cellStyle name="round100 4 4" xfId="17099"/>
    <cellStyle name="round100 5" xfId="17100"/>
    <cellStyle name="round100 5 2" xfId="17101"/>
    <cellStyle name="round100 5 2 2" xfId="17102"/>
    <cellStyle name="round100 5 3" xfId="17103"/>
    <cellStyle name="round100 6" xfId="17104"/>
    <cellStyle name="round100 6 2" xfId="17105"/>
    <cellStyle name="round100 6 2 2" xfId="17106"/>
    <cellStyle name="round100 6 3" xfId="17107"/>
    <cellStyle name="round100 7" xfId="17108"/>
    <cellStyle name="round100 7 2" xfId="17109"/>
    <cellStyle name="round100 7 2 2" xfId="17110"/>
    <cellStyle name="round100 7 3" xfId="17111"/>
    <cellStyle name="round100 8" xfId="17112"/>
    <cellStyle name="round100 8 2" xfId="17113"/>
    <cellStyle name="round100 9" xfId="17114"/>
    <cellStyle name="RowHeading" xfId="17115"/>
    <cellStyle name="SAPBEXaggData" xfId="17116"/>
    <cellStyle name="SAPBEXaggData 2" xfId="17117"/>
    <cellStyle name="SAPBEXaggData 2 2" xfId="17118"/>
    <cellStyle name="SAPBEXaggData 2 2 2" xfId="17119"/>
    <cellStyle name="SAPBEXaggData 2 3" xfId="17120"/>
    <cellStyle name="SAPBEXaggData 3" xfId="17121"/>
    <cellStyle name="SAPBEXaggData 4" xfId="17122"/>
    <cellStyle name="SAPBEXaggData 4 2" xfId="17123"/>
    <cellStyle name="SAPBEXaggData 4 2 2" xfId="17124"/>
    <cellStyle name="SAPBEXaggData 4 3" xfId="17125"/>
    <cellStyle name="SAPBEXaggData 5" xfId="17126"/>
    <cellStyle name="SAPBEXaggDataEmph" xfId="17127"/>
    <cellStyle name="SAPBEXaggDataEmph 2" xfId="17128"/>
    <cellStyle name="SAPBEXaggDataEmph 2 2" xfId="17129"/>
    <cellStyle name="SAPBEXaggDataEmph 2 2 2" xfId="17130"/>
    <cellStyle name="SAPBEXaggDataEmph 2 3" xfId="17131"/>
    <cellStyle name="SAPBEXaggDataEmph 3" xfId="17132"/>
    <cellStyle name="SAPBEXaggDataEmph 4" xfId="17133"/>
    <cellStyle name="SAPBEXaggItem" xfId="17134"/>
    <cellStyle name="SAPBEXaggItem 2" xfId="17135"/>
    <cellStyle name="SAPBEXaggItem 2 2" xfId="17136"/>
    <cellStyle name="SAPBEXaggItem 2 2 2" xfId="17137"/>
    <cellStyle name="SAPBEXaggItem 2 3" xfId="17138"/>
    <cellStyle name="SAPBEXaggItem 3" xfId="17139"/>
    <cellStyle name="SAPBEXaggItem 4" xfId="17140"/>
    <cellStyle name="SAPBEXaggItem 4 2" xfId="17141"/>
    <cellStyle name="SAPBEXaggItem 4 2 2" xfId="17142"/>
    <cellStyle name="SAPBEXaggItem 4 3" xfId="17143"/>
    <cellStyle name="SAPBEXaggItem 5" xfId="17144"/>
    <cellStyle name="SAPBEXaggItemX" xfId="17145"/>
    <cellStyle name="SAPBEXaggItemX 2" xfId="17146"/>
    <cellStyle name="SAPBEXaggItemX 2 2" xfId="17147"/>
    <cellStyle name="SAPBEXaggItemX 2 2 2" xfId="17148"/>
    <cellStyle name="SAPBEXaggItemX 2 3" xfId="17149"/>
    <cellStyle name="SAPBEXaggItemX 3" xfId="17150"/>
    <cellStyle name="SAPBEXaggItemX 4" xfId="17151"/>
    <cellStyle name="SAPBEXchaText" xfId="17152"/>
    <cellStyle name="SAPBEXchaText 2" xfId="17153"/>
    <cellStyle name="SAPBEXchaText 2 2" xfId="17154"/>
    <cellStyle name="SAPBEXchaText 2 2 2" xfId="17155"/>
    <cellStyle name="SAPBEXchaText 2 3" xfId="17156"/>
    <cellStyle name="SAPBEXchaText 3" xfId="17157"/>
    <cellStyle name="SAPBEXchaText 4" xfId="17158"/>
    <cellStyle name="SAPBEXchaText 4 2" xfId="17159"/>
    <cellStyle name="SAPBEXchaText 4 2 2" xfId="17160"/>
    <cellStyle name="SAPBEXchaText 4 3" xfId="17161"/>
    <cellStyle name="SAPBEXchaText 4 3 2" xfId="17162"/>
    <cellStyle name="SAPBEXchaText 4 4" xfId="17163"/>
    <cellStyle name="SAPBEXexcBad7" xfId="17164"/>
    <cellStyle name="SAPBEXexcBad7 2" xfId="17165"/>
    <cellStyle name="SAPBEXexcBad7 2 2" xfId="17166"/>
    <cellStyle name="SAPBEXexcBad7 2 2 2" xfId="17167"/>
    <cellStyle name="SAPBEXexcBad7 2 3" xfId="17168"/>
    <cellStyle name="SAPBEXexcBad7 3" xfId="17169"/>
    <cellStyle name="SAPBEXexcBad7 4" xfId="17170"/>
    <cellStyle name="SAPBEXexcBad8" xfId="17171"/>
    <cellStyle name="SAPBEXexcBad8 2" xfId="17172"/>
    <cellStyle name="SAPBEXexcBad8 2 2" xfId="17173"/>
    <cellStyle name="SAPBEXexcBad8 2 2 2" xfId="17174"/>
    <cellStyle name="SAPBEXexcBad8 2 3" xfId="17175"/>
    <cellStyle name="SAPBEXexcBad8 3" xfId="17176"/>
    <cellStyle name="SAPBEXexcBad8 4" xfId="17177"/>
    <cellStyle name="SAPBEXexcBad9" xfId="17178"/>
    <cellStyle name="SAPBEXexcBad9 2" xfId="17179"/>
    <cellStyle name="SAPBEXexcBad9 2 2" xfId="17180"/>
    <cellStyle name="SAPBEXexcBad9 2 2 2" xfId="17181"/>
    <cellStyle name="SAPBEXexcBad9 2 3" xfId="17182"/>
    <cellStyle name="SAPBEXexcBad9 3" xfId="17183"/>
    <cellStyle name="SAPBEXexcBad9 4" xfId="17184"/>
    <cellStyle name="SAPBEXexcCritical4" xfId="17185"/>
    <cellStyle name="SAPBEXexcCritical4 2" xfId="17186"/>
    <cellStyle name="SAPBEXexcCritical4 2 2" xfId="17187"/>
    <cellStyle name="SAPBEXexcCritical4 2 2 2" xfId="17188"/>
    <cellStyle name="SAPBEXexcCritical4 2 3" xfId="17189"/>
    <cellStyle name="SAPBEXexcCritical4 3" xfId="17190"/>
    <cellStyle name="SAPBEXexcCritical4 4" xfId="17191"/>
    <cellStyle name="SAPBEXexcCritical5" xfId="17192"/>
    <cellStyle name="SAPBEXexcCritical5 2" xfId="17193"/>
    <cellStyle name="SAPBEXexcCritical5 2 2" xfId="17194"/>
    <cellStyle name="SAPBEXexcCritical5 2 2 2" xfId="17195"/>
    <cellStyle name="SAPBEXexcCritical5 2 3" xfId="17196"/>
    <cellStyle name="SAPBEXexcCritical5 3" xfId="17197"/>
    <cellStyle name="SAPBEXexcCritical5 4" xfId="17198"/>
    <cellStyle name="SAPBEXexcCritical6" xfId="17199"/>
    <cellStyle name="SAPBEXexcCritical6 2" xfId="17200"/>
    <cellStyle name="SAPBEXexcCritical6 2 2" xfId="17201"/>
    <cellStyle name="SAPBEXexcCritical6 2 2 2" xfId="17202"/>
    <cellStyle name="SAPBEXexcCritical6 2 3" xfId="17203"/>
    <cellStyle name="SAPBEXexcCritical6 3" xfId="17204"/>
    <cellStyle name="SAPBEXexcCritical6 4" xfId="17205"/>
    <cellStyle name="SAPBEXexcGood1" xfId="17206"/>
    <cellStyle name="SAPBEXexcGood1 2" xfId="17207"/>
    <cellStyle name="SAPBEXexcGood1 2 2" xfId="17208"/>
    <cellStyle name="SAPBEXexcGood1 2 2 2" xfId="17209"/>
    <cellStyle name="SAPBEXexcGood1 2 3" xfId="17210"/>
    <cellStyle name="SAPBEXexcGood1 3" xfId="17211"/>
    <cellStyle name="SAPBEXexcGood1 4" xfId="17212"/>
    <cellStyle name="SAPBEXexcGood2" xfId="17213"/>
    <cellStyle name="SAPBEXexcGood2 2" xfId="17214"/>
    <cellStyle name="SAPBEXexcGood2 2 2" xfId="17215"/>
    <cellStyle name="SAPBEXexcGood2 2 2 2" xfId="17216"/>
    <cellStyle name="SAPBEXexcGood2 2 3" xfId="17217"/>
    <cellStyle name="SAPBEXexcGood2 3" xfId="17218"/>
    <cellStyle name="SAPBEXexcGood2 4" xfId="17219"/>
    <cellStyle name="SAPBEXexcGood3" xfId="17220"/>
    <cellStyle name="SAPBEXexcGood3 2" xfId="17221"/>
    <cellStyle name="SAPBEXexcGood3 2 2" xfId="17222"/>
    <cellStyle name="SAPBEXexcGood3 2 2 2" xfId="17223"/>
    <cellStyle name="SAPBEXexcGood3 2 3" xfId="17224"/>
    <cellStyle name="SAPBEXexcGood3 3" xfId="17225"/>
    <cellStyle name="SAPBEXexcGood3 4" xfId="17226"/>
    <cellStyle name="SAPBEXfilterDrill" xfId="17227"/>
    <cellStyle name="SAPBEXfilterDrill 2" xfId="17228"/>
    <cellStyle name="SAPBEXfilterDrill 2 2" xfId="17229"/>
    <cellStyle name="SAPBEXfilterDrill 2 2 2" xfId="17230"/>
    <cellStyle name="SAPBEXfilterDrill 2 3" xfId="17231"/>
    <cellStyle name="SAPBEXfilterDrill 3" xfId="17232"/>
    <cellStyle name="SAPBEXfilterItem" xfId="17233"/>
    <cellStyle name="SAPBEXfilterItem 2" xfId="17234"/>
    <cellStyle name="SAPBEXfilterItem 2 2" xfId="17235"/>
    <cellStyle name="SAPBEXfilterItem 2 2 2" xfId="17236"/>
    <cellStyle name="SAPBEXfilterItem 2 3" xfId="17237"/>
    <cellStyle name="SAPBEXfilterItem 3" xfId="17238"/>
    <cellStyle name="SAPBEXfilterText" xfId="17239"/>
    <cellStyle name="SAPBEXfilterText 2" xfId="17240"/>
    <cellStyle name="SAPBEXfilterText 2 2" xfId="17241"/>
    <cellStyle name="SAPBEXfilterText 2 2 2" xfId="17242"/>
    <cellStyle name="SAPBEXfilterText 2 3" xfId="17243"/>
    <cellStyle name="SAPBEXfilterText 3" xfId="17244"/>
    <cellStyle name="SAPBEXformats" xfId="17245"/>
    <cellStyle name="SAPBEXformats 2" xfId="17246"/>
    <cellStyle name="SAPBEXformats 2 2" xfId="17247"/>
    <cellStyle name="SAPBEXformats 2 2 2" xfId="17248"/>
    <cellStyle name="SAPBEXformats 2 3" xfId="17249"/>
    <cellStyle name="SAPBEXformats 2 4" xfId="17250"/>
    <cellStyle name="SAPBEXformats 3" xfId="17251"/>
    <cellStyle name="SAPBEXformats 4" xfId="17252"/>
    <cellStyle name="SAPBEXheaderItem" xfId="17253"/>
    <cellStyle name="SAPBEXheaderItem 2" xfId="17254"/>
    <cellStyle name="SAPBEXheaderItem 2 2" xfId="17255"/>
    <cellStyle name="SAPBEXheaderItem 2 2 2" xfId="17256"/>
    <cellStyle name="SAPBEXheaderItem 2 3" xfId="17257"/>
    <cellStyle name="SAPBEXheaderItem 3" xfId="17258"/>
    <cellStyle name="SAPBEXheaderText" xfId="17259"/>
    <cellStyle name="SAPBEXheaderText 2" xfId="17260"/>
    <cellStyle name="SAPBEXheaderText 2 2" xfId="17261"/>
    <cellStyle name="SAPBEXheaderText 2 2 2" xfId="17262"/>
    <cellStyle name="SAPBEXheaderText 2 3" xfId="17263"/>
    <cellStyle name="SAPBEXheaderText 3" xfId="17264"/>
    <cellStyle name="SAPBEXHLevel0" xfId="17265"/>
    <cellStyle name="SAPBEXHLevel0 2" xfId="17266"/>
    <cellStyle name="SAPBEXHLevel0 2 2" xfId="17267"/>
    <cellStyle name="SAPBEXHLevel0 2 2 2" xfId="17268"/>
    <cellStyle name="SAPBEXHLevel0 2 3" xfId="17269"/>
    <cellStyle name="SAPBEXHLevel0 2 4" xfId="17270"/>
    <cellStyle name="SAPBEXHLevel0 3" xfId="17271"/>
    <cellStyle name="SAPBEXHLevel0 4" xfId="17272"/>
    <cellStyle name="SAPBEXHLevel0X" xfId="17273"/>
    <cellStyle name="SAPBEXHLevel0X 2" xfId="17274"/>
    <cellStyle name="SAPBEXHLevel0X 2 2" xfId="17275"/>
    <cellStyle name="SAPBEXHLevel0X 2 2 2" xfId="17276"/>
    <cellStyle name="SAPBEXHLevel0X 2 3" xfId="17277"/>
    <cellStyle name="SAPBEXHLevel0X 2 4" xfId="17278"/>
    <cellStyle name="SAPBEXHLevel0X 3" xfId="17279"/>
    <cellStyle name="SAPBEXHLevel0X 4" xfId="17280"/>
    <cellStyle name="SAPBEXHLevel1" xfId="17281"/>
    <cellStyle name="SAPBEXHLevel1 2" xfId="17282"/>
    <cellStyle name="SAPBEXHLevel1 2 2" xfId="17283"/>
    <cellStyle name="SAPBEXHLevel1 2 2 2" xfId="17284"/>
    <cellStyle name="SAPBEXHLevel1 2 3" xfId="17285"/>
    <cellStyle name="SAPBEXHLevel1 2 4" xfId="17286"/>
    <cellStyle name="SAPBEXHLevel1 3" xfId="17287"/>
    <cellStyle name="SAPBEXHLevel1 4" xfId="17288"/>
    <cellStyle name="SAPBEXHLevel1X" xfId="17289"/>
    <cellStyle name="SAPBEXHLevel1X 2" xfId="17290"/>
    <cellStyle name="SAPBEXHLevel1X 2 2" xfId="17291"/>
    <cellStyle name="SAPBEXHLevel1X 2 2 2" xfId="17292"/>
    <cellStyle name="SAPBEXHLevel1X 2 3" xfId="17293"/>
    <cellStyle name="SAPBEXHLevel1X 2 4" xfId="17294"/>
    <cellStyle name="SAPBEXHLevel1X 3" xfId="17295"/>
    <cellStyle name="SAPBEXHLevel1X 4" xfId="17296"/>
    <cellStyle name="SAPBEXHLevel2" xfId="17297"/>
    <cellStyle name="SAPBEXHLevel2 2" xfId="17298"/>
    <cellStyle name="SAPBEXHLevel2 2 2" xfId="17299"/>
    <cellStyle name="SAPBEXHLevel2 2 2 2" xfId="17300"/>
    <cellStyle name="SAPBEXHLevel2 2 3" xfId="17301"/>
    <cellStyle name="SAPBEXHLevel2 2 4" xfId="17302"/>
    <cellStyle name="SAPBEXHLevel2 3" xfId="17303"/>
    <cellStyle name="SAPBEXHLevel2 4" xfId="17304"/>
    <cellStyle name="SAPBEXHLevel2X" xfId="17305"/>
    <cellStyle name="SAPBEXHLevel2X 2" xfId="17306"/>
    <cellStyle name="SAPBEXHLevel2X 2 2" xfId="17307"/>
    <cellStyle name="SAPBEXHLevel2X 2 2 2" xfId="17308"/>
    <cellStyle name="SAPBEXHLevel2X 2 3" xfId="17309"/>
    <cellStyle name="SAPBEXHLevel2X 2 4" xfId="17310"/>
    <cellStyle name="SAPBEXHLevel2X 3" xfId="17311"/>
    <cellStyle name="SAPBEXHLevel2X 4" xfId="17312"/>
    <cellStyle name="SAPBEXHLevel3" xfId="17313"/>
    <cellStyle name="SAPBEXHLevel3 2" xfId="17314"/>
    <cellStyle name="SAPBEXHLevel3 2 2" xfId="17315"/>
    <cellStyle name="SAPBEXHLevel3 2 2 2" xfId="17316"/>
    <cellStyle name="SAPBEXHLevel3 2 3" xfId="17317"/>
    <cellStyle name="SAPBEXHLevel3 2 4" xfId="17318"/>
    <cellStyle name="SAPBEXHLevel3 3" xfId="17319"/>
    <cellStyle name="SAPBEXHLevel3 4" xfId="17320"/>
    <cellStyle name="SAPBEXHLevel3X" xfId="17321"/>
    <cellStyle name="SAPBEXHLevel3X 2" xfId="17322"/>
    <cellStyle name="SAPBEXHLevel3X 2 2" xfId="17323"/>
    <cellStyle name="SAPBEXHLevel3X 2 2 2" xfId="17324"/>
    <cellStyle name="SAPBEXHLevel3X 2 3" xfId="17325"/>
    <cellStyle name="SAPBEXHLevel3X 2 4" xfId="17326"/>
    <cellStyle name="SAPBEXHLevel3X 3" xfId="17327"/>
    <cellStyle name="SAPBEXHLevel3X 4" xfId="17328"/>
    <cellStyle name="SAPBEXinputData" xfId="17329"/>
    <cellStyle name="SAPBEXinputData 2" xfId="17330"/>
    <cellStyle name="SAPBEXinputData 2 2" xfId="17331"/>
    <cellStyle name="SAPBEXinputData 3" xfId="17332"/>
    <cellStyle name="SAPBEXItemHeader" xfId="17333"/>
    <cellStyle name="SAPBEXItemHeader 2" xfId="17334"/>
    <cellStyle name="SAPBEXresData" xfId="17335"/>
    <cellStyle name="SAPBEXresData 2" xfId="17336"/>
    <cellStyle name="SAPBEXresData 2 2" xfId="17337"/>
    <cellStyle name="SAPBEXresData 2 2 2" xfId="17338"/>
    <cellStyle name="SAPBEXresData 2 3" xfId="17339"/>
    <cellStyle name="SAPBEXresData 3" xfId="17340"/>
    <cellStyle name="SAPBEXresData 4" xfId="17341"/>
    <cellStyle name="SAPBEXresDataEmph" xfId="17342"/>
    <cellStyle name="SAPBEXresDataEmph 2" xfId="17343"/>
    <cellStyle name="SAPBEXresDataEmph 2 2" xfId="17344"/>
    <cellStyle name="SAPBEXresDataEmph 2 2 2" xfId="17345"/>
    <cellStyle name="SAPBEXresDataEmph 2 3" xfId="17346"/>
    <cellStyle name="SAPBEXresDataEmph 3" xfId="17347"/>
    <cellStyle name="SAPBEXresDataEmph 4" xfId="17348"/>
    <cellStyle name="SAPBEXresItem" xfId="17349"/>
    <cellStyle name="SAPBEXresItem 2" xfId="17350"/>
    <cellStyle name="SAPBEXresItem 2 2" xfId="17351"/>
    <cellStyle name="SAPBEXresItem 2 2 2" xfId="17352"/>
    <cellStyle name="SAPBEXresItem 2 3" xfId="17353"/>
    <cellStyle name="SAPBEXresItem 3" xfId="17354"/>
    <cellStyle name="SAPBEXresItem 4" xfId="17355"/>
    <cellStyle name="SAPBEXresItemX" xfId="17356"/>
    <cellStyle name="SAPBEXresItemX 2" xfId="17357"/>
    <cellStyle name="SAPBEXresItemX 2 2" xfId="17358"/>
    <cellStyle name="SAPBEXresItemX 2 2 2" xfId="17359"/>
    <cellStyle name="SAPBEXresItemX 2 3" xfId="17360"/>
    <cellStyle name="SAPBEXresItemX 3" xfId="17361"/>
    <cellStyle name="SAPBEXresItemX 4" xfId="17362"/>
    <cellStyle name="SAPBEXstdData" xfId="17363"/>
    <cellStyle name="SAPBEXstdData 2" xfId="17364"/>
    <cellStyle name="SAPBEXstdData 2 2" xfId="17365"/>
    <cellStyle name="SAPBEXstdData 2 2 2" xfId="17366"/>
    <cellStyle name="SAPBEXstdData 2 3" xfId="17367"/>
    <cellStyle name="SAPBEXstdData 2 4" xfId="17368"/>
    <cellStyle name="SAPBEXstdData 3" xfId="17369"/>
    <cellStyle name="SAPBEXstdData 3 2" xfId="17370"/>
    <cellStyle name="SAPBEXstdData 3 2 2" xfId="17371"/>
    <cellStyle name="SAPBEXstdData 3 3" xfId="17372"/>
    <cellStyle name="SAPBEXstdData 4" xfId="17373"/>
    <cellStyle name="SAPBEXstdData 4 2" xfId="17374"/>
    <cellStyle name="SAPBEXstdData 5" xfId="17375"/>
    <cellStyle name="SAPBEXstdData 6" xfId="17376"/>
    <cellStyle name="SAPBEXstdData 6 2" xfId="17377"/>
    <cellStyle name="SAPBEXstdData 6 2 2" xfId="17378"/>
    <cellStyle name="SAPBEXstdData 6 3" xfId="17379"/>
    <cellStyle name="SAPBEXstdData 7" xfId="17380"/>
    <cellStyle name="SAPBEXstdDataEmph" xfId="17381"/>
    <cellStyle name="SAPBEXstdDataEmph 2" xfId="17382"/>
    <cellStyle name="SAPBEXstdDataEmph 2 2" xfId="17383"/>
    <cellStyle name="SAPBEXstdDataEmph 2 2 2" xfId="17384"/>
    <cellStyle name="SAPBEXstdDataEmph 2 3" xfId="17385"/>
    <cellStyle name="SAPBEXstdDataEmph 3" xfId="17386"/>
    <cellStyle name="SAPBEXstdDataEmph 4" xfId="17387"/>
    <cellStyle name="SAPBEXstdItem" xfId="17388"/>
    <cellStyle name="SAPBEXstdItem 2" xfId="17389"/>
    <cellStyle name="SAPBEXstdItem 2 2" xfId="17390"/>
    <cellStyle name="SAPBEXstdItem 2 2 2" xfId="17391"/>
    <cellStyle name="SAPBEXstdItem 2 3" xfId="17392"/>
    <cellStyle name="SAPBEXstdItem 2 4" xfId="17393"/>
    <cellStyle name="SAPBEXstdItem 3" xfId="17394"/>
    <cellStyle name="SAPBEXstdItem 4" xfId="17395"/>
    <cellStyle name="SAPBEXstdItem 4 2" xfId="17396"/>
    <cellStyle name="SAPBEXstdItem 4 2 2" xfId="17397"/>
    <cellStyle name="SAPBEXstdItem 4 3" xfId="17398"/>
    <cellStyle name="SAPBEXstdItem 4 3 2" xfId="17399"/>
    <cellStyle name="SAPBEXstdItem 4 4" xfId="17400"/>
    <cellStyle name="SAPBEXstdItem 5" xfId="17401"/>
    <cellStyle name="SAPBEXstdItemX" xfId="17402"/>
    <cellStyle name="SAPBEXstdItemX 2" xfId="17403"/>
    <cellStyle name="SAPBEXstdItemX 2 2" xfId="17404"/>
    <cellStyle name="SAPBEXstdItemX 2 2 2" xfId="17405"/>
    <cellStyle name="SAPBEXstdItemX 2 3" xfId="17406"/>
    <cellStyle name="SAPBEXstdItemX 2 4" xfId="17407"/>
    <cellStyle name="SAPBEXstdItemX 3" xfId="17408"/>
    <cellStyle name="SAPBEXstdItemX 4" xfId="17409"/>
    <cellStyle name="SAPBEXtitle" xfId="17410"/>
    <cellStyle name="SAPBEXtitle 2" xfId="17411"/>
    <cellStyle name="SAPBEXtitle 2 2" xfId="17412"/>
    <cellStyle name="SAPBEXtitle 2 2 2" xfId="17413"/>
    <cellStyle name="SAPBEXtitle 2 3" xfId="17414"/>
    <cellStyle name="SAPBEXtitle 3" xfId="17415"/>
    <cellStyle name="SAPBEXunassignedItem" xfId="17416"/>
    <cellStyle name="SAPBEXunassignedItem 2" xfId="17417"/>
    <cellStyle name="SAPBEXundefined" xfId="17418"/>
    <cellStyle name="SAPBEXundefined 2" xfId="17419"/>
    <cellStyle name="SAPBEXundefined 2 2" xfId="17420"/>
    <cellStyle name="SAPBEXundefined 2 2 2" xfId="17421"/>
    <cellStyle name="SAPBEXundefined 2 3" xfId="17422"/>
    <cellStyle name="SAPBEXundefined 3" xfId="17423"/>
    <cellStyle name="SAPBEXundefined 4" xfId="17424"/>
    <cellStyle name="shade" xfId="17425"/>
    <cellStyle name="Shade 10" xfId="17426"/>
    <cellStyle name="shade 2" xfId="17427"/>
    <cellStyle name="shade 2 2" xfId="17428"/>
    <cellStyle name="shade 2 2 2" xfId="17429"/>
    <cellStyle name="shade 2 2 2 2" xfId="17430"/>
    <cellStyle name="shade 2 2 3" xfId="17431"/>
    <cellStyle name="shade 2 3" xfId="17432"/>
    <cellStyle name="shade 2 3 2" xfId="17433"/>
    <cellStyle name="shade 2 3 2 2" xfId="17434"/>
    <cellStyle name="shade 2 3 3" xfId="17435"/>
    <cellStyle name="shade 2 4" xfId="17436"/>
    <cellStyle name="shade 3" xfId="17437"/>
    <cellStyle name="shade 3 2" xfId="17438"/>
    <cellStyle name="shade 3 2 2" xfId="17439"/>
    <cellStyle name="shade 3 3" xfId="17440"/>
    <cellStyle name="shade 4" xfId="17441"/>
    <cellStyle name="shade 4 2" xfId="17442"/>
    <cellStyle name="shade 4 2 2" xfId="17443"/>
    <cellStyle name="shade 4 2 2 2" xfId="17444"/>
    <cellStyle name="shade 4 2 3" xfId="17445"/>
    <cellStyle name="shade 4 3" xfId="17446"/>
    <cellStyle name="shade 4 3 2" xfId="17447"/>
    <cellStyle name="shade 4 4" xfId="17448"/>
    <cellStyle name="shade 5" xfId="17449"/>
    <cellStyle name="shade 5 2" xfId="17450"/>
    <cellStyle name="shade 5 2 2" xfId="17451"/>
    <cellStyle name="shade 5 3" xfId="17452"/>
    <cellStyle name="shade 6" xfId="17453"/>
    <cellStyle name="shade 6 2" xfId="17454"/>
    <cellStyle name="shade 6 2 2" xfId="17455"/>
    <cellStyle name="shade 6 3" xfId="17456"/>
    <cellStyle name="shade 7" xfId="17457"/>
    <cellStyle name="shade 7 2" xfId="17458"/>
    <cellStyle name="shade 7 2 2" xfId="17459"/>
    <cellStyle name="shade 7 3" xfId="17460"/>
    <cellStyle name="shade 8" xfId="17461"/>
    <cellStyle name="shade 8 2" xfId="17462"/>
    <cellStyle name="shade 9" xfId="17463"/>
    <cellStyle name="shade_AURORA Total New" xfId="17464"/>
    <cellStyle name="Sheet Title" xfId="17465"/>
    <cellStyle name="Sheet Title 2" xfId="17466"/>
    <cellStyle name="StmtTtl1" xfId="17467"/>
    <cellStyle name="StmtTtl1 2" xfId="17468"/>
    <cellStyle name="StmtTtl1 2 2" xfId="17469"/>
    <cellStyle name="StmtTtl1 2 2 2" xfId="17470"/>
    <cellStyle name="StmtTtl1 2 2 2 2" xfId="17471"/>
    <cellStyle name="StmtTtl1 2 2 3" xfId="17472"/>
    <cellStyle name="StmtTtl1 2 3" xfId="17473"/>
    <cellStyle name="StmtTtl1 2 3 2" xfId="17474"/>
    <cellStyle name="StmtTtl1 2 4" xfId="17475"/>
    <cellStyle name="StmtTtl1 3" xfId="17476"/>
    <cellStyle name="StmtTtl1 3 2" xfId="17477"/>
    <cellStyle name="StmtTtl1 3 2 2" xfId="17478"/>
    <cellStyle name="StmtTtl1 3 2 2 2" xfId="17479"/>
    <cellStyle name="StmtTtl1 3 2 3" xfId="17480"/>
    <cellStyle name="StmtTtl1 3 3" xfId="17481"/>
    <cellStyle name="StmtTtl1 3 3 2" xfId="17482"/>
    <cellStyle name="StmtTtl1 3 4" xfId="17483"/>
    <cellStyle name="StmtTtl1 4" xfId="17484"/>
    <cellStyle name="StmtTtl1 4 2" xfId="17485"/>
    <cellStyle name="StmtTtl1 4 2 2" xfId="17486"/>
    <cellStyle name="StmtTtl1 4 2 2 2" xfId="17487"/>
    <cellStyle name="StmtTtl1 4 2 3" xfId="17488"/>
    <cellStyle name="StmtTtl1 4 3" xfId="17489"/>
    <cellStyle name="StmtTtl1 4 3 2" xfId="17490"/>
    <cellStyle name="StmtTtl1 4 4" xfId="17491"/>
    <cellStyle name="StmtTtl1 5" xfId="17492"/>
    <cellStyle name="StmtTtl1 5 2" xfId="17493"/>
    <cellStyle name="StmtTtl1 5 2 2" xfId="17494"/>
    <cellStyle name="StmtTtl1 5 3" xfId="17495"/>
    <cellStyle name="StmtTtl1 5 3 2" xfId="17496"/>
    <cellStyle name="StmtTtl1 5 4" xfId="17497"/>
    <cellStyle name="StmtTtl1 6" xfId="17498"/>
    <cellStyle name="StmtTtl1 6 2" xfId="17499"/>
    <cellStyle name="StmtTtl1 7" xfId="17500"/>
    <cellStyle name="StmtTtl1_(C) WHE Proforma with ITC cash grant 10 Yr Amort_for deferral_102809" xfId="17501"/>
    <cellStyle name="StmtTtl2" xfId="17502"/>
    <cellStyle name="StmtTtl2 2" xfId="17503"/>
    <cellStyle name="StmtTtl2 2 2" xfId="17504"/>
    <cellStyle name="StmtTtl2 2 2 2" xfId="17505"/>
    <cellStyle name="StmtTtl2 2 3" xfId="17506"/>
    <cellStyle name="StmtTtl2 2 4" xfId="17507"/>
    <cellStyle name="StmtTtl2 2 4 2" xfId="18588"/>
    <cellStyle name="StmtTtl2 2 5" xfId="18587"/>
    <cellStyle name="StmtTtl2 3" xfId="17508"/>
    <cellStyle name="StmtTtl2 3 2" xfId="17509"/>
    <cellStyle name="StmtTtl2 3 2 2" xfId="17510"/>
    <cellStyle name="StmtTtl2 3 2 3" xfId="17511"/>
    <cellStyle name="StmtTtl2 3 2 3 2" xfId="18591"/>
    <cellStyle name="StmtTtl2 3 2 4" xfId="18590"/>
    <cellStyle name="StmtTtl2 3 3" xfId="17512"/>
    <cellStyle name="StmtTtl2 3 3 2" xfId="17513"/>
    <cellStyle name="StmtTtl2 3 4" xfId="17514"/>
    <cellStyle name="StmtTtl2 3 5" xfId="17515"/>
    <cellStyle name="StmtTtl2 3 5 2" xfId="18592"/>
    <cellStyle name="StmtTtl2 3 6" xfId="18589"/>
    <cellStyle name="StmtTtl2 4" xfId="17516"/>
    <cellStyle name="StmtTtl2 4 2" xfId="17517"/>
    <cellStyle name="StmtTtl2 5" xfId="17518"/>
    <cellStyle name="StmtTtl2 6" xfId="17519"/>
    <cellStyle name="StmtTtl2 6 2" xfId="18593"/>
    <cellStyle name="StmtTtl2 7" xfId="18586"/>
    <cellStyle name="STYL1 - Style1" xfId="17520"/>
    <cellStyle name="STYL1 - Style1 2" xfId="17521"/>
    <cellStyle name="STYL1 - Style1 2 2" xfId="17522"/>
    <cellStyle name="STYL1 - Style1 2 2 2" xfId="17523"/>
    <cellStyle name="STYL1 - Style1 2 3" xfId="17524"/>
    <cellStyle name="STYL1 - Style1 3" xfId="17525"/>
    <cellStyle name="STYL1 - Style1 3 2" xfId="17526"/>
    <cellStyle name="STYL1 - Style1 4" xfId="17527"/>
    <cellStyle name="Style 1" xfId="17528"/>
    <cellStyle name="Style 1 10" xfId="17529"/>
    <cellStyle name="Style 1 10 2" xfId="17530"/>
    <cellStyle name="Style 1 10 2 2" xfId="10"/>
    <cellStyle name="Style 1 10 3" xfId="17531"/>
    <cellStyle name="Style 1 10 3 2" xfId="17532"/>
    <cellStyle name="Style 1 10 4" xfId="17533"/>
    <cellStyle name="Style 1 11" xfId="17534"/>
    <cellStyle name="Style 1 11 2" xfId="17535"/>
    <cellStyle name="Style 1 11 2 2" xfId="17536"/>
    <cellStyle name="Style 1 11 3" xfId="17537"/>
    <cellStyle name="Style 1 12" xfId="17538"/>
    <cellStyle name="Style 1 12 2" xfId="17539"/>
    <cellStyle name="Style 1 12 2 2" xfId="17540"/>
    <cellStyle name="Style 1 12 3" xfId="17541"/>
    <cellStyle name="Style 1 12 3 2" xfId="17542"/>
    <cellStyle name="Style 1 12 4" xfId="17543"/>
    <cellStyle name="Style 1 13" xfId="17544"/>
    <cellStyle name="Style 1 13 2" xfId="17545"/>
    <cellStyle name="Style 1 14" xfId="17546"/>
    <cellStyle name="Style 1 2" xfId="17547"/>
    <cellStyle name="Style 1 2 2" xfId="17548"/>
    <cellStyle name="Style 1 2 2 2" xfId="17549"/>
    <cellStyle name="Style 1 2 2 2 2" xfId="17550"/>
    <cellStyle name="Style 1 2 2 2 2 2" xfId="17551"/>
    <cellStyle name="Style 1 2 2 2 3" xfId="17552"/>
    <cellStyle name="Style 1 2 2 3" xfId="17553"/>
    <cellStyle name="Style 1 2 2 3 2" xfId="17554"/>
    <cellStyle name="Style 1 2 2 4" xfId="17555"/>
    <cellStyle name="Style 1 2 2 4 2" xfId="17556"/>
    <cellStyle name="Style 1 2 2 5" xfId="17557"/>
    <cellStyle name="Style 1 2 3" xfId="17558"/>
    <cellStyle name="Style 1 2 3 2" xfId="17559"/>
    <cellStyle name="Style 1 2 3 2 2" xfId="17560"/>
    <cellStyle name="Style 1 2 3 3" xfId="17561"/>
    <cellStyle name="Style 1 2 3 3 2" xfId="17562"/>
    <cellStyle name="Style 1 2 3 4" xfId="17563"/>
    <cellStyle name="Style 1 2 4" xfId="17564"/>
    <cellStyle name="Style 1 2 4 2" xfId="17565"/>
    <cellStyle name="Style 1 2 4 2 2" xfId="17566"/>
    <cellStyle name="Style 1 2 4 3" xfId="17567"/>
    <cellStyle name="Style 1 2 5" xfId="17568"/>
    <cellStyle name="Style 1 2 5 2" xfId="17569"/>
    <cellStyle name="Style 1 2 5 2 2" xfId="17570"/>
    <cellStyle name="Style 1 2 5 3" xfId="17571"/>
    <cellStyle name="Style 1 2 6" xfId="17572"/>
    <cellStyle name="Style 1 2 6 2" xfId="17573"/>
    <cellStyle name="Style 1 2 7" xfId="17574"/>
    <cellStyle name="Style 1 2 7 2" xfId="17575"/>
    <cellStyle name="Style 1 2 8" xfId="17576"/>
    <cellStyle name="Style 1 2 8 2" xfId="17577"/>
    <cellStyle name="Style 1 2_4 31E Reg Asset  Liab and EXH D" xfId="17578"/>
    <cellStyle name="Style 1 3" xfId="17579"/>
    <cellStyle name="Style 1 3 2" xfId="17580"/>
    <cellStyle name="Style 1 3 2 2" xfId="17581"/>
    <cellStyle name="Style 1 3 2 2 2" xfId="17582"/>
    <cellStyle name="Style 1 3 2 2 2 2" xfId="17583"/>
    <cellStyle name="Style 1 3 2 2 3" xfId="17584"/>
    <cellStyle name="Style 1 3 2 2 3 2" xfId="17585"/>
    <cellStyle name="Style 1 3 2 2 4" xfId="17586"/>
    <cellStyle name="Style 1 3 2 3" xfId="17587"/>
    <cellStyle name="Style 1 3 2 3 2" xfId="17588"/>
    <cellStyle name="Style 1 3 2 3 2 2" xfId="17589"/>
    <cellStyle name="Style 1 3 2 3 3" xfId="17590"/>
    <cellStyle name="Style 1 3 2 4" xfId="17591"/>
    <cellStyle name="Style 1 3 3" xfId="17592"/>
    <cellStyle name="Style 1 3 3 2" xfId="17593"/>
    <cellStyle name="Style 1 3 3 2 2" xfId="17594"/>
    <cellStyle name="Style 1 3 3 2 2 2" xfId="17595"/>
    <cellStyle name="Style 1 3 3 2 3" xfId="17596"/>
    <cellStyle name="Style 1 3 3 3" xfId="17597"/>
    <cellStyle name="Style 1 3 3 3 2" xfId="17598"/>
    <cellStyle name="Style 1 3 3 4" xfId="17599"/>
    <cellStyle name="Style 1 3 4" xfId="17600"/>
    <cellStyle name="Style 1 3 4 2" xfId="17601"/>
    <cellStyle name="Style 1 3 4 2 2" xfId="17602"/>
    <cellStyle name="Style 1 3 4 3" xfId="17603"/>
    <cellStyle name="Style 1 3 4 3 2" xfId="17604"/>
    <cellStyle name="Style 1 3 4 4" xfId="17605"/>
    <cellStyle name="Style 1 3 5" xfId="17606"/>
    <cellStyle name="Style 1 3 5 2" xfId="17607"/>
    <cellStyle name="Style 1 3 5 2 2" xfId="17608"/>
    <cellStyle name="Style 1 3 5 3" xfId="17609"/>
    <cellStyle name="Style 1 3 6" xfId="17610"/>
    <cellStyle name="Style 1 4" xfId="17611"/>
    <cellStyle name="Style 1 4 2" xfId="17612"/>
    <cellStyle name="Style 1 4 2 2" xfId="17613"/>
    <cellStyle name="Style 1 4 2 2 2" xfId="17614"/>
    <cellStyle name="Style 1 4 2 3" xfId="17615"/>
    <cellStyle name="Style 1 4 3" xfId="17616"/>
    <cellStyle name="Style 1 4 3 2" xfId="17617"/>
    <cellStyle name="Style 1 4 3 2 2" xfId="17618"/>
    <cellStyle name="Style 1 4 3 3" xfId="17619"/>
    <cellStyle name="Style 1 4 4" xfId="17620"/>
    <cellStyle name="Style 1 4 4 2" xfId="17621"/>
    <cellStyle name="Style 1 4 5" xfId="17622"/>
    <cellStyle name="Style 1 4 5 2" xfId="17623"/>
    <cellStyle name="Style 1 4 6" xfId="17624"/>
    <cellStyle name="Style 1 5" xfId="17625"/>
    <cellStyle name="Style 1 5 2" xfId="17626"/>
    <cellStyle name="Style 1 5 2 2" xfId="17627"/>
    <cellStyle name="Style 1 5 2 2 2" xfId="17628"/>
    <cellStyle name="Style 1 5 2 3" xfId="17629"/>
    <cellStyle name="Style 1 5 3" xfId="17630"/>
    <cellStyle name="Style 1 5 3 2" xfId="17631"/>
    <cellStyle name="Style 1 5 3 2 2" xfId="17632"/>
    <cellStyle name="Style 1 5 3 3" xfId="17633"/>
    <cellStyle name="Style 1 5 3 3 2" xfId="17634"/>
    <cellStyle name="Style 1 5 3 4" xfId="17635"/>
    <cellStyle name="Style 1 5 4" xfId="17636"/>
    <cellStyle name="Style 1 5 4 2" xfId="17637"/>
    <cellStyle name="Style 1 5 4 2 2" xfId="17638"/>
    <cellStyle name="Style 1 5 4 3" xfId="17639"/>
    <cellStyle name="Style 1 5 5" xfId="17640"/>
    <cellStyle name="Style 1 5 5 2" xfId="17641"/>
    <cellStyle name="Style 1 5 6" xfId="17642"/>
    <cellStyle name="Style 1 6" xfId="17643"/>
    <cellStyle name="Style 1 6 2" xfId="17644"/>
    <cellStyle name="Style 1 6 2 2" xfId="17645"/>
    <cellStyle name="Style 1 6 2 2 2" xfId="17646"/>
    <cellStyle name="Style 1 6 2 2 2 2" xfId="17647"/>
    <cellStyle name="Style 1 6 2 2 3" xfId="17648"/>
    <cellStyle name="Style 1 6 2 3" xfId="17649"/>
    <cellStyle name="Style 1 6 2 3 2" xfId="17650"/>
    <cellStyle name="Style 1 6 2 4" xfId="17651"/>
    <cellStyle name="Style 1 6 3" xfId="17652"/>
    <cellStyle name="Style 1 6 3 2" xfId="17653"/>
    <cellStyle name="Style 1 6 3 2 2" xfId="17654"/>
    <cellStyle name="Style 1 6 3 2 2 2" xfId="17655"/>
    <cellStyle name="Style 1 6 3 2 3" xfId="17656"/>
    <cellStyle name="Style 1 6 3 3" xfId="17657"/>
    <cellStyle name="Style 1 6 4" xfId="17658"/>
    <cellStyle name="Style 1 6 4 2" xfId="17659"/>
    <cellStyle name="Style 1 6 4 2 2" xfId="17660"/>
    <cellStyle name="Style 1 6 4 2 2 2" xfId="17661"/>
    <cellStyle name="Style 1 6 4 2 3" xfId="17662"/>
    <cellStyle name="Style 1 6 4 3" xfId="17663"/>
    <cellStyle name="Style 1 6 5" xfId="17664"/>
    <cellStyle name="Style 1 6 5 2" xfId="17665"/>
    <cellStyle name="Style 1 6 5 2 2" xfId="17666"/>
    <cellStyle name="Style 1 6 5 2 2 2" xfId="17667"/>
    <cellStyle name="Style 1 6 5 2 3" xfId="17668"/>
    <cellStyle name="Style 1 6 5 3" xfId="17669"/>
    <cellStyle name="Style 1 6 6" xfId="17670"/>
    <cellStyle name="Style 1 6 6 2" xfId="17671"/>
    <cellStyle name="Style 1 6 6 2 2" xfId="17672"/>
    <cellStyle name="Style 1 6 6 3" xfId="17673"/>
    <cellStyle name="Style 1 6 7" xfId="17674"/>
    <cellStyle name="Style 1 6 7 2" xfId="17675"/>
    <cellStyle name="Style 1 6 8" xfId="17676"/>
    <cellStyle name="Style 1 7" xfId="17677"/>
    <cellStyle name="Style 1 7 2" xfId="17678"/>
    <cellStyle name="Style 1 7 2 2" xfId="17679"/>
    <cellStyle name="Style 1 7 3" xfId="17680"/>
    <cellStyle name="Style 1 7 3 2" xfId="17681"/>
    <cellStyle name="Style 1 7 4" xfId="17682"/>
    <cellStyle name="Style 1 8" xfId="17683"/>
    <cellStyle name="Style 1 8 2" xfId="17684"/>
    <cellStyle name="Style 1 8 2 2" xfId="17685"/>
    <cellStyle name="Style 1 8 3" xfId="17686"/>
    <cellStyle name="Style 1 8 3 2" xfId="17687"/>
    <cellStyle name="Style 1 8 4" xfId="17688"/>
    <cellStyle name="Style 1 9" xfId="17689"/>
    <cellStyle name="Style 1 9 2" xfId="17690"/>
    <cellStyle name="Style 1 9 2 2" xfId="17691"/>
    <cellStyle name="Style 1 9 3" xfId="17692"/>
    <cellStyle name="Style 1 9 3 2" xfId="17693"/>
    <cellStyle name="Style 1 9 4" xfId="17694"/>
    <cellStyle name="Style 1_ Price Inputs" xfId="17695"/>
    <cellStyle name="Style 21" xfId="17696"/>
    <cellStyle name="Style 21 2" xfId="17697"/>
    <cellStyle name="Style 21 2 2" xfId="17698"/>
    <cellStyle name="Style 21 3" xfId="17699"/>
    <cellStyle name="Style 21 4" xfId="17700"/>
    <cellStyle name="Style 22" xfId="17701"/>
    <cellStyle name="Style 22 2" xfId="17702"/>
    <cellStyle name="Style 22 2 2" xfId="17703"/>
    <cellStyle name="Style 22 3" xfId="17704"/>
    <cellStyle name="Style 22 4" xfId="17705"/>
    <cellStyle name="Style 23" xfId="17706"/>
    <cellStyle name="Style 23 2" xfId="17707"/>
    <cellStyle name="Style 23 2 2" xfId="17708"/>
    <cellStyle name="Style 23 3" xfId="17709"/>
    <cellStyle name="Style 24" xfId="17710"/>
    <cellStyle name="Style 24 2" xfId="17711"/>
    <cellStyle name="Style 24 2 2" xfId="17712"/>
    <cellStyle name="Style 24 2 3" xfId="17713"/>
    <cellStyle name="Style 24 2 3 2" xfId="17714"/>
    <cellStyle name="Style 24 2 3 3" xfId="17715"/>
    <cellStyle name="Style 24 2 3 4" xfId="17716"/>
    <cellStyle name="Style 24 2 4" xfId="17717"/>
    <cellStyle name="Style 24 2 5" xfId="17718"/>
    <cellStyle name="Style 24 2 6" xfId="17719"/>
    <cellStyle name="Style 24 3" xfId="17720"/>
    <cellStyle name="Style 24 4" xfId="17721"/>
    <cellStyle name="Style 24 4 2" xfId="17722"/>
    <cellStyle name="Style 24 4 3" xfId="17723"/>
    <cellStyle name="Style 24 4 4" xfId="17724"/>
    <cellStyle name="Style 24 5" xfId="17725"/>
    <cellStyle name="Style 24 6" xfId="17726"/>
    <cellStyle name="Style 24 7" xfId="17727"/>
    <cellStyle name="Style 25" xfId="17728"/>
    <cellStyle name="Style 25 2" xfId="17729"/>
    <cellStyle name="Style 25 2 2" xfId="17730"/>
    <cellStyle name="Style 25 3" xfId="17731"/>
    <cellStyle name="Style 26" xfId="17732"/>
    <cellStyle name="Style 26 2" xfId="17733"/>
    <cellStyle name="Style 26 2 2" xfId="17734"/>
    <cellStyle name="Style 26 3" xfId="17735"/>
    <cellStyle name="Style 27" xfId="17736"/>
    <cellStyle name="Style 27 2" xfId="17737"/>
    <cellStyle name="Style 27 2 2" xfId="17738"/>
    <cellStyle name="Style 27 3" xfId="17739"/>
    <cellStyle name="Style 28" xfId="17740"/>
    <cellStyle name="Style 28 2" xfId="17741"/>
    <cellStyle name="Style 28 2 2" xfId="17742"/>
    <cellStyle name="Style 28 3" xfId="17743"/>
    <cellStyle name="Style 29" xfId="17744"/>
    <cellStyle name="Style 29 2" xfId="17745"/>
    <cellStyle name="Style 29 2 2" xfId="17746"/>
    <cellStyle name="Style 29 3" xfId="17747"/>
    <cellStyle name="Style 29 3 2" xfId="17748"/>
    <cellStyle name="Style 29 4" xfId="17749"/>
    <cellStyle name="Style 30" xfId="17750"/>
    <cellStyle name="Style 30 2" xfId="17751"/>
    <cellStyle name="Style 30 2 2" xfId="17752"/>
    <cellStyle name="Style 30 3" xfId="17753"/>
    <cellStyle name="Style 30 3 2" xfId="17754"/>
    <cellStyle name="Style 30 4" xfId="17755"/>
    <cellStyle name="Style 31" xfId="17756"/>
    <cellStyle name="Style 31 2" xfId="17757"/>
    <cellStyle name="Style 31 2 2" xfId="17758"/>
    <cellStyle name="Style 31 3" xfId="17759"/>
    <cellStyle name="Style 32" xfId="17760"/>
    <cellStyle name="Style 32 2" xfId="17761"/>
    <cellStyle name="Style 32 2 2" xfId="17762"/>
    <cellStyle name="Style 32 3" xfId="17763"/>
    <cellStyle name="Style 33" xfId="17764"/>
    <cellStyle name="Style 33 2" xfId="17765"/>
    <cellStyle name="Style 33 2 2" xfId="17766"/>
    <cellStyle name="Style 33 3" xfId="17767"/>
    <cellStyle name="Style 33 3 2" xfId="17768"/>
    <cellStyle name="Style 33 4" xfId="17769"/>
    <cellStyle name="Style 34" xfId="17770"/>
    <cellStyle name="Style 34 2" xfId="17771"/>
    <cellStyle name="Style 34 2 2" xfId="17772"/>
    <cellStyle name="Style 34 3" xfId="17773"/>
    <cellStyle name="Style 34 3 2" xfId="17774"/>
    <cellStyle name="Style 34 4" xfId="17775"/>
    <cellStyle name="Style 35" xfId="17776"/>
    <cellStyle name="Style 35 2" xfId="17777"/>
    <cellStyle name="Style 35 2 2" xfId="17778"/>
    <cellStyle name="Style 35 3" xfId="17779"/>
    <cellStyle name="Style 35 3 2" xfId="17780"/>
    <cellStyle name="Style 35 4" xfId="17781"/>
    <cellStyle name="Style 36" xfId="17782"/>
    <cellStyle name="Style 36 2" xfId="17783"/>
    <cellStyle name="Style 36 2 2" xfId="17784"/>
    <cellStyle name="Style 36 3" xfId="17785"/>
    <cellStyle name="Style 36 3 2" xfId="17786"/>
    <cellStyle name="Style 36 4" xfId="17787"/>
    <cellStyle name="Style 39" xfId="17788"/>
    <cellStyle name="Style 39 2" xfId="17789"/>
    <cellStyle name="Style 39 2 2" xfId="17790"/>
    <cellStyle name="Style 39 3" xfId="17791"/>
    <cellStyle name="Style 39 3 2" xfId="17792"/>
    <cellStyle name="Style 39 4" xfId="17793"/>
    <cellStyle name="STYLE1" xfId="17794"/>
    <cellStyle name="STYLE1 2" xfId="17795"/>
    <cellStyle name="STYLE2" xfId="17796"/>
    <cellStyle name="STYLE2 2" xfId="17797"/>
    <cellStyle name="STYLE3" xfId="17798"/>
    <cellStyle name="STYLE3 2" xfId="17799"/>
    <cellStyle name="STYLE4" xfId="17800"/>
    <cellStyle name="STYLE5" xfId="17801"/>
    <cellStyle name="SUB HEADING" xfId="17802"/>
    <cellStyle name="SubHeading" xfId="17803"/>
    <cellStyle name="SubsidTitle" xfId="17804"/>
    <cellStyle name="sub-tl - Style3" xfId="17805"/>
    <cellStyle name="subtot - Style5" xfId="17806"/>
    <cellStyle name="subtot - Style5 2" xfId="17807"/>
    <cellStyle name="Subtotal" xfId="17808"/>
    <cellStyle name="Sub-total" xfId="17809"/>
    <cellStyle name="Subtotal 2" xfId="17810"/>
    <cellStyle name="Sub-total 2" xfId="17811"/>
    <cellStyle name="Subtotal 2 2" xfId="17812"/>
    <cellStyle name="Sub-total 2 2" xfId="17813"/>
    <cellStyle name="Subtotal 2 2 2" xfId="17814"/>
    <cellStyle name="Sub-total 2 2 2" xfId="17815"/>
    <cellStyle name="Subtotal 2 3" xfId="17816"/>
    <cellStyle name="Sub-total 2 3" xfId="17817"/>
    <cellStyle name="Subtotal 2 3 2" xfId="17818"/>
    <cellStyle name="Sub-total 2 3 2" xfId="17819"/>
    <cellStyle name="Subtotal 2 4" xfId="17820"/>
    <cellStyle name="Sub-total 2 4" xfId="17821"/>
    <cellStyle name="Subtotal 3" xfId="17822"/>
    <cellStyle name="Sub-total 3" xfId="17823"/>
    <cellStyle name="Subtotal 3 2" xfId="17824"/>
    <cellStyle name="Sub-total 3 2" xfId="17825"/>
    <cellStyle name="Subtotal 3 2 2" xfId="17826"/>
    <cellStyle name="Sub-total 3 2 2" xfId="17827"/>
    <cellStyle name="Subtotal 3 3" xfId="17828"/>
    <cellStyle name="Sub-total 3 3" xfId="17829"/>
    <cellStyle name="Subtotal 3 3 2" xfId="17830"/>
    <cellStyle name="Sub-total 3 3 2" xfId="17831"/>
    <cellStyle name="Subtotal 3 4" xfId="17832"/>
    <cellStyle name="Sub-total 3 4" xfId="17833"/>
    <cellStyle name="Subtotal 4" xfId="17834"/>
    <cellStyle name="Sub-total 4" xfId="17835"/>
    <cellStyle name="Subtotal 4 2" xfId="17836"/>
    <cellStyle name="Sub-total 4 2" xfId="17837"/>
    <cellStyle name="Subtotal 4 2 2" xfId="17838"/>
    <cellStyle name="Sub-total 4 2 2" xfId="17839"/>
    <cellStyle name="Subtotal 4 3" xfId="17840"/>
    <cellStyle name="Sub-total 4 3" xfId="17841"/>
    <cellStyle name="Subtotal 4 3 2" xfId="17842"/>
    <cellStyle name="Sub-total 4 3 2" xfId="17843"/>
    <cellStyle name="Subtotal 4 4" xfId="17844"/>
    <cellStyle name="Sub-total 4 4" xfId="17845"/>
    <cellStyle name="Subtotal 5" xfId="17846"/>
    <cellStyle name="Sub-total 5" xfId="17847"/>
    <cellStyle name="Subtotal 5 2" xfId="17848"/>
    <cellStyle name="Sub-total 5 2" xfId="17849"/>
    <cellStyle name="Subtotal 5 2 2" xfId="17850"/>
    <cellStyle name="Sub-total 5 2 2" xfId="17851"/>
    <cellStyle name="Subtotal 5 3" xfId="17852"/>
    <cellStyle name="Sub-total 5 3" xfId="17853"/>
    <cellStyle name="Subtotal 5 3 2" xfId="17854"/>
    <cellStyle name="Sub-total 5 3 2" xfId="17855"/>
    <cellStyle name="Subtotal 5 4" xfId="17856"/>
    <cellStyle name="Sub-total 5 4" xfId="17857"/>
    <cellStyle name="Subtotal 6" xfId="17858"/>
    <cellStyle name="Sub-total 6" xfId="17859"/>
    <cellStyle name="Subtotal 6 2" xfId="17860"/>
    <cellStyle name="Sub-total 6 2" xfId="17861"/>
    <cellStyle name="Subtotal 6 2 2" xfId="17862"/>
    <cellStyle name="Sub-total 6 2 2" xfId="17863"/>
    <cellStyle name="Subtotal 6 3" xfId="17864"/>
    <cellStyle name="Sub-total 6 3" xfId="17865"/>
    <cellStyle name="Subtotal 6 3 2" xfId="17866"/>
    <cellStyle name="Sub-total 6 3 2" xfId="17867"/>
    <cellStyle name="Subtotal 6 4" xfId="17868"/>
    <cellStyle name="Sub-total 6 4" xfId="17869"/>
    <cellStyle name="Subtotal 7" xfId="17870"/>
    <cellStyle name="Sub-total 7" xfId="17871"/>
    <cellStyle name="Subtotal 7 2" xfId="17872"/>
    <cellStyle name="Sub-total 7 2" xfId="17873"/>
    <cellStyle name="Subtotal 8" xfId="17874"/>
    <cellStyle name="Sub-total 8" xfId="17875"/>
    <cellStyle name="Table Data" xfId="17876"/>
    <cellStyle name="Table Headings Bold" xfId="17877"/>
    <cellStyle name="Table Headings Bold 2" xfId="17878"/>
    <cellStyle name="Table Headings Bold 2 2" xfId="17879"/>
    <cellStyle name="Table Headings Bold 3" xfId="17880"/>
    <cellStyle name="Table Headings Bold 3 2" xfId="17881"/>
    <cellStyle name="Table Headings Bold 4" xfId="17882"/>
    <cellStyle name="Table Headings Bold 4 2" xfId="17883"/>
    <cellStyle name="Table Headings Bold 5" xfId="17884"/>
    <cellStyle name="Table Headings Bold 5 2" xfId="17885"/>
    <cellStyle name="TableBody" xfId="17886"/>
    <cellStyle name="TableBody 10" xfId="17887"/>
    <cellStyle name="TableBody 10 2" xfId="17888"/>
    <cellStyle name="TableBody 10 3" xfId="17889"/>
    <cellStyle name="TableBody 11" xfId="17890"/>
    <cellStyle name="TableBody 11 2" xfId="17891"/>
    <cellStyle name="TableBody 11 2 2" xfId="17892"/>
    <cellStyle name="TableBody 11 2 2 2" xfId="17893"/>
    <cellStyle name="TableBody 11 2 2 3" xfId="17894"/>
    <cellStyle name="TableBody 11 2 3" xfId="17895"/>
    <cellStyle name="TableBody 11 2 4" xfId="17896"/>
    <cellStyle name="TableBody 11 3" xfId="17897"/>
    <cellStyle name="TableBody 11 4" xfId="17898"/>
    <cellStyle name="TableBody 12" xfId="17899"/>
    <cellStyle name="TableBody 12 2" xfId="17900"/>
    <cellStyle name="TableBody 12 3" xfId="17901"/>
    <cellStyle name="TableBody 13" xfId="17902"/>
    <cellStyle name="TableBody 13 2" xfId="17903"/>
    <cellStyle name="TableBody 13 3" xfId="17904"/>
    <cellStyle name="TableBody 14" xfId="17905"/>
    <cellStyle name="TableBody 15" xfId="17906"/>
    <cellStyle name="TableBody 2" xfId="17907"/>
    <cellStyle name="TableBody 2 2" xfId="17908"/>
    <cellStyle name="TableBody 2 2 2" xfId="17909"/>
    <cellStyle name="TableBody 2 2 2 2" xfId="17910"/>
    <cellStyle name="TableBody 2 2 2 2 2" xfId="17911"/>
    <cellStyle name="TableBody 2 2 2 2 3" xfId="17912"/>
    <cellStyle name="TableBody 2 2 2 3" xfId="17913"/>
    <cellStyle name="TableBody 2 2 2 4" xfId="17914"/>
    <cellStyle name="TableBody 2 2 3" xfId="17915"/>
    <cellStyle name="TableBody 2 2 4" xfId="17916"/>
    <cellStyle name="TableBody 2 3" xfId="17917"/>
    <cellStyle name="TableBody 2 3 2" xfId="17918"/>
    <cellStyle name="TableBody 2 3 3" xfId="17919"/>
    <cellStyle name="TableBody 2 4" xfId="17920"/>
    <cellStyle name="TableBody 2 4 2" xfId="17921"/>
    <cellStyle name="TableBody 2 4 3" xfId="17922"/>
    <cellStyle name="TableBody 2 5" xfId="17923"/>
    <cellStyle name="TableBody 2 6" xfId="17924"/>
    <cellStyle name="TableBody 3" xfId="17925"/>
    <cellStyle name="TableBody 3 2" xfId="17926"/>
    <cellStyle name="TableBody 3 3" xfId="17927"/>
    <cellStyle name="TableBody 4" xfId="17928"/>
    <cellStyle name="TableBody 4 2" xfId="17929"/>
    <cellStyle name="TableBody 4 3" xfId="17930"/>
    <cellStyle name="TableBody 5" xfId="17931"/>
    <cellStyle name="TableBody 5 2" xfId="17932"/>
    <cellStyle name="TableBody 5 3" xfId="17933"/>
    <cellStyle name="TableBody 6" xfId="17934"/>
    <cellStyle name="TableBody 6 2" xfId="17935"/>
    <cellStyle name="TableBody 6 3" xfId="17936"/>
    <cellStyle name="TableBody 7" xfId="17937"/>
    <cellStyle name="TableBody 7 2" xfId="17938"/>
    <cellStyle name="TableBody 7 3" xfId="17939"/>
    <cellStyle name="TableBody 8" xfId="17940"/>
    <cellStyle name="TableBody 8 2" xfId="17941"/>
    <cellStyle name="TableBody 8 3" xfId="17942"/>
    <cellStyle name="TableBody 9" xfId="17943"/>
    <cellStyle name="TableBody 9 2" xfId="17944"/>
    <cellStyle name="TableBody 9 3" xfId="17945"/>
    <cellStyle name="taples Plaza" xfId="17946"/>
    <cellStyle name="Test" xfId="18243"/>
    <cellStyle name="TextEntry" xfId="17947"/>
    <cellStyle name="TextEntry 10" xfId="17948"/>
    <cellStyle name="TextEntry 10 2" xfId="17949"/>
    <cellStyle name="TextEntry 10 3" xfId="17950"/>
    <cellStyle name="TextEntry 11" xfId="17951"/>
    <cellStyle name="TextEntry 11 2" xfId="17952"/>
    <cellStyle name="TextEntry 11 2 2" xfId="17953"/>
    <cellStyle name="TextEntry 11 2 2 2" xfId="17954"/>
    <cellStyle name="TextEntry 11 2 2 3" xfId="17955"/>
    <cellStyle name="TextEntry 11 2 3" xfId="17956"/>
    <cellStyle name="TextEntry 11 2 4" xfId="17957"/>
    <cellStyle name="TextEntry 11 3" xfId="17958"/>
    <cellStyle name="TextEntry 11 4" xfId="17959"/>
    <cellStyle name="TextEntry 12" xfId="17960"/>
    <cellStyle name="TextEntry 12 2" xfId="17961"/>
    <cellStyle name="TextEntry 12 3" xfId="17962"/>
    <cellStyle name="TextEntry 13" xfId="17963"/>
    <cellStyle name="TextEntry 13 2" xfId="17964"/>
    <cellStyle name="TextEntry 13 3" xfId="17965"/>
    <cellStyle name="TextEntry 14" xfId="17966"/>
    <cellStyle name="TextEntry 15" xfId="17967"/>
    <cellStyle name="TextEntry 2" xfId="17968"/>
    <cellStyle name="TextEntry 2 2" xfId="17969"/>
    <cellStyle name="TextEntry 2 2 2" xfId="17970"/>
    <cellStyle name="TextEntry 2 2 2 2" xfId="17971"/>
    <cellStyle name="TextEntry 2 2 2 2 2" xfId="17972"/>
    <cellStyle name="TextEntry 2 2 2 2 3" xfId="17973"/>
    <cellStyle name="TextEntry 2 2 2 3" xfId="17974"/>
    <cellStyle name="TextEntry 2 2 2 4" xfId="17975"/>
    <cellStyle name="TextEntry 2 2 3" xfId="17976"/>
    <cellStyle name="TextEntry 2 2 4" xfId="17977"/>
    <cellStyle name="TextEntry 2 3" xfId="17978"/>
    <cellStyle name="TextEntry 2 3 2" xfId="17979"/>
    <cellStyle name="TextEntry 2 3 3" xfId="17980"/>
    <cellStyle name="TextEntry 2 4" xfId="17981"/>
    <cellStyle name="TextEntry 2 4 2" xfId="17982"/>
    <cellStyle name="TextEntry 2 4 3" xfId="17983"/>
    <cellStyle name="TextEntry 2 5" xfId="17984"/>
    <cellStyle name="TextEntry 2 6" xfId="17985"/>
    <cellStyle name="TextEntry 3" xfId="17986"/>
    <cellStyle name="TextEntry 3 2" xfId="17987"/>
    <cellStyle name="TextEntry 3 3" xfId="17988"/>
    <cellStyle name="TextEntry 4" xfId="17989"/>
    <cellStyle name="TextEntry 4 2" xfId="17990"/>
    <cellStyle name="TextEntry 4 3" xfId="17991"/>
    <cellStyle name="TextEntry 5" xfId="17992"/>
    <cellStyle name="TextEntry 5 2" xfId="17993"/>
    <cellStyle name="TextEntry 5 3" xfId="17994"/>
    <cellStyle name="TextEntry 6" xfId="17995"/>
    <cellStyle name="TextEntry 6 2" xfId="17996"/>
    <cellStyle name="TextEntry 6 3" xfId="17997"/>
    <cellStyle name="TextEntry 7" xfId="17998"/>
    <cellStyle name="TextEntry 7 2" xfId="17999"/>
    <cellStyle name="TextEntry 7 3" xfId="18000"/>
    <cellStyle name="TextEntry 8" xfId="18001"/>
    <cellStyle name="TextEntry 8 2" xfId="18002"/>
    <cellStyle name="TextEntry 8 3" xfId="18003"/>
    <cellStyle name="TextEntry 9" xfId="18004"/>
    <cellStyle name="TextEntry 9 2" xfId="18005"/>
    <cellStyle name="TextEntry 9 3" xfId="18006"/>
    <cellStyle name="Tickmark" xfId="18007"/>
    <cellStyle name="Title 2" xfId="875"/>
    <cellStyle name="Title 2 2" xfId="876"/>
    <cellStyle name="Title 2 2 2" xfId="18008"/>
    <cellStyle name="Title 2 2 2 2" xfId="18009"/>
    <cellStyle name="Title 2 2 3" xfId="18010"/>
    <cellStyle name="Title 2 2 3 2" xfId="18011"/>
    <cellStyle name="Title 2 2 3 2 2" xfId="18012"/>
    <cellStyle name="Title 2 2 3 3" xfId="18013"/>
    <cellStyle name="Title 2 2 4" xfId="18014"/>
    <cellStyle name="Title 2 2 4 2" xfId="18015"/>
    <cellStyle name="Title 2 2 5" xfId="18016"/>
    <cellStyle name="Title 2 3" xfId="18017"/>
    <cellStyle name="Title 2 3 2" xfId="18018"/>
    <cellStyle name="Title 2 3 2 2" xfId="18019"/>
    <cellStyle name="Title 2 3 3" xfId="18020"/>
    <cellStyle name="Title 2 3 3 2" xfId="18021"/>
    <cellStyle name="Title 2 3 4" xfId="18022"/>
    <cellStyle name="Title 2 4" xfId="18023"/>
    <cellStyle name="Title 2 4 2" xfId="18024"/>
    <cellStyle name="Title 2 4 2 2" xfId="18025"/>
    <cellStyle name="Title 2 4 3" xfId="18026"/>
    <cellStyle name="Title 2 5" xfId="18027"/>
    <cellStyle name="Title 2 5 2" xfId="18028"/>
    <cellStyle name="Title 2 6" xfId="18029"/>
    <cellStyle name="Title 2 6 2" xfId="18030"/>
    <cellStyle name="Title 2 7" xfId="18031"/>
    <cellStyle name="Title 3" xfId="877"/>
    <cellStyle name="Title 3 2" xfId="18032"/>
    <cellStyle name="Title 3 2 2" xfId="18033"/>
    <cellStyle name="Title 3 3" xfId="18034"/>
    <cellStyle name="Title 3 3 2" xfId="18035"/>
    <cellStyle name="Title 3 3 2 2" xfId="18036"/>
    <cellStyle name="Title 3 3 3" xfId="18037"/>
    <cellStyle name="Title 3 4" xfId="18038"/>
    <cellStyle name="Title 3 4 2" xfId="18039"/>
    <cellStyle name="Title 3 5" xfId="18040"/>
    <cellStyle name="Title 4" xfId="18041"/>
    <cellStyle name="Title 4 2" xfId="18042"/>
    <cellStyle name="Title 4 2 2" xfId="18043"/>
    <cellStyle name="Title 4 3" xfId="18044"/>
    <cellStyle name="Title 4 3 2" xfId="18045"/>
    <cellStyle name="Title 4 4" xfId="18046"/>
    <cellStyle name="Title 5" xfId="18047"/>
    <cellStyle name="Title 5 2" xfId="18048"/>
    <cellStyle name="Title 5 2 2" xfId="18049"/>
    <cellStyle name="Title 5 3" xfId="18050"/>
    <cellStyle name="Title 5 3 2" xfId="18051"/>
    <cellStyle name="Title 5 4" xfId="18052"/>
    <cellStyle name="Title 6" xfId="18053"/>
    <cellStyle name="Title 6 2" xfId="18054"/>
    <cellStyle name="Title 6 2 2" xfId="18055"/>
    <cellStyle name="Title 6 3" xfId="18056"/>
    <cellStyle name="Title 7" xfId="18057"/>
    <cellStyle name="Title 7 2" xfId="18058"/>
    <cellStyle name="Title: - Style3" xfId="18244"/>
    <cellStyle name="Title: - Style4" xfId="18245"/>
    <cellStyle name="Title: Major" xfId="18059"/>
    <cellStyle name="Title: Major 2" xfId="18060"/>
    <cellStyle name="Title: Major 2 2" xfId="18061"/>
    <cellStyle name="Title: Major 2 2 2" xfId="18062"/>
    <cellStyle name="Title: Major 2 3" xfId="18063"/>
    <cellStyle name="Title: Major 3" xfId="18064"/>
    <cellStyle name="Title: Major 3 2" xfId="18065"/>
    <cellStyle name="Title: Major 3 2 2" xfId="18066"/>
    <cellStyle name="Title: Major 3 3" xfId="18067"/>
    <cellStyle name="Title: Major 4" xfId="18068"/>
    <cellStyle name="Title: Major 4 2" xfId="18069"/>
    <cellStyle name="Title: Major 5" xfId="18070"/>
    <cellStyle name="Title: Minor" xfId="18071"/>
    <cellStyle name="Title: Minor 2" xfId="18072"/>
    <cellStyle name="Title: Minor 2 2" xfId="18073"/>
    <cellStyle name="Title: Minor 2 2 2" xfId="18074"/>
    <cellStyle name="Title: Minor 2 3" xfId="18075"/>
    <cellStyle name="Title: Minor 3" xfId="18076"/>
    <cellStyle name="Title: Minor 3 2" xfId="18077"/>
    <cellStyle name="Title: Minor 4" xfId="18078"/>
    <cellStyle name="Title: Minor_Electric Rev Req Model (2009 GRC) Rebuttal" xfId="18246"/>
    <cellStyle name="Title: Worksheet" xfId="18079"/>
    <cellStyle name="Title: Worksheet 2" xfId="18080"/>
    <cellStyle name="Title: Worksheet 2 2" xfId="18081"/>
    <cellStyle name="Title: Worksheet 2 2 2" xfId="18082"/>
    <cellStyle name="Title: Worksheet 2 3" xfId="18083"/>
    <cellStyle name="Title: Worksheet 3" xfId="18084"/>
    <cellStyle name="Title: Worksheet 3 2" xfId="18085"/>
    <cellStyle name="Title: Worksheet 4" xfId="18086"/>
    <cellStyle name="Titles" xfId="18087"/>
    <cellStyle name="Total 2" xfId="878"/>
    <cellStyle name="Total 2 2" xfId="879"/>
    <cellStyle name="Total 2 2 2" xfId="18088"/>
    <cellStyle name="Total 2 2 2 2" xfId="18089"/>
    <cellStyle name="Total 2 2 3" xfId="18090"/>
    <cellStyle name="Total 2 2 3 2" xfId="18091"/>
    <cellStyle name="Total 2 2 3 2 2" xfId="18092"/>
    <cellStyle name="Total 2 2 3 3" xfId="18093"/>
    <cellStyle name="Total 2 2 4" xfId="18094"/>
    <cellStyle name="Total 2 2 4 2" xfId="18095"/>
    <cellStyle name="Total 2 2 5" xfId="18096"/>
    <cellStyle name="Total 2 2 6" xfId="18097"/>
    <cellStyle name="Total 2 3" xfId="18098"/>
    <cellStyle name="Total 2 3 2" xfId="18099"/>
    <cellStyle name="Total 2 3 2 2" xfId="18100"/>
    <cellStyle name="Total 2 3 3" xfId="18101"/>
    <cellStyle name="Total 2 3 3 2" xfId="18102"/>
    <cellStyle name="Total 2 3 4" xfId="18103"/>
    <cellStyle name="Total 2 3 4 2" xfId="18104"/>
    <cellStyle name="Total 2 3 5" xfId="18105"/>
    <cellStyle name="Total 2 3 6" xfId="18106"/>
    <cellStyle name="Total 2 4" xfId="18107"/>
    <cellStyle name="Total 2 4 2" xfId="18108"/>
    <cellStyle name="Total 2 4 2 2" xfId="18109"/>
    <cellStyle name="Total 2 4 3" xfId="18110"/>
    <cellStyle name="Total 2 4 4" xfId="18111"/>
    <cellStyle name="Total 2 5" xfId="18112"/>
    <cellStyle name="Total 2 5 2" xfId="18113"/>
    <cellStyle name="Total 2 6" xfId="18114"/>
    <cellStyle name="Total 3" xfId="880"/>
    <cellStyle name="Total 3 2" xfId="881"/>
    <cellStyle name="Total 3 2 2" xfId="18115"/>
    <cellStyle name="Total 3 2 2 2" xfId="18116"/>
    <cellStyle name="Total 3 2 3" xfId="18117"/>
    <cellStyle name="Total 3 2 3 2" xfId="18118"/>
    <cellStyle name="Total 3 2 4" xfId="18119"/>
    <cellStyle name="Total 3 3" xfId="18120"/>
    <cellStyle name="Total 3 3 2" xfId="18121"/>
    <cellStyle name="Total 3 4" xfId="18122"/>
    <cellStyle name="Total 3 5" xfId="18343"/>
    <cellStyle name="Total 4" xfId="882"/>
    <cellStyle name="Total 4 2" xfId="18123"/>
    <cellStyle name="Total 4 2 2" xfId="18124"/>
    <cellStyle name="Total 4 3" xfId="18125"/>
    <cellStyle name="Total 4 3 2" xfId="18126"/>
    <cellStyle name="Total 4 4" xfId="18127"/>
    <cellStyle name="Total 5" xfId="18128"/>
    <cellStyle name="Total 5 2" xfId="18129"/>
    <cellStyle name="Total 5 2 2" xfId="18130"/>
    <cellStyle name="Total 5 3" xfId="18131"/>
    <cellStyle name="Total 5 3 2" xfId="18132"/>
    <cellStyle name="Total 5 4" xfId="18133"/>
    <cellStyle name="Total 6" xfId="18134"/>
    <cellStyle name="Total 6 2" xfId="18135"/>
    <cellStyle name="Total 9" xfId="18136"/>
    <cellStyle name="Total 9 2" xfId="18137"/>
    <cellStyle name="Total4 - Style4" xfId="18138"/>
    <cellStyle name="Total4 - Style4 2" xfId="18139"/>
    <cellStyle name="Total4 - Style4 2 2" xfId="18140"/>
    <cellStyle name="Total4 - Style4 2 2 2" xfId="18141"/>
    <cellStyle name="Total4 - Style4 2 3" xfId="18142"/>
    <cellStyle name="Total4 - Style4 3" xfId="18143"/>
    <cellStyle name="Total4 - Style4 3 2" xfId="18144"/>
    <cellStyle name="Total4 - Style4 4" xfId="18145"/>
    <cellStyle name="Total4 - Style4_Electric Rev Req Model (2009 GRC) Rebuttal" xfId="18247"/>
    <cellStyle name="Totals" xfId="18146"/>
    <cellStyle name="Totals [0]" xfId="18147"/>
    <cellStyle name="Totals [2]" xfId="18148"/>
    <cellStyle name="Totals_FWB Summary" xfId="18149"/>
    <cellStyle name="UnProtectedCalc" xfId="18150"/>
    <cellStyle name="UnProtectedCalc 2" xfId="18151"/>
    <cellStyle name="Warning Text 2" xfId="883"/>
    <cellStyle name="Warning Text 2 2" xfId="884"/>
    <cellStyle name="Warning Text 2 2 2" xfId="18152"/>
    <cellStyle name="Warning Text 2 2 2 2" xfId="18153"/>
    <cellStyle name="Warning Text 2 2 3" xfId="18154"/>
    <cellStyle name="Warning Text 2 2 3 2" xfId="18155"/>
    <cellStyle name="Warning Text 2 2 3 2 2" xfId="18156"/>
    <cellStyle name="Warning Text 2 2 3 3" xfId="18157"/>
    <cellStyle name="Warning Text 2 2 4" xfId="18158"/>
    <cellStyle name="Warning Text 2 2 4 2" xfId="18159"/>
    <cellStyle name="Warning Text 2 2 5" xfId="18160"/>
    <cellStyle name="Warning Text 2 3" xfId="18161"/>
    <cellStyle name="Warning Text 2 3 2" xfId="18162"/>
    <cellStyle name="Warning Text 2 3 2 2" xfId="18163"/>
    <cellStyle name="Warning Text 2 3 3" xfId="18164"/>
    <cellStyle name="Warning Text 2 4" xfId="18165"/>
    <cellStyle name="Warning Text 2 4 2" xfId="18166"/>
    <cellStyle name="Warning Text 2 4 2 2" xfId="18167"/>
    <cellStyle name="Warning Text 2 4 3" xfId="18168"/>
    <cellStyle name="Warning Text 2 5" xfId="18169"/>
    <cellStyle name="Warning Text 2 5 2" xfId="18170"/>
    <cellStyle name="Warning Text 2 6" xfId="18171"/>
    <cellStyle name="Warning Text 3" xfId="885"/>
    <cellStyle name="Warning Text 3 2" xfId="18172"/>
    <cellStyle name="Warning Text 3 2 2" xfId="18173"/>
    <cellStyle name="Warning Text 3 3" xfId="18174"/>
    <cellStyle name="Warning Text 3 3 2" xfId="18175"/>
    <cellStyle name="Warning Text 3 3 2 2" xfId="18176"/>
    <cellStyle name="Warning Text 3 3 3" xfId="18177"/>
    <cellStyle name="Warning Text 3 4" xfId="18178"/>
    <cellStyle name="Warning Text 3 4 2" xfId="18179"/>
    <cellStyle name="Warning Text 3 5" xfId="18180"/>
    <cellStyle name="Warning Text 4" xfId="886"/>
    <cellStyle name="Warning Text 4 2" xfId="18181"/>
    <cellStyle name="Warning Text 4 2 2" xfId="18182"/>
    <cellStyle name="Warning Text 4 3" xfId="18183"/>
    <cellStyle name="Warning Text 4 3 2" xfId="18184"/>
    <cellStyle name="Warning Text 4 4" xfId="18185"/>
    <cellStyle name="Warning Text 5" xfId="18186"/>
    <cellStyle name="Warning Text 5 2" xfId="18187"/>
    <cellStyle name="Warning Text 5 2 2" xfId="18188"/>
    <cellStyle name="Warning Text 5 3" xfId="18189"/>
    <cellStyle name="Warning Text 6" xfId="18190"/>
    <cellStyle name="Warning Text 6 2" xfId="18191"/>
    <cellStyle name="Warning Text 6 2 2" xfId="18192"/>
    <cellStyle name="Warning Text 6 3" xfId="18193"/>
    <cellStyle name="Year" xfId="18194"/>
    <cellStyle name="Year 2" xfId="18195"/>
  </cellStyles>
  <dxfs count="10">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s>
  <tableStyles count="0" defaultTableStyle="TableStyleMedium9" defaultPivotStyle="PivotStyleLight16"/>
  <colors>
    <mruColors>
      <color rgb="FFFFCCFF"/>
      <color rgb="FF0000FF"/>
      <color rgb="FF00FF00"/>
      <color rgb="FFFF0066"/>
      <color rgb="FF00FFFF"/>
      <color rgb="FFCCFF33"/>
      <color rgb="FFCC00FF"/>
      <color rgb="FFDBDF41"/>
      <color rgb="FFFFCC66"/>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74" Type="http://schemas.openxmlformats.org/officeDocument/2006/relationships/externalLink" Target="externalLinks/externalLink58.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5.xml"/><Relationship Id="rId82" Type="http://schemas.openxmlformats.org/officeDocument/2006/relationships/customXml" Target="../customXml/item4.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5.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JAP/Copy%20of%20170033_UE%20170034_UG%20PSE%20Resp%20KROGER%20DR%20005_Attach%20A.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23%20%202017%20GRC/JAP%20Testimony/JAP-07%20(ECOS%20Model%20v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CASES\PSE\170033%20and%20170034\My%20Exhibit\Errata\170034-Staff-WP-MCC-7,8,9,10,11%20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odel/UE-170033/Prior%20GRC/Martin%20-%20Electric/111048-111049%20Martin%20Exhibits%20RCM-2%20RCM-3%20RCM-4%20RCM-5%20RCM-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5.01E%20&amp;%205.01G%20Income%20Statement%2017GR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5.03%20E&amp;G%20RB%20-%205.04%20E&amp;G%20WC%2017GR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7.06E%20Reg%20Assets%20&amp;%20Liab%2017GR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04E%20Federal%20Income%20Tax%2017GR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06E%20Depr%20Study%2017GRC.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70033-Staff-WP-CRM-Depr%20Study%2013.06%20Revise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07E%20&amp;%206.07G%20Inj%20&amp;%20Damages%2017GRC.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10E%20&amp;%206.10G%20D&amp;O%20Ins%2017GR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13.11E%20&amp;%2013.11G%20%20Int%20on%20Cust%20Dep%2017GRC%20(SUPP).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13E%20Def'd%20Gains%20&amp;%20Loss%2017GR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14E%20&amp;%206.14G%20Prop%20&amp;%20Liab%20Ins%2017GR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15E%20&amp;%206.15G%20Pension%20Plan%2017GR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22E%20&amp;%206.22G%20WUTC%20Filing%20Fee%20-%20Excise%20Tax%2017GRC.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03E%20Pass%20Thru%20Rev%20&amp;%20Exp%2017GRC.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13.08E%20Bad%20Debt%2017GRC%20(SUPP).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13.09E%20&amp;%2013.09G%20Incentive%20Pay%2017GRC%20(SUPP).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13.16E%20&amp;%2013.16G%20Wage%20Incr%2017GRC%20(SUP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13.17E%20&amp;%2013.17G%20%20Investment%20Plan%2017GRC%20(SUP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18E%20&amp;%206.18G%20Employee%20Ins%2017GR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20E%20&amp;%206.20G%20Payment%20Processing%20Costs%2017GRC.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odel/UE-170033/Staff%20Final%20Workpapers/170033-Staff-WP-ECO-Legal%2013.2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01E%20Rev%20&amp;%20Exp%2017GRC.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02E%20Temp%20Norm%2017GRC.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odel/UE-170033/Staff%20Final%20Workpapers/170033-Staff-WP-JL-Temp%20Normalization%2013.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Model/UE-170033/Staff%20Final%20Workpapers/170033-Staff-WP-ECO-Environ%20Rem%2013.1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6.21E%20&amp;%206.21G%20South%20King%20Ser%20Cen%2017GRC.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odel/UE-170033/Staff%20Final%20Workpapers/170033-Staff-WP-CRM-%20Reg%20Asset%20Colstrip%2013.06A.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odel/UE-170033/Staff%20Final%20Workpapers/170033-Staff-WP-CSH-Processing%20Cost%2013.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odel/UE-170033/Staff%20Final%20Workpapers/170033-Staff-WP-CRM-%20Reg%20Asset%20Colstrip%2013.0A.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14.02E%20Montana%20Energy%20Tax%2017GRC%20(SUPP).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7.07E%20Glacier%20Battery%2017GRC.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7.09E%20Goldendale%20Capacity%20Upgrade%2017GRC.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14.11E%20White%20River%2017GRC%20(SUPP).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7.12E%20HydroTreas%20Grants%20RB%20Reclass%2017GRC.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Model/UE-170033/Staff%20Final%20Workpapers/170033-Staff-WP-CSH-Hydro%20T%20Grants%2014.1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7.03E%20Wild%20Horse%20Solar%2017GRC.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Model/UE-170033/Staff%20Final%20Workpapers/170033-Staff-WP-TES-Storm%20Damages%2014.0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7.10E%20Mint%20Farm%20Capacity%20Upgrade%2017GRC.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Model/UE-170033/Staff%20Final%20Workpapers/170033-Staff-WP-ECW-White%20River%2014.1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14.05E%20Storm%20Damage%2017GRC%20(SUPP).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3.03E%20&amp;%203.03G%20Conversion%20Factor%2017GRC.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170033-Staff-WP-BAE-ISWC%20Markup.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odel/UE-170033/Staff%20Final%20Workpapers/170033-Staff-WP-BAE-ISWC.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5.05E%20&amp;%205.05G%20Allocation%20Method%2017GRC.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5.06E%20TY%20Production%20Ratebase%2017GRC.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5.07E%20TY%20Power%20Costs%2017GRC.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Model/UE-170033/Staff%20Final%20Workpapers/170033-Staff-WP-DCG-Power%20Cost%2014.0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Model/UE-170033/Supplement%20Workpapers/Public/2017%20GRC%20Supp.%204-3-17%20WP%20(P)/KJB-SEF/7.13E%20Production%20Factor%2017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FUNCALLOCD"/>
      <sheetName val="REV REQ"/>
      <sheetName val="Account Summary"/>
      <sheetName val="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 val="PCA Costs"/>
    </sheetNames>
    <sheetDataSet>
      <sheetData sheetId="0"/>
      <sheetData sheetId="1">
        <row r="5">
          <cell r="B5" t="str">
            <v>Historic Test Year Twelve Months ended September 2016</v>
          </cell>
        </row>
        <row r="6">
          <cell r="B6" t="str">
            <v>Adjusted Test Year Twelve Months ended September 2016 @ Proforma Rev Requirement</v>
          </cell>
        </row>
        <row r="7">
          <cell r="B7" t="str">
            <v>Adjusted Test Year Twelve Months ended September 2016 ~ Proposed Rate Increase</v>
          </cell>
        </row>
        <row r="8">
          <cell r="B8" t="str">
            <v>Reserved 1</v>
          </cell>
        </row>
        <row r="9">
          <cell r="B9" t="str">
            <v>Reserved 2</v>
          </cell>
        </row>
        <row r="11">
          <cell r="C11">
            <v>2</v>
          </cell>
          <cell r="F11" t="str">
            <v>Production</v>
          </cell>
        </row>
        <row r="12">
          <cell r="F12" t="str">
            <v>Transmission</v>
          </cell>
        </row>
        <row r="13">
          <cell r="F13" t="str">
            <v>Distribution</v>
          </cell>
        </row>
        <row r="14">
          <cell r="F14" t="str">
            <v>~</v>
          </cell>
        </row>
        <row r="15">
          <cell r="F15" t="str">
            <v>~</v>
          </cell>
        </row>
        <row r="16">
          <cell r="F16" t="str">
            <v>~</v>
          </cell>
        </row>
        <row r="17">
          <cell r="F17" t="str">
            <v>~</v>
          </cell>
        </row>
        <row r="18">
          <cell r="C18" t="str">
            <v>Residential Sch 7</v>
          </cell>
          <cell r="F18" t="str">
            <v>~</v>
          </cell>
        </row>
        <row r="19">
          <cell r="C19" t="str">
            <v>Sec Volt Sch 24 (kW&lt; 50)</v>
          </cell>
          <cell r="F19" t="str">
            <v>~</v>
          </cell>
        </row>
        <row r="20">
          <cell r="C20" t="str">
            <v>Sec Volt Sch 25 (kW &gt; 50 &amp; &lt; 350)</v>
          </cell>
          <cell r="F20" t="str">
            <v>~</v>
          </cell>
        </row>
        <row r="21">
          <cell r="C21" t="str">
            <v>Sec Volt Sch 26 (kW &gt; 350)</v>
          </cell>
        </row>
        <row r="22">
          <cell r="C22" t="str">
            <v>Pri Volt Sch 31 (General Service)</v>
          </cell>
        </row>
        <row r="23">
          <cell r="C23" t="str">
            <v>Pri Volt Sch 35 (Irrigation)</v>
          </cell>
          <cell r="F23" t="str">
            <v>ENERGY_1</v>
          </cell>
        </row>
        <row r="24">
          <cell r="B24" t="str">
            <v>Pri Svc 43</v>
          </cell>
        </row>
        <row r="25">
          <cell r="B25" t="str">
            <v>Campus 40</v>
          </cell>
        </row>
        <row r="26">
          <cell r="B26" t="str">
            <v>High Volt 46/49</v>
          </cell>
        </row>
        <row r="27">
          <cell r="B27" t="str">
            <v>Choice/Retail Wheeling PV</v>
          </cell>
        </row>
        <row r="28">
          <cell r="B28" t="str">
            <v>Choice/Retail Wheeling HV</v>
          </cell>
        </row>
        <row r="29">
          <cell r="B29" t="str">
            <v>Lighting 50-59</v>
          </cell>
          <cell r="F29">
            <v>7.7399999999999997E-2</v>
          </cell>
        </row>
        <row r="30">
          <cell r="B30" t="str">
            <v>Firm Resale Small</v>
          </cell>
          <cell r="F30">
            <v>2.9899999999999999E-2</v>
          </cell>
        </row>
        <row r="34">
          <cell r="F34">
            <v>0</v>
          </cell>
        </row>
        <row r="35">
          <cell r="F35">
            <v>0</v>
          </cell>
        </row>
        <row r="36">
          <cell r="F36">
            <v>0</v>
          </cell>
        </row>
        <row r="39">
          <cell r="F39">
            <v>0</v>
          </cell>
        </row>
        <row r="42">
          <cell r="C42" t="str">
            <v>Demand</v>
          </cell>
        </row>
        <row r="43">
          <cell r="C43" t="str">
            <v>Energy</v>
          </cell>
        </row>
        <row r="44">
          <cell r="C44" t="str">
            <v>Customer</v>
          </cell>
          <cell r="F44">
            <v>0.61905100000000002</v>
          </cell>
        </row>
        <row r="45">
          <cell r="C45" t="str">
            <v>~</v>
          </cell>
        </row>
        <row r="46">
          <cell r="C46" t="str">
            <v>~</v>
          </cell>
        </row>
        <row r="47">
          <cell r="C47" t="str">
            <v>~</v>
          </cell>
        </row>
      </sheetData>
      <sheetData sheetId="2"/>
      <sheetData sheetId="3"/>
      <sheetData sheetId="4"/>
      <sheetData sheetId="5"/>
      <sheetData sheetId="6"/>
      <sheetData sheetId="7"/>
      <sheetData sheetId="8">
        <row r="2">
          <cell r="H2">
            <v>5</v>
          </cell>
          <cell r="I2">
            <v>6</v>
          </cell>
          <cell r="J2">
            <v>7</v>
          </cell>
          <cell r="K2">
            <v>8</v>
          </cell>
          <cell r="L2">
            <v>9</v>
          </cell>
          <cell r="M2">
            <v>10</v>
          </cell>
          <cell r="N2">
            <v>11</v>
          </cell>
          <cell r="O2">
            <v>12</v>
          </cell>
          <cell r="P2">
            <v>13</v>
          </cell>
          <cell r="Q2">
            <v>14</v>
          </cell>
          <cell r="R2">
            <v>15</v>
          </cell>
          <cell r="S2">
            <v>16</v>
          </cell>
          <cell r="T2">
            <v>17</v>
          </cell>
          <cell r="U2">
            <v>18</v>
          </cell>
        </row>
        <row r="82">
          <cell r="H82">
            <v>350896964.67566985</v>
          </cell>
          <cell r="I82">
            <v>70682735.700002983</v>
          </cell>
          <cell r="J82">
            <v>65902768.471700437</v>
          </cell>
          <cell r="K82">
            <v>37427892.051086783</v>
          </cell>
          <cell r="L82">
            <v>25649456.34017732</v>
          </cell>
          <cell r="M82">
            <v>590.52879394886781</v>
          </cell>
          <cell r="N82">
            <v>0</v>
          </cell>
          <cell r="O82">
            <v>13264637.537561808</v>
          </cell>
          <cell r="P82">
            <v>9814946.8164848108</v>
          </cell>
          <cell r="Q82">
            <v>0</v>
          </cell>
          <cell r="R82">
            <v>0</v>
          </cell>
          <cell r="S82">
            <v>2012143.2602268085</v>
          </cell>
          <cell r="T82">
            <v>223600.93628802229</v>
          </cell>
        </row>
        <row r="83">
          <cell r="H83">
            <v>879824748.83575726</v>
          </cell>
          <cell r="I83">
            <v>231031538.46595693</v>
          </cell>
          <cell r="J83">
            <v>237869941.46741977</v>
          </cell>
          <cell r="K83">
            <v>156925498.95967638</v>
          </cell>
          <cell r="L83">
            <v>102441472.21072349</v>
          </cell>
          <cell r="M83">
            <v>355761.6305469987</v>
          </cell>
          <cell r="N83">
            <v>9677290.686061427</v>
          </cell>
          <cell r="O83">
            <v>53622884.380009636</v>
          </cell>
          <cell r="P83">
            <v>49005135.582630202</v>
          </cell>
          <cell r="Q83">
            <v>0</v>
          </cell>
          <cell r="R83">
            <v>0</v>
          </cell>
          <cell r="S83">
            <v>6313289.1830192721</v>
          </cell>
          <cell r="T83">
            <v>559647.55217790708</v>
          </cell>
        </row>
        <row r="84">
          <cell r="H84">
            <v>0</v>
          </cell>
          <cell r="I84">
            <v>0</v>
          </cell>
          <cell r="J84">
            <v>0</v>
          </cell>
          <cell r="K84">
            <v>0</v>
          </cell>
          <cell r="L84">
            <v>0</v>
          </cell>
          <cell r="M84">
            <v>0</v>
          </cell>
          <cell r="N84">
            <v>0</v>
          </cell>
          <cell r="O84">
            <v>0</v>
          </cell>
          <cell r="P84">
            <v>0</v>
          </cell>
          <cell r="Q84">
            <v>0</v>
          </cell>
          <cell r="R84">
            <v>0</v>
          </cell>
          <cell r="S84">
            <v>0</v>
          </cell>
          <cell r="T84">
            <v>0</v>
          </cell>
        </row>
        <row r="85">
          <cell r="H85">
            <v>0</v>
          </cell>
          <cell r="I85">
            <v>0</v>
          </cell>
          <cell r="J85">
            <v>0</v>
          </cell>
          <cell r="K85">
            <v>0</v>
          </cell>
          <cell r="L85">
            <v>0</v>
          </cell>
          <cell r="M85">
            <v>0</v>
          </cell>
          <cell r="N85">
            <v>0</v>
          </cell>
          <cell r="O85">
            <v>0</v>
          </cell>
          <cell r="P85">
            <v>0</v>
          </cell>
          <cell r="Q85">
            <v>0</v>
          </cell>
          <cell r="R85">
            <v>0</v>
          </cell>
          <cell r="S85">
            <v>0</v>
          </cell>
          <cell r="T85">
            <v>0</v>
          </cell>
        </row>
        <row r="86">
          <cell r="H86">
            <v>0</v>
          </cell>
          <cell r="I86">
            <v>0</v>
          </cell>
          <cell r="J86">
            <v>0</v>
          </cell>
          <cell r="K86">
            <v>0</v>
          </cell>
          <cell r="L86">
            <v>0</v>
          </cell>
          <cell r="M86">
            <v>0</v>
          </cell>
          <cell r="N86">
            <v>0</v>
          </cell>
          <cell r="O86">
            <v>0</v>
          </cell>
          <cell r="P86">
            <v>0</v>
          </cell>
          <cell r="Q86">
            <v>0</v>
          </cell>
          <cell r="R86">
            <v>0</v>
          </cell>
          <cell r="S86">
            <v>0</v>
          </cell>
          <cell r="T86">
            <v>0</v>
          </cell>
        </row>
        <row r="87">
          <cell r="H87">
            <v>0</v>
          </cell>
          <cell r="I87">
            <v>0</v>
          </cell>
          <cell r="J87">
            <v>0</v>
          </cell>
          <cell r="K87">
            <v>0</v>
          </cell>
          <cell r="L87">
            <v>0</v>
          </cell>
          <cell r="M87">
            <v>0</v>
          </cell>
          <cell r="N87">
            <v>0</v>
          </cell>
          <cell r="O87">
            <v>0</v>
          </cell>
          <cell r="P87">
            <v>0</v>
          </cell>
          <cell r="Q87">
            <v>0</v>
          </cell>
          <cell r="R87">
            <v>0</v>
          </cell>
          <cell r="S87">
            <v>0</v>
          </cell>
          <cell r="T87">
            <v>0</v>
          </cell>
        </row>
        <row r="91">
          <cell r="H91">
            <v>122755347.67716026</v>
          </cell>
          <cell r="I91">
            <v>24727155.459000502</v>
          </cell>
          <cell r="J91">
            <v>23054965.049664661</v>
          </cell>
          <cell r="K91">
            <v>13093512.808812702</v>
          </cell>
          <cell r="L91">
            <v>8973026.9786711689</v>
          </cell>
          <cell r="M91">
            <v>206.58647612289735</v>
          </cell>
          <cell r="N91">
            <v>0</v>
          </cell>
          <cell r="O91">
            <v>4640408.3154151393</v>
          </cell>
          <cell r="P91">
            <v>3433592.5647121174</v>
          </cell>
          <cell r="Q91">
            <v>2991069.4245613967</v>
          </cell>
          <cell r="R91">
            <v>7957483.3450391097</v>
          </cell>
          <cell r="S91">
            <v>703914.16954460472</v>
          </cell>
          <cell r="T91">
            <v>78222.992610793357</v>
          </cell>
        </row>
        <row r="92">
          <cell r="H92">
            <v>299465403.5946086</v>
          </cell>
          <cell r="I92">
            <v>78636061.330785021</v>
          </cell>
          <cell r="J92">
            <v>80963644.315334529</v>
          </cell>
          <cell r="K92">
            <v>53412634.666653894</v>
          </cell>
          <cell r="L92">
            <v>34867940.30402638</v>
          </cell>
          <cell r="M92">
            <v>121090.3653440206</v>
          </cell>
          <cell r="N92">
            <v>3293853.4234670908</v>
          </cell>
          <cell r="O92">
            <v>18251587.869079497</v>
          </cell>
          <cell r="P92">
            <v>16679847.577463878</v>
          </cell>
          <cell r="Q92">
            <v>2441841.6643327018</v>
          </cell>
          <cell r="R92">
            <v>46224824.858680628</v>
          </cell>
          <cell r="S92">
            <v>2148850.3201394668</v>
          </cell>
          <cell r="T92">
            <v>190486.88992377708</v>
          </cell>
        </row>
        <row r="93">
          <cell r="H93">
            <v>0</v>
          </cell>
          <cell r="I93">
            <v>0</v>
          </cell>
          <cell r="J93">
            <v>0</v>
          </cell>
          <cell r="K93">
            <v>0</v>
          </cell>
          <cell r="L93">
            <v>0</v>
          </cell>
          <cell r="M93">
            <v>0</v>
          </cell>
          <cell r="N93">
            <v>0</v>
          </cell>
          <cell r="O93">
            <v>0</v>
          </cell>
          <cell r="P93">
            <v>0</v>
          </cell>
          <cell r="Q93">
            <v>0</v>
          </cell>
          <cell r="R93">
            <v>0</v>
          </cell>
          <cell r="S93">
            <v>0</v>
          </cell>
          <cell r="T93">
            <v>0</v>
          </cell>
        </row>
        <row r="94">
          <cell r="H94">
            <v>0</v>
          </cell>
          <cell r="I94">
            <v>0</v>
          </cell>
          <cell r="J94">
            <v>0</v>
          </cell>
          <cell r="K94">
            <v>0</v>
          </cell>
          <cell r="L94">
            <v>0</v>
          </cell>
          <cell r="M94">
            <v>0</v>
          </cell>
          <cell r="N94">
            <v>0</v>
          </cell>
          <cell r="O94">
            <v>0</v>
          </cell>
          <cell r="P94">
            <v>0</v>
          </cell>
          <cell r="Q94">
            <v>0</v>
          </cell>
          <cell r="R94">
            <v>0</v>
          </cell>
          <cell r="S94">
            <v>0</v>
          </cell>
          <cell r="T94">
            <v>0</v>
          </cell>
        </row>
        <row r="95">
          <cell r="H95">
            <v>0</v>
          </cell>
          <cell r="I95">
            <v>0</v>
          </cell>
          <cell r="J95">
            <v>0</v>
          </cell>
          <cell r="K95">
            <v>0</v>
          </cell>
          <cell r="L95">
            <v>0</v>
          </cell>
          <cell r="M95">
            <v>0</v>
          </cell>
          <cell r="N95">
            <v>0</v>
          </cell>
          <cell r="O95">
            <v>0</v>
          </cell>
          <cell r="P95">
            <v>0</v>
          </cell>
          <cell r="Q95">
            <v>0</v>
          </cell>
          <cell r="R95">
            <v>0</v>
          </cell>
          <cell r="S95">
            <v>0</v>
          </cell>
          <cell r="T95">
            <v>0</v>
          </cell>
        </row>
        <row r="96">
          <cell r="H96">
            <v>0</v>
          </cell>
          <cell r="I96">
            <v>0</v>
          </cell>
          <cell r="J96">
            <v>0</v>
          </cell>
          <cell r="K96">
            <v>0</v>
          </cell>
          <cell r="L96">
            <v>0</v>
          </cell>
          <cell r="M96">
            <v>0</v>
          </cell>
          <cell r="N96">
            <v>0</v>
          </cell>
          <cell r="O96">
            <v>0</v>
          </cell>
          <cell r="P96">
            <v>0</v>
          </cell>
          <cell r="Q96">
            <v>0</v>
          </cell>
          <cell r="R96">
            <v>0</v>
          </cell>
          <cell r="S96">
            <v>0</v>
          </cell>
          <cell r="T96">
            <v>0</v>
          </cell>
        </row>
        <row r="100">
          <cell r="H100">
            <v>972729454.0602324</v>
          </cell>
          <cell r="I100">
            <v>195156571.17138171</v>
          </cell>
          <cell r="J100">
            <v>179440113.59198242</v>
          </cell>
          <cell r="K100">
            <v>82872894.674228027</v>
          </cell>
          <cell r="L100">
            <v>62540197.501315035</v>
          </cell>
          <cell r="M100">
            <v>693661.207229894</v>
          </cell>
          <cell r="N100">
            <v>15705795.09143563</v>
          </cell>
          <cell r="O100">
            <v>24183041.743898824</v>
          </cell>
          <cell r="P100">
            <v>14950266.583970841</v>
          </cell>
          <cell r="Q100">
            <v>0</v>
          </cell>
          <cell r="R100">
            <v>2928525.4659910724</v>
          </cell>
          <cell r="S100">
            <v>940460.55532554467</v>
          </cell>
          <cell r="T100">
            <v>582752.60758440197</v>
          </cell>
        </row>
        <row r="101">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H102">
            <v>294232540.74259114</v>
          </cell>
          <cell r="I102">
            <v>22457957.428644028</v>
          </cell>
          <cell r="J102">
            <v>17462801.203349654</v>
          </cell>
          <cell r="K102">
            <v>4860695.6680470444</v>
          </cell>
          <cell r="L102">
            <v>6355494.5083027137</v>
          </cell>
          <cell r="M102">
            <v>14159.763493228655</v>
          </cell>
          <cell r="N102">
            <v>2127429.4796429477</v>
          </cell>
          <cell r="O102">
            <v>1512729.7268815867</v>
          </cell>
          <cell r="P102">
            <v>291481.91306690685</v>
          </cell>
          <cell r="Q102">
            <v>23778.626912045976</v>
          </cell>
          <cell r="R102">
            <v>520775.59663579834</v>
          </cell>
          <cell r="S102">
            <v>42411724.453675091</v>
          </cell>
          <cell r="T102">
            <v>142548.76013025429</v>
          </cell>
        </row>
        <row r="103">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H105">
            <v>0</v>
          </cell>
          <cell r="I105">
            <v>0</v>
          </cell>
          <cell r="J105">
            <v>0</v>
          </cell>
          <cell r="K105">
            <v>0</v>
          </cell>
          <cell r="L105">
            <v>0</v>
          </cell>
          <cell r="M105">
            <v>0</v>
          </cell>
          <cell r="N105">
            <v>0</v>
          </cell>
          <cell r="O105">
            <v>0</v>
          </cell>
          <cell r="P105">
            <v>0</v>
          </cell>
          <cell r="Q105">
            <v>0</v>
          </cell>
          <cell r="R105">
            <v>0</v>
          </cell>
          <cell r="S105">
            <v>0</v>
          </cell>
          <cell r="T105">
            <v>0</v>
          </cell>
        </row>
        <row r="109">
          <cell r="H109">
            <v>0</v>
          </cell>
          <cell r="I109">
            <v>0</v>
          </cell>
          <cell r="J109">
            <v>0</v>
          </cell>
          <cell r="K109">
            <v>0</v>
          </cell>
          <cell r="L109">
            <v>0</v>
          </cell>
          <cell r="M109">
            <v>0</v>
          </cell>
          <cell r="N109">
            <v>0</v>
          </cell>
          <cell r="O109">
            <v>0</v>
          </cell>
          <cell r="P109">
            <v>0</v>
          </cell>
          <cell r="Q109">
            <v>0</v>
          </cell>
          <cell r="R109">
            <v>0</v>
          </cell>
          <cell r="S109">
            <v>0</v>
          </cell>
          <cell r="T109">
            <v>0</v>
          </cell>
        </row>
        <row r="110">
          <cell r="H110">
            <v>0</v>
          </cell>
          <cell r="I110">
            <v>0</v>
          </cell>
          <cell r="J110">
            <v>0</v>
          </cell>
          <cell r="K110">
            <v>0</v>
          </cell>
          <cell r="L110">
            <v>0</v>
          </cell>
          <cell r="M110">
            <v>0</v>
          </cell>
          <cell r="N110">
            <v>0</v>
          </cell>
          <cell r="O110">
            <v>0</v>
          </cell>
          <cell r="P110">
            <v>0</v>
          </cell>
          <cell r="Q110">
            <v>0</v>
          </cell>
          <cell r="R110">
            <v>0</v>
          </cell>
          <cell r="S110">
            <v>0</v>
          </cell>
          <cell r="T110">
            <v>0</v>
          </cell>
        </row>
        <row r="111">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H114">
            <v>0</v>
          </cell>
          <cell r="I114">
            <v>0</v>
          </cell>
          <cell r="J114">
            <v>0</v>
          </cell>
          <cell r="K114">
            <v>0</v>
          </cell>
          <cell r="L114">
            <v>0</v>
          </cell>
          <cell r="M114">
            <v>0</v>
          </cell>
          <cell r="N114">
            <v>0</v>
          </cell>
          <cell r="O114">
            <v>0</v>
          </cell>
          <cell r="P114">
            <v>0</v>
          </cell>
          <cell r="Q114">
            <v>0</v>
          </cell>
          <cell r="R114">
            <v>0</v>
          </cell>
          <cell r="S114">
            <v>0</v>
          </cell>
          <cell r="T114">
            <v>0</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row>
        <row r="123">
          <cell r="H123">
            <v>0</v>
          </cell>
          <cell r="I123">
            <v>0</v>
          </cell>
          <cell r="J123">
            <v>0</v>
          </cell>
          <cell r="K123">
            <v>0</v>
          </cell>
          <cell r="L123">
            <v>0</v>
          </cell>
          <cell r="M123">
            <v>0</v>
          </cell>
          <cell r="N123">
            <v>0</v>
          </cell>
          <cell r="O123">
            <v>0</v>
          </cell>
          <cell r="P123">
            <v>0</v>
          </cell>
          <cell r="Q123">
            <v>0</v>
          </cell>
          <cell r="R123">
            <v>0</v>
          </cell>
          <cell r="S123">
            <v>0</v>
          </cell>
          <cell r="T123">
            <v>0</v>
          </cell>
        </row>
        <row r="127">
          <cell r="H127">
            <v>0</v>
          </cell>
          <cell r="I127">
            <v>0</v>
          </cell>
          <cell r="J127">
            <v>0</v>
          </cell>
          <cell r="K127">
            <v>0</v>
          </cell>
          <cell r="L127">
            <v>0</v>
          </cell>
          <cell r="M127">
            <v>0</v>
          </cell>
          <cell r="N127">
            <v>0</v>
          </cell>
          <cell r="O127">
            <v>0</v>
          </cell>
          <cell r="P127">
            <v>0</v>
          </cell>
          <cell r="Q127">
            <v>0</v>
          </cell>
          <cell r="R127">
            <v>0</v>
          </cell>
          <cell r="S127">
            <v>0</v>
          </cell>
          <cell r="T127">
            <v>0</v>
          </cell>
        </row>
        <row r="128">
          <cell r="H128">
            <v>0</v>
          </cell>
          <cell r="I128">
            <v>0</v>
          </cell>
          <cell r="J128">
            <v>0</v>
          </cell>
          <cell r="K128">
            <v>0</v>
          </cell>
          <cell r="L128">
            <v>0</v>
          </cell>
          <cell r="M128">
            <v>0</v>
          </cell>
          <cell r="N128">
            <v>0</v>
          </cell>
          <cell r="O128">
            <v>0</v>
          </cell>
          <cell r="P128">
            <v>0</v>
          </cell>
          <cell r="Q128">
            <v>0</v>
          </cell>
          <cell r="R128">
            <v>0</v>
          </cell>
          <cell r="S128">
            <v>0</v>
          </cell>
          <cell r="T128">
            <v>0</v>
          </cell>
        </row>
        <row r="129">
          <cell r="H129">
            <v>0</v>
          </cell>
          <cell r="I129">
            <v>0</v>
          </cell>
          <cell r="J129">
            <v>0</v>
          </cell>
          <cell r="K129">
            <v>0</v>
          </cell>
          <cell r="L129">
            <v>0</v>
          </cell>
          <cell r="M129">
            <v>0</v>
          </cell>
          <cell r="N129">
            <v>0</v>
          </cell>
          <cell r="O129">
            <v>0</v>
          </cell>
          <cell r="P129">
            <v>0</v>
          </cell>
          <cell r="Q129">
            <v>0</v>
          </cell>
          <cell r="R129">
            <v>0</v>
          </cell>
          <cell r="S129">
            <v>0</v>
          </cell>
          <cell r="T129">
            <v>0</v>
          </cell>
        </row>
        <row r="130">
          <cell r="H130">
            <v>0</v>
          </cell>
          <cell r="I130">
            <v>0</v>
          </cell>
          <cell r="J130">
            <v>0</v>
          </cell>
          <cell r="K130">
            <v>0</v>
          </cell>
          <cell r="L130">
            <v>0</v>
          </cell>
          <cell r="M130">
            <v>0</v>
          </cell>
          <cell r="N130">
            <v>0</v>
          </cell>
          <cell r="O130">
            <v>0</v>
          </cell>
          <cell r="P130">
            <v>0</v>
          </cell>
          <cell r="Q130">
            <v>0</v>
          </cell>
          <cell r="R130">
            <v>0</v>
          </cell>
          <cell r="S130">
            <v>0</v>
          </cell>
          <cell r="T130">
            <v>0</v>
          </cell>
        </row>
        <row r="131">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H132">
            <v>0</v>
          </cell>
          <cell r="I132">
            <v>0</v>
          </cell>
          <cell r="J132">
            <v>0</v>
          </cell>
          <cell r="K132">
            <v>0</v>
          </cell>
          <cell r="L132">
            <v>0</v>
          </cell>
          <cell r="M132">
            <v>0</v>
          </cell>
          <cell r="N132">
            <v>0</v>
          </cell>
          <cell r="O132">
            <v>0</v>
          </cell>
          <cell r="P132">
            <v>0</v>
          </cell>
          <cell r="Q132">
            <v>0</v>
          </cell>
          <cell r="R132">
            <v>0</v>
          </cell>
          <cell r="S132">
            <v>0</v>
          </cell>
          <cell r="T132">
            <v>0</v>
          </cell>
        </row>
        <row r="136">
          <cell r="H136">
            <v>0</v>
          </cell>
          <cell r="I136">
            <v>0</v>
          </cell>
          <cell r="J136">
            <v>0</v>
          </cell>
          <cell r="K136">
            <v>0</v>
          </cell>
          <cell r="L136">
            <v>0</v>
          </cell>
          <cell r="M136">
            <v>0</v>
          </cell>
          <cell r="N136">
            <v>0</v>
          </cell>
          <cell r="O136">
            <v>0</v>
          </cell>
          <cell r="P136">
            <v>0</v>
          </cell>
          <cell r="Q136">
            <v>0</v>
          </cell>
          <cell r="R136">
            <v>0</v>
          </cell>
          <cell r="S136">
            <v>0</v>
          </cell>
          <cell r="T136">
            <v>0</v>
          </cell>
        </row>
        <row r="137">
          <cell r="H137">
            <v>0</v>
          </cell>
          <cell r="I137">
            <v>0</v>
          </cell>
          <cell r="J137">
            <v>0</v>
          </cell>
          <cell r="K137">
            <v>0</v>
          </cell>
          <cell r="L137">
            <v>0</v>
          </cell>
          <cell r="M137">
            <v>0</v>
          </cell>
          <cell r="N137">
            <v>0</v>
          </cell>
          <cell r="O137">
            <v>0</v>
          </cell>
          <cell r="P137">
            <v>0</v>
          </cell>
          <cell r="Q137">
            <v>0</v>
          </cell>
          <cell r="R137">
            <v>0</v>
          </cell>
          <cell r="S137">
            <v>0</v>
          </cell>
          <cell r="T137">
            <v>0</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row>
        <row r="139">
          <cell r="H139">
            <v>0</v>
          </cell>
          <cell r="I139">
            <v>0</v>
          </cell>
          <cell r="J139">
            <v>0</v>
          </cell>
          <cell r="K139">
            <v>0</v>
          </cell>
          <cell r="L139">
            <v>0</v>
          </cell>
          <cell r="M139">
            <v>0</v>
          </cell>
          <cell r="N139">
            <v>0</v>
          </cell>
          <cell r="O139">
            <v>0</v>
          </cell>
          <cell r="P139">
            <v>0</v>
          </cell>
          <cell r="Q139">
            <v>0</v>
          </cell>
          <cell r="R139">
            <v>0</v>
          </cell>
          <cell r="S139">
            <v>0</v>
          </cell>
          <cell r="T139">
            <v>0</v>
          </cell>
        </row>
        <row r="140">
          <cell r="H140">
            <v>0</v>
          </cell>
          <cell r="I140">
            <v>0</v>
          </cell>
          <cell r="J140">
            <v>0</v>
          </cell>
          <cell r="K140">
            <v>0</v>
          </cell>
          <cell r="L140">
            <v>0</v>
          </cell>
          <cell r="M140">
            <v>0</v>
          </cell>
          <cell r="N140">
            <v>0</v>
          </cell>
          <cell r="O140">
            <v>0</v>
          </cell>
          <cell r="P140">
            <v>0</v>
          </cell>
          <cell r="Q140">
            <v>0</v>
          </cell>
          <cell r="R140">
            <v>0</v>
          </cell>
          <cell r="S140">
            <v>0</v>
          </cell>
          <cell r="T140">
            <v>0</v>
          </cell>
        </row>
        <row r="141">
          <cell r="H141">
            <v>0</v>
          </cell>
          <cell r="I141">
            <v>0</v>
          </cell>
          <cell r="J141">
            <v>0</v>
          </cell>
          <cell r="K141">
            <v>0</v>
          </cell>
          <cell r="L141">
            <v>0</v>
          </cell>
          <cell r="M141">
            <v>0</v>
          </cell>
          <cell r="N141">
            <v>0</v>
          </cell>
          <cell r="O141">
            <v>0</v>
          </cell>
          <cell r="P141">
            <v>0</v>
          </cell>
          <cell r="Q141">
            <v>0</v>
          </cell>
          <cell r="R141">
            <v>0</v>
          </cell>
          <cell r="S141">
            <v>0</v>
          </cell>
          <cell r="T141">
            <v>0</v>
          </cell>
        </row>
        <row r="145">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H146">
            <v>0</v>
          </cell>
          <cell r="I146">
            <v>0</v>
          </cell>
          <cell r="J146">
            <v>0</v>
          </cell>
          <cell r="K146">
            <v>0</v>
          </cell>
          <cell r="L146">
            <v>0</v>
          </cell>
          <cell r="M146">
            <v>0</v>
          </cell>
          <cell r="N146">
            <v>0</v>
          </cell>
          <cell r="O146">
            <v>0</v>
          </cell>
          <cell r="P146">
            <v>0</v>
          </cell>
          <cell r="Q146">
            <v>0</v>
          </cell>
          <cell r="R146">
            <v>0</v>
          </cell>
          <cell r="S146">
            <v>0</v>
          </cell>
          <cell r="T146">
            <v>0</v>
          </cell>
        </row>
        <row r="147">
          <cell r="H147">
            <v>0</v>
          </cell>
          <cell r="I147">
            <v>0</v>
          </cell>
          <cell r="J147">
            <v>0</v>
          </cell>
          <cell r="K147">
            <v>0</v>
          </cell>
          <cell r="L147">
            <v>0</v>
          </cell>
          <cell r="M147">
            <v>0</v>
          </cell>
          <cell r="N147">
            <v>0</v>
          </cell>
          <cell r="O147">
            <v>0</v>
          </cell>
          <cell r="P147">
            <v>0</v>
          </cell>
          <cell r="Q147">
            <v>0</v>
          </cell>
          <cell r="R147">
            <v>0</v>
          </cell>
          <cell r="S147">
            <v>0</v>
          </cell>
          <cell r="T147">
            <v>0</v>
          </cell>
        </row>
        <row r="148">
          <cell r="H148">
            <v>0</v>
          </cell>
          <cell r="I148">
            <v>0</v>
          </cell>
          <cell r="J148">
            <v>0</v>
          </cell>
          <cell r="K148">
            <v>0</v>
          </cell>
          <cell r="L148">
            <v>0</v>
          </cell>
          <cell r="M148">
            <v>0</v>
          </cell>
          <cell r="N148">
            <v>0</v>
          </cell>
          <cell r="O148">
            <v>0</v>
          </cell>
          <cell r="P148">
            <v>0</v>
          </cell>
          <cell r="Q148">
            <v>0</v>
          </cell>
          <cell r="R148">
            <v>0</v>
          </cell>
          <cell r="S148">
            <v>0</v>
          </cell>
          <cell r="T148">
            <v>0</v>
          </cell>
        </row>
        <row r="149">
          <cell r="H149">
            <v>0</v>
          </cell>
          <cell r="I149">
            <v>0</v>
          </cell>
          <cell r="J149">
            <v>0</v>
          </cell>
          <cell r="K149">
            <v>0</v>
          </cell>
          <cell r="L149">
            <v>0</v>
          </cell>
          <cell r="M149">
            <v>0</v>
          </cell>
          <cell r="N149">
            <v>0</v>
          </cell>
          <cell r="O149">
            <v>0</v>
          </cell>
          <cell r="P149">
            <v>0</v>
          </cell>
          <cell r="Q149">
            <v>0</v>
          </cell>
          <cell r="R149">
            <v>0</v>
          </cell>
          <cell r="S149">
            <v>0</v>
          </cell>
          <cell r="T149">
            <v>0</v>
          </cell>
        </row>
        <row r="150">
          <cell r="H150">
            <v>0</v>
          </cell>
          <cell r="I150">
            <v>0</v>
          </cell>
          <cell r="J150">
            <v>0</v>
          </cell>
          <cell r="K150">
            <v>0</v>
          </cell>
          <cell r="L150">
            <v>0</v>
          </cell>
          <cell r="M150">
            <v>0</v>
          </cell>
          <cell r="N150">
            <v>0</v>
          </cell>
          <cell r="O150">
            <v>0</v>
          </cell>
          <cell r="P150">
            <v>0</v>
          </cell>
          <cell r="Q150">
            <v>0</v>
          </cell>
          <cell r="R150">
            <v>0</v>
          </cell>
          <cell r="S150">
            <v>0</v>
          </cell>
          <cell r="T150">
            <v>0</v>
          </cell>
        </row>
        <row r="154">
          <cell r="H154">
            <v>0</v>
          </cell>
          <cell r="I154">
            <v>0</v>
          </cell>
          <cell r="J154">
            <v>0</v>
          </cell>
          <cell r="K154">
            <v>0</v>
          </cell>
          <cell r="L154">
            <v>0</v>
          </cell>
          <cell r="M154">
            <v>0</v>
          </cell>
          <cell r="N154">
            <v>0</v>
          </cell>
          <cell r="O154">
            <v>0</v>
          </cell>
          <cell r="P154">
            <v>0</v>
          </cell>
          <cell r="Q154">
            <v>0</v>
          </cell>
          <cell r="R154">
            <v>0</v>
          </cell>
          <cell r="S154">
            <v>0</v>
          </cell>
          <cell r="T154">
            <v>0</v>
          </cell>
        </row>
        <row r="155">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H157">
            <v>0</v>
          </cell>
          <cell r="I157">
            <v>0</v>
          </cell>
          <cell r="J157">
            <v>0</v>
          </cell>
          <cell r="K157">
            <v>0</v>
          </cell>
          <cell r="L157">
            <v>0</v>
          </cell>
          <cell r="M157">
            <v>0</v>
          </cell>
          <cell r="N157">
            <v>0</v>
          </cell>
          <cell r="O157">
            <v>0</v>
          </cell>
          <cell r="P157">
            <v>0</v>
          </cell>
          <cell r="Q157">
            <v>0</v>
          </cell>
          <cell r="R157">
            <v>0</v>
          </cell>
          <cell r="S157">
            <v>0</v>
          </cell>
          <cell r="T157">
            <v>0</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row>
        <row r="159">
          <cell r="H159">
            <v>0</v>
          </cell>
          <cell r="I159">
            <v>0</v>
          </cell>
          <cell r="J159">
            <v>0</v>
          </cell>
          <cell r="K159">
            <v>0</v>
          </cell>
          <cell r="L159">
            <v>0</v>
          </cell>
          <cell r="M159">
            <v>0</v>
          </cell>
          <cell r="N159">
            <v>0</v>
          </cell>
          <cell r="O159">
            <v>0</v>
          </cell>
          <cell r="P159">
            <v>0</v>
          </cell>
          <cell r="Q159">
            <v>0</v>
          </cell>
          <cell r="R159">
            <v>0</v>
          </cell>
          <cell r="S159">
            <v>0</v>
          </cell>
          <cell r="T159">
            <v>0</v>
          </cell>
        </row>
        <row r="163">
          <cell r="H163">
            <v>0</v>
          </cell>
          <cell r="I163">
            <v>0</v>
          </cell>
          <cell r="J163">
            <v>0</v>
          </cell>
          <cell r="K163">
            <v>0</v>
          </cell>
          <cell r="L163">
            <v>0</v>
          </cell>
          <cell r="M163">
            <v>0</v>
          </cell>
          <cell r="N163">
            <v>0</v>
          </cell>
          <cell r="O163">
            <v>0</v>
          </cell>
          <cell r="P163">
            <v>0</v>
          </cell>
          <cell r="Q163">
            <v>0</v>
          </cell>
          <cell r="R163">
            <v>0</v>
          </cell>
          <cell r="S163">
            <v>0</v>
          </cell>
          <cell r="T163">
            <v>0</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row>
        <row r="165">
          <cell r="H165">
            <v>0</v>
          </cell>
          <cell r="I165">
            <v>0</v>
          </cell>
          <cell r="J165">
            <v>0</v>
          </cell>
          <cell r="K165">
            <v>0</v>
          </cell>
          <cell r="L165">
            <v>0</v>
          </cell>
          <cell r="M165">
            <v>0</v>
          </cell>
          <cell r="N165">
            <v>0</v>
          </cell>
          <cell r="O165">
            <v>0</v>
          </cell>
          <cell r="P165">
            <v>0</v>
          </cell>
          <cell r="Q165">
            <v>0</v>
          </cell>
          <cell r="R165">
            <v>0</v>
          </cell>
          <cell r="S165">
            <v>0</v>
          </cell>
          <cell r="T165">
            <v>0</v>
          </cell>
        </row>
        <row r="166">
          <cell r="H166">
            <v>0</v>
          </cell>
          <cell r="I166">
            <v>0</v>
          </cell>
          <cell r="J166">
            <v>0</v>
          </cell>
          <cell r="K166">
            <v>0</v>
          </cell>
          <cell r="L166">
            <v>0</v>
          </cell>
          <cell r="M166">
            <v>0</v>
          </cell>
          <cell r="N166">
            <v>0</v>
          </cell>
          <cell r="O166">
            <v>0</v>
          </cell>
          <cell r="P166">
            <v>0</v>
          </cell>
          <cell r="Q166">
            <v>0</v>
          </cell>
          <cell r="R166">
            <v>0</v>
          </cell>
          <cell r="S166">
            <v>0</v>
          </cell>
          <cell r="T166">
            <v>0</v>
          </cell>
        </row>
        <row r="167">
          <cell r="H167">
            <v>0</v>
          </cell>
          <cell r="I167">
            <v>0</v>
          </cell>
          <cell r="J167">
            <v>0</v>
          </cell>
          <cell r="K167">
            <v>0</v>
          </cell>
          <cell r="L167">
            <v>0</v>
          </cell>
          <cell r="M167">
            <v>0</v>
          </cell>
          <cell r="N167">
            <v>0</v>
          </cell>
          <cell r="O167">
            <v>0</v>
          </cell>
          <cell r="P167">
            <v>0</v>
          </cell>
          <cell r="Q167">
            <v>0</v>
          </cell>
          <cell r="R167">
            <v>0</v>
          </cell>
          <cell r="S167">
            <v>0</v>
          </cell>
          <cell r="T167">
            <v>0</v>
          </cell>
        </row>
        <row r="168">
          <cell r="H168">
            <v>0</v>
          </cell>
          <cell r="I168">
            <v>0</v>
          </cell>
          <cell r="J168">
            <v>0</v>
          </cell>
          <cell r="K168">
            <v>0</v>
          </cell>
          <cell r="L168">
            <v>0</v>
          </cell>
          <cell r="M168">
            <v>0</v>
          </cell>
          <cell r="N168">
            <v>0</v>
          </cell>
          <cell r="O168">
            <v>0</v>
          </cell>
          <cell r="P168">
            <v>0</v>
          </cell>
          <cell r="Q168">
            <v>0</v>
          </cell>
          <cell r="R168">
            <v>0</v>
          </cell>
          <cell r="S168">
            <v>0</v>
          </cell>
          <cell r="T168">
            <v>0</v>
          </cell>
        </row>
        <row r="172">
          <cell r="H172">
            <v>1446381766.4130626</v>
          </cell>
          <cell r="I172">
            <v>290566462.33038521</v>
          </cell>
          <cell r="J172">
            <v>268397847.11334753</v>
          </cell>
          <cell r="K172">
            <v>133394299.5341275</v>
          </cell>
          <cell r="L172">
            <v>97162680.820163518</v>
          </cell>
          <cell r="M172">
            <v>694458.32249996578</v>
          </cell>
          <cell r="N172">
            <v>15705795.09143563</v>
          </cell>
          <cell r="O172">
            <v>42088087.596875772</v>
          </cell>
          <cell r="P172">
            <v>28198805.965167768</v>
          </cell>
          <cell r="Q172">
            <v>2991069.4245613967</v>
          </cell>
          <cell r="R172">
            <v>10886008.811030183</v>
          </cell>
          <cell r="S172">
            <v>3656517.9850969575</v>
          </cell>
          <cell r="T172">
            <v>884576.53648321761</v>
          </cell>
        </row>
        <row r="173">
          <cell r="H173">
            <v>1179290152.4303658</v>
          </cell>
          <cell r="I173">
            <v>309667599.79674196</v>
          </cell>
          <cell r="J173">
            <v>318833585.7827543</v>
          </cell>
          <cell r="K173">
            <v>210338133.62633029</v>
          </cell>
          <cell r="L173">
            <v>137309412.51474988</v>
          </cell>
          <cell r="M173">
            <v>476851.99589101929</v>
          </cell>
          <cell r="N173">
            <v>12971144.109528517</v>
          </cell>
          <cell r="O173">
            <v>71874472.249089137</v>
          </cell>
          <cell r="P173">
            <v>65684983.160094082</v>
          </cell>
          <cell r="Q173">
            <v>2441841.6643327018</v>
          </cell>
          <cell r="R173">
            <v>46224824.858680628</v>
          </cell>
          <cell r="S173">
            <v>8462139.5031587388</v>
          </cell>
          <cell r="T173">
            <v>750134.44210168417</v>
          </cell>
        </row>
        <row r="174">
          <cell r="H174">
            <v>294232540.74259114</v>
          </cell>
          <cell r="I174">
            <v>22457957.428644028</v>
          </cell>
          <cell r="J174">
            <v>17462801.203349654</v>
          </cell>
          <cell r="K174">
            <v>4860695.6680470444</v>
          </cell>
          <cell r="L174">
            <v>6355494.5083027137</v>
          </cell>
          <cell r="M174">
            <v>14159.763493228655</v>
          </cell>
          <cell r="N174">
            <v>2127429.4796429477</v>
          </cell>
          <cell r="O174">
            <v>1512729.7268815867</v>
          </cell>
          <cell r="P174">
            <v>291481.91306690685</v>
          </cell>
          <cell r="Q174">
            <v>23778.626912045976</v>
          </cell>
          <cell r="R174">
            <v>520775.59663579834</v>
          </cell>
          <cell r="S174">
            <v>42411724.453675091</v>
          </cell>
          <cell r="T174">
            <v>142548.76013025429</v>
          </cell>
        </row>
        <row r="175">
          <cell r="H175">
            <v>0</v>
          </cell>
          <cell r="I175">
            <v>0</v>
          </cell>
          <cell r="J175">
            <v>0</v>
          </cell>
          <cell r="K175">
            <v>0</v>
          </cell>
          <cell r="L175">
            <v>0</v>
          </cell>
          <cell r="M175">
            <v>0</v>
          </cell>
          <cell r="N175">
            <v>0</v>
          </cell>
          <cell r="O175">
            <v>0</v>
          </cell>
          <cell r="P175">
            <v>0</v>
          </cell>
          <cell r="Q175">
            <v>0</v>
          </cell>
          <cell r="R175">
            <v>0</v>
          </cell>
          <cell r="S175">
            <v>0</v>
          </cell>
          <cell r="T175">
            <v>0</v>
          </cell>
        </row>
        <row r="176">
          <cell r="H176">
            <v>0</v>
          </cell>
          <cell r="I176">
            <v>0</v>
          </cell>
          <cell r="J176">
            <v>0</v>
          </cell>
          <cell r="K176">
            <v>0</v>
          </cell>
          <cell r="L176">
            <v>0</v>
          </cell>
          <cell r="M176">
            <v>0</v>
          </cell>
          <cell r="N176">
            <v>0</v>
          </cell>
          <cell r="O176">
            <v>0</v>
          </cell>
          <cell r="P176">
            <v>0</v>
          </cell>
          <cell r="Q176">
            <v>0</v>
          </cell>
          <cell r="R176">
            <v>0</v>
          </cell>
          <cell r="S176">
            <v>0</v>
          </cell>
          <cell r="T176">
            <v>0</v>
          </cell>
        </row>
        <row r="177">
          <cell r="H177">
            <v>0</v>
          </cell>
          <cell r="I177">
            <v>0</v>
          </cell>
          <cell r="J177">
            <v>0</v>
          </cell>
          <cell r="K177">
            <v>0</v>
          </cell>
          <cell r="L177">
            <v>0</v>
          </cell>
          <cell r="M177">
            <v>0</v>
          </cell>
          <cell r="N177">
            <v>0</v>
          </cell>
          <cell r="O177">
            <v>0</v>
          </cell>
          <cell r="P177">
            <v>0</v>
          </cell>
          <cell r="Q177">
            <v>0</v>
          </cell>
          <cell r="R177">
            <v>0</v>
          </cell>
          <cell r="S177">
            <v>0</v>
          </cell>
          <cell r="T177">
            <v>0</v>
          </cell>
        </row>
        <row r="355">
          <cell r="F355">
            <v>9523077020.3544521</v>
          </cell>
          <cell r="H355">
            <v>5497453894.501091</v>
          </cell>
          <cell r="I355">
            <v>1195993846.3448415</v>
          </cell>
          <cell r="J355">
            <v>1102643898.6897826</v>
          </cell>
          <cell r="K355">
            <v>631339145.00866091</v>
          </cell>
          <cell r="L355">
            <v>434620851.89509559</v>
          </cell>
          <cell r="M355">
            <v>2183709.6929871188</v>
          </cell>
          <cell r="N355">
            <v>56372330.451128259</v>
          </cell>
          <cell r="O355">
            <v>217623748.31193528</v>
          </cell>
          <cell r="P355">
            <v>166289704.14362237</v>
          </cell>
          <cell r="Q355">
            <v>10978267.461414713</v>
          </cell>
          <cell r="R355">
            <v>101027314.48486784</v>
          </cell>
          <cell r="S355">
            <v>103318237.45237079</v>
          </cell>
          <cell r="T355">
            <v>3232071.9166556243</v>
          </cell>
        </row>
        <row r="531">
          <cell r="F531">
            <v>-3697506273.3020792</v>
          </cell>
          <cell r="H531">
            <v>-2154730741.3196812</v>
          </cell>
          <cell r="I531">
            <v>-459691193.8057552</v>
          </cell>
          <cell r="J531">
            <v>-422716808.68603718</v>
          </cell>
          <cell r="K531">
            <v>-242832128.10890004</v>
          </cell>
          <cell r="L531">
            <v>-166027084.77541173</v>
          </cell>
          <cell r="M531">
            <v>-828680.45000845275</v>
          </cell>
          <cell r="N531">
            <v>-21242171.534732468</v>
          </cell>
          <cell r="O531">
            <v>-88550882.164792031</v>
          </cell>
          <cell r="P531">
            <v>-62532662.752595499</v>
          </cell>
          <cell r="Q531">
            <v>-4355926.7553407867</v>
          </cell>
          <cell r="R531">
            <v>-32772689.021381747</v>
          </cell>
          <cell r="S531">
            <v>-39994592.806479514</v>
          </cell>
          <cell r="T531">
            <v>-1230711.1209642815</v>
          </cell>
        </row>
        <row r="707">
          <cell r="F707">
            <v>0</v>
          </cell>
          <cell r="H707">
            <v>0</v>
          </cell>
          <cell r="I707">
            <v>0</v>
          </cell>
          <cell r="J707">
            <v>0</v>
          </cell>
          <cell r="K707">
            <v>0</v>
          </cell>
          <cell r="L707">
            <v>0</v>
          </cell>
          <cell r="M707">
            <v>0</v>
          </cell>
          <cell r="N707">
            <v>0</v>
          </cell>
          <cell r="O707">
            <v>0</v>
          </cell>
          <cell r="P707">
            <v>0</v>
          </cell>
          <cell r="Q707">
            <v>0</v>
          </cell>
          <cell r="R707">
            <v>0</v>
          </cell>
          <cell r="S707">
            <v>0</v>
          </cell>
          <cell r="T707">
            <v>0</v>
          </cell>
        </row>
        <row r="883">
          <cell r="F883">
            <v>227005241.70228946</v>
          </cell>
          <cell r="H883">
            <v>131044918.29700266</v>
          </cell>
          <cell r="I883">
            <v>28509364.314041473</v>
          </cell>
          <cell r="J883">
            <v>26284145.785929229</v>
          </cell>
          <cell r="K883">
            <v>15049473.495014692</v>
          </cell>
          <cell r="L883">
            <v>10360224.045487026</v>
          </cell>
          <cell r="M883">
            <v>52053.926016207173</v>
          </cell>
          <cell r="N883">
            <v>1343768.8755460051</v>
          </cell>
          <cell r="O883">
            <v>5187580.8081903262</v>
          </cell>
          <cell r="P883">
            <v>3963911.4963621474</v>
          </cell>
          <cell r="Q883">
            <v>261693.17471907509</v>
          </cell>
          <cell r="R883">
            <v>2408226.867655538</v>
          </cell>
          <cell r="S883">
            <v>2462836.4776427075</v>
          </cell>
          <cell r="T883">
            <v>77044.138682423829</v>
          </cell>
        </row>
        <row r="1059">
          <cell r="F1059">
            <v>-954828218.80523467</v>
          </cell>
          <cell r="H1059">
            <v>-553863611.89239311</v>
          </cell>
          <cell r="I1059">
            <v>-142119997.29735672</v>
          </cell>
          <cell r="J1059">
            <v>-101517001.69022325</v>
          </cell>
          <cell r="K1059">
            <v>-54963361.566270627</v>
          </cell>
          <cell r="L1059">
            <v>-38126403.321954742</v>
          </cell>
          <cell r="M1059">
            <v>-221613.08711065957</v>
          </cell>
          <cell r="N1059">
            <v>-5669559.1113346992</v>
          </cell>
          <cell r="O1059">
            <v>-18785157.38248707</v>
          </cell>
          <cell r="P1059">
            <v>-13545681.849060217</v>
          </cell>
          <cell r="Q1059">
            <v>-1427344.1649868565</v>
          </cell>
          <cell r="R1059">
            <v>-13031243.064795025</v>
          </cell>
          <cell r="S1059">
            <v>-11256099.181603197</v>
          </cell>
          <cell r="T1059">
            <v>-301145.19565861009</v>
          </cell>
        </row>
        <row r="1235">
          <cell r="F1235">
            <v>1168892372.6595435</v>
          </cell>
          <cell r="H1235">
            <v>658549215.35427439</v>
          </cell>
          <cell r="I1235">
            <v>150640764.88034278</v>
          </cell>
          <cell r="J1235">
            <v>141051562.80377206</v>
          </cell>
          <cell r="K1235">
            <v>87540699.326248989</v>
          </cell>
          <cell r="L1235">
            <v>58876727.867636055</v>
          </cell>
          <cell r="M1235">
            <v>214872.79938074099</v>
          </cell>
          <cell r="N1235">
            <v>5388374.0881244149</v>
          </cell>
          <cell r="O1235">
            <v>29597970.064127509</v>
          </cell>
          <cell r="P1235">
            <v>25466791.144406449</v>
          </cell>
          <cell r="Q1235">
            <v>249349.81987613946</v>
          </cell>
          <cell r="R1235">
            <v>2408416.786403235</v>
          </cell>
          <cell r="S1235">
            <v>8507011.1607396435</v>
          </cell>
          <cell r="T1235">
            <v>400616.56421131396</v>
          </cell>
        </row>
        <row r="1411">
          <cell r="F1411">
            <v>416230649.70058089</v>
          </cell>
          <cell r="H1411">
            <v>241716375.95622614</v>
          </cell>
          <cell r="I1411">
            <v>52385479.210459463</v>
          </cell>
          <cell r="J1411">
            <v>48017740.771983743</v>
          </cell>
          <cell r="K1411">
            <v>27557588.479181297</v>
          </cell>
          <cell r="L1411">
            <v>18948314.078120261</v>
          </cell>
          <cell r="M1411">
            <v>94183.707728389913</v>
          </cell>
          <cell r="N1411">
            <v>2433648.9994769651</v>
          </cell>
          <cell r="O1411">
            <v>9500285.7090320587</v>
          </cell>
          <cell r="P1411">
            <v>7286166.9341322845</v>
          </cell>
          <cell r="Q1411">
            <v>348756.25272252329</v>
          </cell>
          <cell r="R1411">
            <v>3300799.7890838282</v>
          </cell>
          <cell r="S1411">
            <v>4501014.9322813209</v>
          </cell>
          <cell r="T1411">
            <v>140294.88015266886</v>
          </cell>
        </row>
        <row r="1587">
          <cell r="F1587">
            <v>86570816.032516733</v>
          </cell>
          <cell r="H1587">
            <v>49522531.555302009</v>
          </cell>
          <cell r="I1587">
            <v>10965727.235493748</v>
          </cell>
          <cell r="J1587">
            <v>10203316.394600015</v>
          </cell>
          <cell r="K1587">
            <v>6128372.9847526951</v>
          </cell>
          <cell r="L1587">
            <v>4161935.0669985125</v>
          </cell>
          <cell r="M1587">
            <v>17542.696483924785</v>
          </cell>
          <cell r="N1587">
            <v>447905.16420811205</v>
          </cell>
          <cell r="O1587">
            <v>2075961.6378748089</v>
          </cell>
          <cell r="P1587">
            <v>1721765.2233223945</v>
          </cell>
          <cell r="Q1587">
            <v>48137.349850609135</v>
          </cell>
          <cell r="R1587">
            <v>475263.77992973989</v>
          </cell>
          <cell r="S1587">
            <v>773071.8566816448</v>
          </cell>
          <cell r="T1587">
            <v>29285.087018535032</v>
          </cell>
        </row>
        <row r="1764">
          <cell r="F1764">
            <v>90238128.597339064</v>
          </cell>
          <cell r="H1764">
            <v>51686887.230727181</v>
          </cell>
          <cell r="I1764">
            <v>11022625.102883011</v>
          </cell>
          <cell r="J1764">
            <v>10704036.080482082</v>
          </cell>
          <cell r="K1764">
            <v>6170644.9606641605</v>
          </cell>
          <cell r="L1764">
            <v>4263025.9130688012</v>
          </cell>
          <cell r="M1764">
            <v>20984.679220099388</v>
          </cell>
          <cell r="N1764">
            <v>545285.62569270527</v>
          </cell>
          <cell r="O1764">
            <v>2044093.6861795462</v>
          </cell>
          <cell r="P1764">
            <v>1667049.9605221304</v>
          </cell>
          <cell r="Q1764">
            <v>96591.963845943159</v>
          </cell>
          <cell r="R1764">
            <v>1020169.8481248664</v>
          </cell>
          <cell r="S1764">
            <v>965273.26187948743</v>
          </cell>
          <cell r="T1764">
            <v>31460.284049056132</v>
          </cell>
        </row>
        <row r="1944">
          <cell r="F1944">
            <v>1955673806.0898824</v>
          </cell>
          <cell r="H1944">
            <v>1066627453.9781519</v>
          </cell>
          <cell r="I1944">
            <v>266944270.99453214</v>
          </cell>
          <cell r="J1944">
            <v>252922819.99481931</v>
          </cell>
          <cell r="K1944">
            <v>151834734.99688995</v>
          </cell>
          <cell r="L1944">
            <v>101394674.99792311</v>
          </cell>
          <cell r="M1944">
            <v>248213.99999491576</v>
          </cell>
          <cell r="N1944">
            <v>10337825.999788247</v>
          </cell>
          <cell r="O1944">
            <v>47836622.128961235</v>
          </cell>
          <cell r="P1944">
            <v>40360091.999173291</v>
          </cell>
          <cell r="Q1944">
            <v>0</v>
          </cell>
          <cell r="R1944">
            <v>0</v>
          </cell>
          <cell r="S1944">
            <v>17167096.999648362</v>
          </cell>
          <cell r="T1944">
            <v>0</v>
          </cell>
        </row>
        <row r="1945">
          <cell r="F1945">
            <v>7513279.0699999984</v>
          </cell>
          <cell r="H1945">
            <v>0</v>
          </cell>
          <cell r="I1945">
            <v>0</v>
          </cell>
          <cell r="J1945">
            <v>0</v>
          </cell>
          <cell r="K1945">
            <v>0</v>
          </cell>
          <cell r="L1945">
            <v>0</v>
          </cell>
          <cell r="M1945">
            <v>0</v>
          </cell>
          <cell r="N1945">
            <v>0</v>
          </cell>
          <cell r="O1945">
            <v>0</v>
          </cell>
          <cell r="P1945">
            <v>0</v>
          </cell>
          <cell r="Q1945">
            <v>104089686.22831909</v>
          </cell>
          <cell r="R1945">
            <v>-96576407.158319101</v>
          </cell>
          <cell r="S1945">
            <v>0</v>
          </cell>
          <cell r="T1945">
            <v>0</v>
          </cell>
        </row>
        <row r="1946">
          <cell r="F1946">
            <v>316389.10000000003</v>
          </cell>
          <cell r="H1946">
            <v>0</v>
          </cell>
          <cell r="I1946">
            <v>0</v>
          </cell>
          <cell r="J1946">
            <v>0</v>
          </cell>
          <cell r="K1946">
            <v>0</v>
          </cell>
          <cell r="L1946">
            <v>0</v>
          </cell>
          <cell r="M1946">
            <v>0</v>
          </cell>
          <cell r="N1946">
            <v>0</v>
          </cell>
          <cell r="O1946">
            <v>0</v>
          </cell>
          <cell r="P1946">
            <v>0</v>
          </cell>
          <cell r="Q1946">
            <v>0</v>
          </cell>
          <cell r="R1946">
            <v>0</v>
          </cell>
          <cell r="S1946">
            <v>0</v>
          </cell>
          <cell r="T1946">
            <v>316389.10000000003</v>
          </cell>
        </row>
      </sheetData>
      <sheetData sheetId="9">
        <row r="322">
          <cell r="K322">
            <v>2806.3921923543894</v>
          </cell>
          <cell r="S322">
            <v>223.31648439552188</v>
          </cell>
          <cell r="AA322">
            <v>69.386885977642848</v>
          </cell>
          <cell r="AI322">
            <v>49.170149628014293</v>
          </cell>
          <cell r="AQ322">
            <v>0.324787728001528</v>
          </cell>
          <cell r="AY322">
            <v>0</v>
          </cell>
          <cell r="BG322">
            <v>0</v>
          </cell>
          <cell r="BO322">
            <v>0</v>
          </cell>
          <cell r="BW322">
            <v>0</v>
          </cell>
          <cell r="CE322">
            <v>0</v>
          </cell>
          <cell r="CM322">
            <v>0</v>
          </cell>
          <cell r="CU322">
            <v>7.6715829164301059</v>
          </cell>
          <cell r="DC322">
            <v>0</v>
          </cell>
        </row>
        <row r="349">
          <cell r="K349">
            <v>4507331.8336540768</v>
          </cell>
          <cell r="S349">
            <v>1085610.6807090077</v>
          </cell>
          <cell r="AA349">
            <v>1071211.9946648791</v>
          </cell>
          <cell r="AI349">
            <v>670470.59060392948</v>
          </cell>
          <cell r="AQ349">
            <v>449666.84974592394</v>
          </cell>
          <cell r="AY349">
            <v>1571.5686634927058</v>
          </cell>
          <cell r="BG349">
            <v>39622.209025770862</v>
          </cell>
          <cell r="BO349">
            <v>226872.93677671388</v>
          </cell>
          <cell r="BW349">
            <v>196646.63331116579</v>
          </cell>
          <cell r="CE349">
            <v>1266.7094862117385</v>
          </cell>
          <cell r="CM349">
            <v>11494.035376568252</v>
          </cell>
          <cell r="CU349">
            <v>57607.599399601626</v>
          </cell>
          <cell r="DC349">
            <v>3010.4432824264977</v>
          </cell>
        </row>
        <row r="575">
          <cell r="K575">
            <v>43782730.677245684</v>
          </cell>
          <cell r="S575">
            <v>9766085.2741500903</v>
          </cell>
          <cell r="AA575">
            <v>9169367.0511239748</v>
          </cell>
          <cell r="AI575">
            <v>5523227.0561473453</v>
          </cell>
          <cell r="AQ575">
            <v>3750006.3356381697</v>
          </cell>
          <cell r="AY575">
            <v>15581.253481874701</v>
          </cell>
          <cell r="BG575">
            <v>396761.31932175101</v>
          </cell>
          <cell r="BO575">
            <v>1867364.1703764149</v>
          </cell>
          <cell r="BW575">
            <v>1556606.7229965501</v>
          </cell>
          <cell r="CE575">
            <v>39669.357485560009</v>
          </cell>
          <cell r="CM575">
            <v>395347.14906958205</v>
          </cell>
          <cell r="CU575">
            <v>669751.57033400785</v>
          </cell>
          <cell r="DC575">
            <v>26375.050943231909</v>
          </cell>
        </row>
        <row r="628">
          <cell r="C628">
            <v>73686618.340696141</v>
          </cell>
          <cell r="K628">
            <v>40735207.067722447</v>
          </cell>
          <cell r="S628">
            <v>12011556.9790475</v>
          </cell>
          <cell r="AA628">
            <v>6920275.1221639253</v>
          </cell>
          <cell r="AI628">
            <v>3945547.4808120779</v>
          </cell>
          <cell r="AQ628">
            <v>3393225.8295655437</v>
          </cell>
          <cell r="AY628">
            <v>16512.708105746577</v>
          </cell>
          <cell r="BG628">
            <v>321744.61093872809</v>
          </cell>
          <cell r="BO628">
            <v>1270234.2949668828</v>
          </cell>
          <cell r="BW628">
            <v>3877254.6405150439</v>
          </cell>
          <cell r="CE628">
            <v>2872.0167694324045</v>
          </cell>
          <cell r="CM628">
            <v>875824.88861197536</v>
          </cell>
          <cell r="CU628">
            <v>290186.85450699658</v>
          </cell>
          <cell r="DC628">
            <v>26175.846969865284</v>
          </cell>
        </row>
        <row r="631">
          <cell r="C631">
            <v>30144357.521026254</v>
          </cell>
          <cell r="K631">
            <v>16105607.946856016</v>
          </cell>
          <cell r="S631">
            <v>3948327.0331055718</v>
          </cell>
          <cell r="AA631">
            <v>3975264.3652273193</v>
          </cell>
          <cell r="AI631">
            <v>2543369.0528060212</v>
          </cell>
          <cell r="AQ631">
            <v>1676237.8156988611</v>
          </cell>
          <cell r="AY631">
            <v>4663.3354285965288</v>
          </cell>
          <cell r="BG631">
            <v>126640.04223406391</v>
          </cell>
          <cell r="BO631">
            <v>875310.9599956224</v>
          </cell>
          <cell r="BW631">
            <v>769737.93191560241</v>
          </cell>
          <cell r="CE631">
            <v>0</v>
          </cell>
          <cell r="CM631">
            <v>0</v>
          </cell>
          <cell r="CU631">
            <v>108949.20390767281</v>
          </cell>
          <cell r="DC631">
            <v>10249.833850910367</v>
          </cell>
        </row>
        <row r="638">
          <cell r="K638">
            <v>27776134.62063764</v>
          </cell>
          <cell r="S638">
            <v>5923473.7306541968</v>
          </cell>
          <cell r="AA638">
            <v>5752266.4467765028</v>
          </cell>
          <cell r="AI638">
            <v>3316057.0176815353</v>
          </cell>
          <cell r="AQ638">
            <v>2290917.2518764543</v>
          </cell>
          <cell r="AY638">
            <v>11277.004792075528</v>
          </cell>
          <cell r="BG638">
            <v>293032.29034336493</v>
          </cell>
          <cell r="BO638">
            <v>1098480.1841726177</v>
          </cell>
          <cell r="BW638">
            <v>895859.79353123286</v>
          </cell>
          <cell r="CE638">
            <v>51907.776513608689</v>
          </cell>
          <cell r="CM638">
            <v>548231.40946638666</v>
          </cell>
          <cell r="CU638">
            <v>518730.40734647936</v>
          </cell>
          <cell r="DC638">
            <v>16906.514045802178</v>
          </cell>
        </row>
      </sheetData>
      <sheetData sheetId="10"/>
      <sheetData sheetId="11"/>
      <sheetData sheetId="12">
        <row r="526">
          <cell r="D526">
            <v>344265563.98469442</v>
          </cell>
          <cell r="F526">
            <v>209770500.51971865</v>
          </cell>
          <cell r="G526">
            <v>42255004.56978073</v>
          </cell>
          <cell r="H526">
            <v>39397481.653115839</v>
          </cell>
          <cell r="I526">
            <v>22374851.991698802</v>
          </cell>
          <cell r="J526">
            <v>15333558.953725358</v>
          </cell>
          <cell r="K526">
            <v>353.02534119226885</v>
          </cell>
          <cell r="L526">
            <v>0</v>
          </cell>
          <cell r="M526">
            <v>7929762.6813011914</v>
          </cell>
          <cell r="N526">
            <v>5867495.3434591396</v>
          </cell>
          <cell r="O526">
            <v>0</v>
          </cell>
          <cell r="P526">
            <v>0</v>
          </cell>
          <cell r="Q526">
            <v>1202883.8699282785</v>
          </cell>
          <cell r="R526">
            <v>133671.37662524334</v>
          </cell>
        </row>
        <row r="527">
          <cell r="D527">
            <v>1034244233.7527484</v>
          </cell>
          <cell r="F527">
            <v>526707190.34767282</v>
          </cell>
          <cell r="G527">
            <v>138307057.93185228</v>
          </cell>
          <cell r="H527">
            <v>142400868.70056707</v>
          </cell>
          <cell r="I527">
            <v>93943468.583181828</v>
          </cell>
          <cell r="J527">
            <v>61326599.501307987</v>
          </cell>
          <cell r="K527">
            <v>212976.74236474151</v>
          </cell>
          <cell r="L527">
            <v>5793311.2181464983</v>
          </cell>
          <cell r="M527">
            <v>32101346.100466877</v>
          </cell>
          <cell r="N527">
            <v>29336930.234673698</v>
          </cell>
          <cell r="O527">
            <v>0</v>
          </cell>
          <cell r="P527">
            <v>0</v>
          </cell>
          <cell r="Q527">
            <v>3779451.3189594103</v>
          </cell>
          <cell r="R527">
            <v>335033.07355543011</v>
          </cell>
        </row>
        <row r="528">
          <cell r="D528">
            <v>0</v>
          </cell>
          <cell r="F528">
            <v>0</v>
          </cell>
          <cell r="G528">
            <v>0</v>
          </cell>
          <cell r="H528">
            <v>0</v>
          </cell>
          <cell r="I528">
            <v>0</v>
          </cell>
          <cell r="J528">
            <v>0</v>
          </cell>
          <cell r="K528">
            <v>0</v>
          </cell>
          <cell r="L528">
            <v>0</v>
          </cell>
          <cell r="M528">
            <v>0</v>
          </cell>
          <cell r="N528">
            <v>0</v>
          </cell>
          <cell r="O528">
            <v>0</v>
          </cell>
          <cell r="P528">
            <v>0</v>
          </cell>
          <cell r="Q528">
            <v>0</v>
          </cell>
          <cell r="R528">
            <v>0</v>
          </cell>
        </row>
        <row r="529">
          <cell r="D529">
            <v>0</v>
          </cell>
          <cell r="F529">
            <v>0</v>
          </cell>
          <cell r="G529">
            <v>0</v>
          </cell>
          <cell r="H529">
            <v>0</v>
          </cell>
          <cell r="I529">
            <v>0</v>
          </cell>
          <cell r="J529">
            <v>0</v>
          </cell>
          <cell r="K529">
            <v>0</v>
          </cell>
          <cell r="L529">
            <v>0</v>
          </cell>
          <cell r="M529">
            <v>0</v>
          </cell>
          <cell r="N529">
            <v>0</v>
          </cell>
          <cell r="O529">
            <v>0</v>
          </cell>
          <cell r="P529">
            <v>0</v>
          </cell>
          <cell r="Q529">
            <v>0</v>
          </cell>
          <cell r="R529">
            <v>0</v>
          </cell>
        </row>
        <row r="530">
          <cell r="D530">
            <v>0</v>
          </cell>
          <cell r="F530">
            <v>0</v>
          </cell>
          <cell r="G530">
            <v>0</v>
          </cell>
          <cell r="H530">
            <v>0</v>
          </cell>
          <cell r="I530">
            <v>0</v>
          </cell>
          <cell r="J530">
            <v>0</v>
          </cell>
          <cell r="K530">
            <v>0</v>
          </cell>
          <cell r="L530">
            <v>0</v>
          </cell>
          <cell r="M530">
            <v>0</v>
          </cell>
          <cell r="N530">
            <v>0</v>
          </cell>
          <cell r="O530">
            <v>0</v>
          </cell>
          <cell r="P530">
            <v>0</v>
          </cell>
          <cell r="Q530">
            <v>0</v>
          </cell>
          <cell r="R530">
            <v>0</v>
          </cell>
        </row>
        <row r="531">
          <cell r="D531">
            <v>0</v>
          </cell>
          <cell r="F531">
            <v>0</v>
          </cell>
          <cell r="G531">
            <v>0</v>
          </cell>
          <cell r="H531">
            <v>0</v>
          </cell>
          <cell r="I531">
            <v>0</v>
          </cell>
          <cell r="J531">
            <v>0</v>
          </cell>
          <cell r="K531">
            <v>0</v>
          </cell>
          <cell r="L531">
            <v>0</v>
          </cell>
          <cell r="M531">
            <v>0</v>
          </cell>
          <cell r="N531">
            <v>0</v>
          </cell>
          <cell r="O531">
            <v>0</v>
          </cell>
          <cell r="P531">
            <v>0</v>
          </cell>
          <cell r="Q531">
            <v>0</v>
          </cell>
          <cell r="R531">
            <v>0</v>
          </cell>
        </row>
        <row r="535">
          <cell r="D535">
            <v>36267688.648054771</v>
          </cell>
          <cell r="F535">
            <v>20795060.130671155</v>
          </cell>
          <cell r="G535">
            <v>4188841.4179942133</v>
          </cell>
          <cell r="H535">
            <v>3905568.2183327032</v>
          </cell>
          <cell r="I535">
            <v>2218073.5204877206</v>
          </cell>
          <cell r="J535">
            <v>1520053.0087400749</v>
          </cell>
          <cell r="K535">
            <v>34.99626105460834</v>
          </cell>
          <cell r="L535">
            <v>0</v>
          </cell>
          <cell r="M535">
            <v>786096.66931747436</v>
          </cell>
          <cell r="N535">
            <v>581659.09020270559</v>
          </cell>
          <cell r="O535">
            <v>665279.2083662654</v>
          </cell>
          <cell r="P535">
            <v>1474526.413980698</v>
          </cell>
          <cell r="Q535">
            <v>119244.80488628864</v>
          </cell>
          <cell r="R535">
            <v>13251.168814416922</v>
          </cell>
        </row>
        <row r="536">
          <cell r="D536">
            <v>108682206.43689489</v>
          </cell>
          <cell r="F536">
            <v>50517887.360607669</v>
          </cell>
          <cell r="G536">
            <v>13265397.742465476</v>
          </cell>
          <cell r="H536">
            <v>13658046.020445244</v>
          </cell>
          <cell r="I536">
            <v>9010367.9067249931</v>
          </cell>
          <cell r="J536">
            <v>5881997.2512073815</v>
          </cell>
          <cell r="K536">
            <v>20427.165754295474</v>
          </cell>
          <cell r="L536">
            <v>555651.88576613984</v>
          </cell>
          <cell r="M536">
            <v>3078925.4753799909</v>
          </cell>
          <cell r="N536">
            <v>2813782.9979556105</v>
          </cell>
          <cell r="O536">
            <v>475912.84231971041</v>
          </cell>
          <cell r="P536">
            <v>9009178.6480501853</v>
          </cell>
          <cell r="Q536">
            <v>362497.22714068356</v>
          </cell>
          <cell r="R536">
            <v>32133.913077547528</v>
          </cell>
        </row>
        <row r="537">
          <cell r="D537">
            <v>0</v>
          </cell>
          <cell r="F537">
            <v>0</v>
          </cell>
          <cell r="G537">
            <v>0</v>
          </cell>
          <cell r="H537">
            <v>0</v>
          </cell>
          <cell r="I537">
            <v>0</v>
          </cell>
          <cell r="J537">
            <v>0</v>
          </cell>
          <cell r="K537">
            <v>0</v>
          </cell>
          <cell r="L537">
            <v>0</v>
          </cell>
          <cell r="M537">
            <v>0</v>
          </cell>
          <cell r="N537">
            <v>0</v>
          </cell>
          <cell r="O537">
            <v>0</v>
          </cell>
          <cell r="P537">
            <v>0</v>
          </cell>
          <cell r="Q537">
            <v>0</v>
          </cell>
          <cell r="R537">
            <v>0</v>
          </cell>
        </row>
        <row r="538">
          <cell r="D538">
            <v>0</v>
          </cell>
          <cell r="F538">
            <v>0</v>
          </cell>
          <cell r="G538">
            <v>0</v>
          </cell>
          <cell r="H538">
            <v>0</v>
          </cell>
          <cell r="I538">
            <v>0</v>
          </cell>
          <cell r="J538">
            <v>0</v>
          </cell>
          <cell r="K538">
            <v>0</v>
          </cell>
          <cell r="L538">
            <v>0</v>
          </cell>
          <cell r="M538">
            <v>0</v>
          </cell>
          <cell r="N538">
            <v>0</v>
          </cell>
          <cell r="O538">
            <v>0</v>
          </cell>
          <cell r="P538">
            <v>0</v>
          </cell>
          <cell r="Q538">
            <v>0</v>
          </cell>
          <cell r="R538">
            <v>0</v>
          </cell>
        </row>
        <row r="539">
          <cell r="D539">
            <v>0</v>
          </cell>
          <cell r="F539">
            <v>0</v>
          </cell>
          <cell r="G539">
            <v>0</v>
          </cell>
          <cell r="H539">
            <v>0</v>
          </cell>
          <cell r="I539">
            <v>0</v>
          </cell>
          <cell r="J539">
            <v>0</v>
          </cell>
          <cell r="K539">
            <v>0</v>
          </cell>
          <cell r="L539">
            <v>0</v>
          </cell>
          <cell r="M539">
            <v>0</v>
          </cell>
          <cell r="N539">
            <v>0</v>
          </cell>
          <cell r="O539">
            <v>0</v>
          </cell>
          <cell r="P539">
            <v>0</v>
          </cell>
          <cell r="Q539">
            <v>0</v>
          </cell>
          <cell r="R539">
            <v>0</v>
          </cell>
        </row>
        <row r="540">
          <cell r="D540">
            <v>0</v>
          </cell>
          <cell r="F540">
            <v>0</v>
          </cell>
          <cell r="G540">
            <v>0</v>
          </cell>
          <cell r="H540">
            <v>0</v>
          </cell>
          <cell r="I540">
            <v>0</v>
          </cell>
          <cell r="J540">
            <v>0</v>
          </cell>
          <cell r="K540">
            <v>0</v>
          </cell>
          <cell r="L540">
            <v>0</v>
          </cell>
          <cell r="M540">
            <v>0</v>
          </cell>
          <cell r="N540">
            <v>0</v>
          </cell>
          <cell r="O540">
            <v>0</v>
          </cell>
          <cell r="P540">
            <v>0</v>
          </cell>
          <cell r="Q540">
            <v>0</v>
          </cell>
          <cell r="R540">
            <v>0</v>
          </cell>
        </row>
        <row r="544">
          <cell r="D544">
            <v>368720051.83249277</v>
          </cell>
          <cell r="F544">
            <v>236601507.05180684</v>
          </cell>
          <cell r="G544">
            <v>46872857.638597287</v>
          </cell>
          <cell r="H544">
            <v>42217187.621491708</v>
          </cell>
          <cell r="I544">
            <v>19192131.856829576</v>
          </cell>
          <cell r="J544">
            <v>13906285.423220389</v>
          </cell>
          <cell r="K544">
            <v>180205.46058214366</v>
          </cell>
          <cell r="L544">
            <v>3780755.3923626784</v>
          </cell>
          <cell r="M544">
            <v>5651431.4291606136</v>
          </cell>
          <cell r="N544">
            <v>62169.804624780547</v>
          </cell>
          <cell r="O544">
            <v>0</v>
          </cell>
          <cell r="P544">
            <v>-117462.41945302358</v>
          </cell>
          <cell r="Q544">
            <v>224606.50741293374</v>
          </cell>
          <cell r="R544">
            <v>148376.06585686249</v>
          </cell>
        </row>
        <row r="545">
          <cell r="D545">
            <v>0</v>
          </cell>
          <cell r="F545">
            <v>0</v>
          </cell>
          <cell r="G545">
            <v>0</v>
          </cell>
          <cell r="H545">
            <v>0</v>
          </cell>
          <cell r="I545">
            <v>0</v>
          </cell>
          <cell r="J545">
            <v>0</v>
          </cell>
          <cell r="K545">
            <v>0</v>
          </cell>
          <cell r="L545">
            <v>0</v>
          </cell>
          <cell r="M545">
            <v>0</v>
          </cell>
          <cell r="N545">
            <v>0</v>
          </cell>
          <cell r="O545">
            <v>0</v>
          </cell>
          <cell r="P545">
            <v>0</v>
          </cell>
          <cell r="Q545">
            <v>0</v>
          </cell>
          <cell r="R545">
            <v>0</v>
          </cell>
        </row>
        <row r="546">
          <cell r="D546">
            <v>160486923.86745819</v>
          </cell>
          <cell r="F546">
            <v>126242654.84343198</v>
          </cell>
          <cell r="G546">
            <v>12361915.429952625</v>
          </cell>
          <cell r="H546">
            <v>4305298.0687916409</v>
          </cell>
          <cell r="I546">
            <v>1150603.5296324024</v>
          </cell>
          <cell r="J546">
            <v>1852100.4414229742</v>
          </cell>
          <cell r="K546">
            <v>4165.8333132226098</v>
          </cell>
          <cell r="L546">
            <v>621368.86393307871</v>
          </cell>
          <cell r="M546">
            <v>462990.89956358995</v>
          </cell>
          <cell r="N546">
            <v>121909.19740332215</v>
          </cell>
          <cell r="O546">
            <v>21119.102843202509</v>
          </cell>
          <cell r="P546">
            <v>423269.22956706159</v>
          </cell>
          <cell r="Q546">
            <v>12879202.987145273</v>
          </cell>
          <cell r="R546">
            <v>40325.44045785108</v>
          </cell>
        </row>
        <row r="547">
          <cell r="D547">
            <v>0</v>
          </cell>
          <cell r="F547">
            <v>0</v>
          </cell>
          <cell r="G547">
            <v>0</v>
          </cell>
          <cell r="H547">
            <v>0</v>
          </cell>
          <cell r="I547">
            <v>0</v>
          </cell>
          <cell r="J547">
            <v>0</v>
          </cell>
          <cell r="K547">
            <v>0</v>
          </cell>
          <cell r="L547">
            <v>0</v>
          </cell>
          <cell r="M547">
            <v>0</v>
          </cell>
          <cell r="N547">
            <v>0</v>
          </cell>
          <cell r="O547">
            <v>0</v>
          </cell>
          <cell r="P547">
            <v>0</v>
          </cell>
          <cell r="Q547">
            <v>0</v>
          </cell>
          <cell r="R547">
            <v>0</v>
          </cell>
        </row>
        <row r="548">
          <cell r="D548">
            <v>0</v>
          </cell>
          <cell r="F548">
            <v>0</v>
          </cell>
          <cell r="G548">
            <v>0</v>
          </cell>
          <cell r="H548">
            <v>0</v>
          </cell>
          <cell r="I548">
            <v>0</v>
          </cell>
          <cell r="J548">
            <v>0</v>
          </cell>
          <cell r="K548">
            <v>0</v>
          </cell>
          <cell r="L548">
            <v>0</v>
          </cell>
          <cell r="M548">
            <v>0</v>
          </cell>
          <cell r="N548">
            <v>0</v>
          </cell>
          <cell r="O548">
            <v>0</v>
          </cell>
          <cell r="P548">
            <v>0</v>
          </cell>
          <cell r="Q548">
            <v>0</v>
          </cell>
          <cell r="R548">
            <v>0</v>
          </cell>
        </row>
        <row r="549">
          <cell r="D549">
            <v>0</v>
          </cell>
          <cell r="F549">
            <v>0</v>
          </cell>
          <cell r="G549">
            <v>0</v>
          </cell>
          <cell r="H549">
            <v>0</v>
          </cell>
          <cell r="I549">
            <v>0</v>
          </cell>
          <cell r="J549">
            <v>0</v>
          </cell>
          <cell r="K549">
            <v>0</v>
          </cell>
          <cell r="L549">
            <v>0</v>
          </cell>
          <cell r="M549">
            <v>0</v>
          </cell>
          <cell r="N549">
            <v>0</v>
          </cell>
          <cell r="O549">
            <v>0</v>
          </cell>
          <cell r="P549">
            <v>0</v>
          </cell>
          <cell r="Q549">
            <v>0</v>
          </cell>
          <cell r="R549">
            <v>0</v>
          </cell>
        </row>
        <row r="553">
          <cell r="D553">
            <v>0</v>
          </cell>
          <cell r="F553">
            <v>0</v>
          </cell>
          <cell r="G553">
            <v>0</v>
          </cell>
          <cell r="H553">
            <v>0</v>
          </cell>
          <cell r="I553">
            <v>0</v>
          </cell>
          <cell r="J553">
            <v>0</v>
          </cell>
          <cell r="K553">
            <v>0</v>
          </cell>
          <cell r="L553">
            <v>0</v>
          </cell>
          <cell r="M553">
            <v>0</v>
          </cell>
          <cell r="N553">
            <v>0</v>
          </cell>
          <cell r="O553">
            <v>0</v>
          </cell>
          <cell r="P553">
            <v>0</v>
          </cell>
          <cell r="Q553">
            <v>0</v>
          </cell>
          <cell r="R553">
            <v>0</v>
          </cell>
        </row>
        <row r="554">
          <cell r="D554">
            <v>0</v>
          </cell>
          <cell r="F554">
            <v>0</v>
          </cell>
          <cell r="G554">
            <v>0</v>
          </cell>
          <cell r="H554">
            <v>0</v>
          </cell>
          <cell r="I554">
            <v>0</v>
          </cell>
          <cell r="J554">
            <v>0</v>
          </cell>
          <cell r="K554">
            <v>0</v>
          </cell>
          <cell r="L554">
            <v>0</v>
          </cell>
          <cell r="M554">
            <v>0</v>
          </cell>
          <cell r="N554">
            <v>0</v>
          </cell>
          <cell r="O554">
            <v>0</v>
          </cell>
          <cell r="P554">
            <v>0</v>
          </cell>
          <cell r="Q554">
            <v>0</v>
          </cell>
          <cell r="R554">
            <v>0</v>
          </cell>
        </row>
        <row r="555">
          <cell r="D555">
            <v>0</v>
          </cell>
          <cell r="F555">
            <v>0</v>
          </cell>
          <cell r="G555">
            <v>0</v>
          </cell>
          <cell r="H555">
            <v>0</v>
          </cell>
          <cell r="I555">
            <v>0</v>
          </cell>
          <cell r="J555">
            <v>0</v>
          </cell>
          <cell r="K555">
            <v>0</v>
          </cell>
          <cell r="L555">
            <v>0</v>
          </cell>
          <cell r="M555">
            <v>0</v>
          </cell>
          <cell r="N555">
            <v>0</v>
          </cell>
          <cell r="O555">
            <v>0</v>
          </cell>
          <cell r="P555">
            <v>0</v>
          </cell>
          <cell r="Q555">
            <v>0</v>
          </cell>
          <cell r="R555">
            <v>0</v>
          </cell>
        </row>
        <row r="556">
          <cell r="D556">
            <v>0</v>
          </cell>
          <cell r="F556">
            <v>0</v>
          </cell>
          <cell r="G556">
            <v>0</v>
          </cell>
          <cell r="H556">
            <v>0</v>
          </cell>
          <cell r="I556">
            <v>0</v>
          </cell>
          <cell r="J556">
            <v>0</v>
          </cell>
          <cell r="K556">
            <v>0</v>
          </cell>
          <cell r="L556">
            <v>0</v>
          </cell>
          <cell r="M556">
            <v>0</v>
          </cell>
          <cell r="N556">
            <v>0</v>
          </cell>
          <cell r="O556">
            <v>0</v>
          </cell>
          <cell r="P556">
            <v>0</v>
          </cell>
          <cell r="Q556">
            <v>0</v>
          </cell>
          <cell r="R556">
            <v>0</v>
          </cell>
        </row>
        <row r="557">
          <cell r="D557">
            <v>0</v>
          </cell>
          <cell r="F557">
            <v>0</v>
          </cell>
          <cell r="G557">
            <v>0</v>
          </cell>
          <cell r="H557">
            <v>0</v>
          </cell>
          <cell r="I557">
            <v>0</v>
          </cell>
          <cell r="J557">
            <v>0</v>
          </cell>
          <cell r="K557">
            <v>0</v>
          </cell>
          <cell r="L557">
            <v>0</v>
          </cell>
          <cell r="M557">
            <v>0</v>
          </cell>
          <cell r="N557">
            <v>0</v>
          </cell>
          <cell r="O557">
            <v>0</v>
          </cell>
          <cell r="P557">
            <v>0</v>
          </cell>
          <cell r="Q557">
            <v>0</v>
          </cell>
          <cell r="R557">
            <v>0</v>
          </cell>
        </row>
        <row r="558">
          <cell r="D558">
            <v>0</v>
          </cell>
          <cell r="F558">
            <v>0</v>
          </cell>
          <cell r="G558">
            <v>0</v>
          </cell>
          <cell r="H558">
            <v>0</v>
          </cell>
          <cell r="I558">
            <v>0</v>
          </cell>
          <cell r="J558">
            <v>0</v>
          </cell>
          <cell r="K558">
            <v>0</v>
          </cell>
          <cell r="L558">
            <v>0</v>
          </cell>
          <cell r="M558">
            <v>0</v>
          </cell>
          <cell r="N558">
            <v>0</v>
          </cell>
          <cell r="O558">
            <v>0</v>
          </cell>
          <cell r="P558">
            <v>0</v>
          </cell>
          <cell r="Q558">
            <v>0</v>
          </cell>
          <cell r="R558">
            <v>0</v>
          </cell>
        </row>
        <row r="562">
          <cell r="D562">
            <v>0</v>
          </cell>
          <cell r="F562">
            <v>0</v>
          </cell>
          <cell r="G562">
            <v>0</v>
          </cell>
          <cell r="H562">
            <v>0</v>
          </cell>
          <cell r="I562">
            <v>0</v>
          </cell>
          <cell r="J562">
            <v>0</v>
          </cell>
          <cell r="K562">
            <v>0</v>
          </cell>
          <cell r="L562">
            <v>0</v>
          </cell>
          <cell r="M562">
            <v>0</v>
          </cell>
          <cell r="N562">
            <v>0</v>
          </cell>
          <cell r="O562">
            <v>0</v>
          </cell>
          <cell r="P562">
            <v>0</v>
          </cell>
          <cell r="Q562">
            <v>0</v>
          </cell>
          <cell r="R562">
            <v>0</v>
          </cell>
        </row>
        <row r="563">
          <cell r="D563">
            <v>0</v>
          </cell>
          <cell r="F563">
            <v>0</v>
          </cell>
          <cell r="G563">
            <v>0</v>
          </cell>
          <cell r="H563">
            <v>0</v>
          </cell>
          <cell r="I563">
            <v>0</v>
          </cell>
          <cell r="J563">
            <v>0</v>
          </cell>
          <cell r="K563">
            <v>0</v>
          </cell>
          <cell r="L563">
            <v>0</v>
          </cell>
          <cell r="M563">
            <v>0</v>
          </cell>
          <cell r="N563">
            <v>0</v>
          </cell>
          <cell r="O563">
            <v>0</v>
          </cell>
          <cell r="P563">
            <v>0</v>
          </cell>
          <cell r="Q563">
            <v>0</v>
          </cell>
          <cell r="R563">
            <v>0</v>
          </cell>
        </row>
        <row r="564">
          <cell r="D564">
            <v>0</v>
          </cell>
          <cell r="F564">
            <v>0</v>
          </cell>
          <cell r="G564">
            <v>0</v>
          </cell>
          <cell r="H564">
            <v>0</v>
          </cell>
          <cell r="I564">
            <v>0</v>
          </cell>
          <cell r="J564">
            <v>0</v>
          </cell>
          <cell r="K564">
            <v>0</v>
          </cell>
          <cell r="L564">
            <v>0</v>
          </cell>
          <cell r="M564">
            <v>0</v>
          </cell>
          <cell r="N564">
            <v>0</v>
          </cell>
          <cell r="O564">
            <v>0</v>
          </cell>
          <cell r="P564">
            <v>0</v>
          </cell>
          <cell r="Q564">
            <v>0</v>
          </cell>
          <cell r="R564">
            <v>0</v>
          </cell>
        </row>
        <row r="565">
          <cell r="D565">
            <v>0</v>
          </cell>
          <cell r="F565">
            <v>0</v>
          </cell>
          <cell r="G565">
            <v>0</v>
          </cell>
          <cell r="H565">
            <v>0</v>
          </cell>
          <cell r="I565">
            <v>0</v>
          </cell>
          <cell r="J565">
            <v>0</v>
          </cell>
          <cell r="K565">
            <v>0</v>
          </cell>
          <cell r="L565">
            <v>0</v>
          </cell>
          <cell r="M565">
            <v>0</v>
          </cell>
          <cell r="N565">
            <v>0</v>
          </cell>
          <cell r="O565">
            <v>0</v>
          </cell>
          <cell r="P565">
            <v>0</v>
          </cell>
          <cell r="Q565">
            <v>0</v>
          </cell>
          <cell r="R565">
            <v>0</v>
          </cell>
        </row>
        <row r="566">
          <cell r="D566">
            <v>0</v>
          </cell>
          <cell r="F566">
            <v>0</v>
          </cell>
          <cell r="G566">
            <v>0</v>
          </cell>
          <cell r="H566">
            <v>0</v>
          </cell>
          <cell r="I566">
            <v>0</v>
          </cell>
          <cell r="J566">
            <v>0</v>
          </cell>
          <cell r="K566">
            <v>0</v>
          </cell>
          <cell r="L566">
            <v>0</v>
          </cell>
          <cell r="M566">
            <v>0</v>
          </cell>
          <cell r="N566">
            <v>0</v>
          </cell>
          <cell r="O566">
            <v>0</v>
          </cell>
          <cell r="P566">
            <v>0</v>
          </cell>
          <cell r="Q566">
            <v>0</v>
          </cell>
          <cell r="R566">
            <v>0</v>
          </cell>
        </row>
        <row r="567">
          <cell r="D567">
            <v>0</v>
          </cell>
          <cell r="F567">
            <v>0</v>
          </cell>
          <cell r="G567">
            <v>0</v>
          </cell>
          <cell r="H567">
            <v>0</v>
          </cell>
          <cell r="I567">
            <v>0</v>
          </cell>
          <cell r="J567">
            <v>0</v>
          </cell>
          <cell r="K567">
            <v>0</v>
          </cell>
          <cell r="L567">
            <v>0</v>
          </cell>
          <cell r="M567">
            <v>0</v>
          </cell>
          <cell r="N567">
            <v>0</v>
          </cell>
          <cell r="O567">
            <v>0</v>
          </cell>
          <cell r="P567">
            <v>0</v>
          </cell>
          <cell r="Q567">
            <v>0</v>
          </cell>
          <cell r="R567">
            <v>0</v>
          </cell>
        </row>
        <row r="571">
          <cell r="D571">
            <v>0</v>
          </cell>
          <cell r="F571">
            <v>0</v>
          </cell>
          <cell r="G571">
            <v>0</v>
          </cell>
          <cell r="H571">
            <v>0</v>
          </cell>
          <cell r="I571">
            <v>0</v>
          </cell>
          <cell r="J571">
            <v>0</v>
          </cell>
          <cell r="K571">
            <v>0</v>
          </cell>
          <cell r="L571">
            <v>0</v>
          </cell>
          <cell r="M571">
            <v>0</v>
          </cell>
          <cell r="N571">
            <v>0</v>
          </cell>
          <cell r="O571">
            <v>0</v>
          </cell>
          <cell r="P571">
            <v>0</v>
          </cell>
          <cell r="Q571">
            <v>0</v>
          </cell>
          <cell r="R571">
            <v>0</v>
          </cell>
        </row>
        <row r="572">
          <cell r="D572">
            <v>0</v>
          </cell>
          <cell r="F572">
            <v>0</v>
          </cell>
          <cell r="G572">
            <v>0</v>
          </cell>
          <cell r="H572">
            <v>0</v>
          </cell>
          <cell r="I572">
            <v>0</v>
          </cell>
          <cell r="J572">
            <v>0</v>
          </cell>
          <cell r="K572">
            <v>0</v>
          </cell>
          <cell r="L572">
            <v>0</v>
          </cell>
          <cell r="M572">
            <v>0</v>
          </cell>
          <cell r="N572">
            <v>0</v>
          </cell>
          <cell r="O572">
            <v>0</v>
          </cell>
          <cell r="P572">
            <v>0</v>
          </cell>
          <cell r="Q572">
            <v>0</v>
          </cell>
          <cell r="R572">
            <v>0</v>
          </cell>
        </row>
        <row r="573">
          <cell r="D573">
            <v>0</v>
          </cell>
          <cell r="F573">
            <v>0</v>
          </cell>
          <cell r="G573">
            <v>0</v>
          </cell>
          <cell r="H573">
            <v>0</v>
          </cell>
          <cell r="I573">
            <v>0</v>
          </cell>
          <cell r="J573">
            <v>0</v>
          </cell>
          <cell r="K573">
            <v>0</v>
          </cell>
          <cell r="L573">
            <v>0</v>
          </cell>
          <cell r="M573">
            <v>0</v>
          </cell>
          <cell r="N573">
            <v>0</v>
          </cell>
          <cell r="O573">
            <v>0</v>
          </cell>
          <cell r="P573">
            <v>0</v>
          </cell>
          <cell r="Q573">
            <v>0</v>
          </cell>
          <cell r="R573">
            <v>0</v>
          </cell>
        </row>
        <row r="574">
          <cell r="D574">
            <v>0</v>
          </cell>
          <cell r="F574">
            <v>0</v>
          </cell>
          <cell r="G574">
            <v>0</v>
          </cell>
          <cell r="H574">
            <v>0</v>
          </cell>
          <cell r="I574">
            <v>0</v>
          </cell>
          <cell r="J574">
            <v>0</v>
          </cell>
          <cell r="K574">
            <v>0</v>
          </cell>
          <cell r="L574">
            <v>0</v>
          </cell>
          <cell r="M574">
            <v>0</v>
          </cell>
          <cell r="N574">
            <v>0</v>
          </cell>
          <cell r="O574">
            <v>0</v>
          </cell>
          <cell r="P574">
            <v>0</v>
          </cell>
          <cell r="Q574">
            <v>0</v>
          </cell>
          <cell r="R574">
            <v>0</v>
          </cell>
        </row>
        <row r="575">
          <cell r="D575">
            <v>0</v>
          </cell>
          <cell r="F575">
            <v>0</v>
          </cell>
          <cell r="G575">
            <v>0</v>
          </cell>
          <cell r="H575">
            <v>0</v>
          </cell>
          <cell r="I575">
            <v>0</v>
          </cell>
          <cell r="J575">
            <v>0</v>
          </cell>
          <cell r="K575">
            <v>0</v>
          </cell>
          <cell r="L575">
            <v>0</v>
          </cell>
          <cell r="M575">
            <v>0</v>
          </cell>
          <cell r="N575">
            <v>0</v>
          </cell>
          <cell r="O575">
            <v>0</v>
          </cell>
          <cell r="P575">
            <v>0</v>
          </cell>
          <cell r="Q575">
            <v>0</v>
          </cell>
          <cell r="R575">
            <v>0</v>
          </cell>
        </row>
        <row r="576">
          <cell r="D576">
            <v>0</v>
          </cell>
          <cell r="F576">
            <v>0</v>
          </cell>
          <cell r="G576">
            <v>0</v>
          </cell>
          <cell r="H576">
            <v>0</v>
          </cell>
          <cell r="I576">
            <v>0</v>
          </cell>
          <cell r="J576">
            <v>0</v>
          </cell>
          <cell r="K576">
            <v>0</v>
          </cell>
          <cell r="L576">
            <v>0</v>
          </cell>
          <cell r="M576">
            <v>0</v>
          </cell>
          <cell r="N576">
            <v>0</v>
          </cell>
          <cell r="O576">
            <v>0</v>
          </cell>
          <cell r="P576">
            <v>0</v>
          </cell>
          <cell r="Q576">
            <v>0</v>
          </cell>
          <cell r="R576">
            <v>0</v>
          </cell>
        </row>
        <row r="580">
          <cell r="D580">
            <v>0</v>
          </cell>
          <cell r="F580">
            <v>0</v>
          </cell>
          <cell r="G580">
            <v>0</v>
          </cell>
          <cell r="H580">
            <v>0</v>
          </cell>
          <cell r="I580">
            <v>0</v>
          </cell>
          <cell r="J580">
            <v>0</v>
          </cell>
          <cell r="K580">
            <v>0</v>
          </cell>
          <cell r="L580">
            <v>0</v>
          </cell>
          <cell r="M580">
            <v>0</v>
          </cell>
          <cell r="N580">
            <v>0</v>
          </cell>
          <cell r="O580">
            <v>0</v>
          </cell>
          <cell r="P580">
            <v>0</v>
          </cell>
          <cell r="Q580">
            <v>0</v>
          </cell>
          <cell r="R580">
            <v>0</v>
          </cell>
        </row>
        <row r="581">
          <cell r="D581">
            <v>0</v>
          </cell>
          <cell r="F581">
            <v>0</v>
          </cell>
          <cell r="G581">
            <v>0</v>
          </cell>
          <cell r="H581">
            <v>0</v>
          </cell>
          <cell r="I581">
            <v>0</v>
          </cell>
          <cell r="J581">
            <v>0</v>
          </cell>
          <cell r="K581">
            <v>0</v>
          </cell>
          <cell r="L581">
            <v>0</v>
          </cell>
          <cell r="M581">
            <v>0</v>
          </cell>
          <cell r="N581">
            <v>0</v>
          </cell>
          <cell r="O581">
            <v>0</v>
          </cell>
          <cell r="P581">
            <v>0</v>
          </cell>
          <cell r="Q581">
            <v>0</v>
          </cell>
          <cell r="R581">
            <v>0</v>
          </cell>
        </row>
        <row r="582">
          <cell r="D582">
            <v>0</v>
          </cell>
          <cell r="F582">
            <v>0</v>
          </cell>
          <cell r="G582">
            <v>0</v>
          </cell>
          <cell r="H582">
            <v>0</v>
          </cell>
          <cell r="I582">
            <v>0</v>
          </cell>
          <cell r="J582">
            <v>0</v>
          </cell>
          <cell r="K582">
            <v>0</v>
          </cell>
          <cell r="L582">
            <v>0</v>
          </cell>
          <cell r="M582">
            <v>0</v>
          </cell>
          <cell r="N582">
            <v>0</v>
          </cell>
          <cell r="O582">
            <v>0</v>
          </cell>
          <cell r="P582">
            <v>0</v>
          </cell>
          <cell r="Q582">
            <v>0</v>
          </cell>
          <cell r="R582">
            <v>0</v>
          </cell>
        </row>
        <row r="583">
          <cell r="D583">
            <v>0</v>
          </cell>
          <cell r="F583">
            <v>0</v>
          </cell>
          <cell r="G583">
            <v>0</v>
          </cell>
          <cell r="H583">
            <v>0</v>
          </cell>
          <cell r="I583">
            <v>0</v>
          </cell>
          <cell r="J583">
            <v>0</v>
          </cell>
          <cell r="K583">
            <v>0</v>
          </cell>
          <cell r="L583">
            <v>0</v>
          </cell>
          <cell r="M583">
            <v>0</v>
          </cell>
          <cell r="N583">
            <v>0</v>
          </cell>
          <cell r="O583">
            <v>0</v>
          </cell>
          <cell r="P583">
            <v>0</v>
          </cell>
          <cell r="Q583">
            <v>0</v>
          </cell>
          <cell r="R583">
            <v>0</v>
          </cell>
        </row>
        <row r="584">
          <cell r="D584">
            <v>0</v>
          </cell>
          <cell r="F584">
            <v>0</v>
          </cell>
          <cell r="G584">
            <v>0</v>
          </cell>
          <cell r="H584">
            <v>0</v>
          </cell>
          <cell r="I584">
            <v>0</v>
          </cell>
          <cell r="J584">
            <v>0</v>
          </cell>
          <cell r="K584">
            <v>0</v>
          </cell>
          <cell r="L584">
            <v>0</v>
          </cell>
          <cell r="M584">
            <v>0</v>
          </cell>
          <cell r="N584">
            <v>0</v>
          </cell>
          <cell r="O584">
            <v>0</v>
          </cell>
          <cell r="P584">
            <v>0</v>
          </cell>
          <cell r="Q584">
            <v>0</v>
          </cell>
          <cell r="R584">
            <v>0</v>
          </cell>
        </row>
        <row r="585">
          <cell r="D585">
            <v>0</v>
          </cell>
          <cell r="F585">
            <v>0</v>
          </cell>
          <cell r="G585">
            <v>0</v>
          </cell>
          <cell r="H585">
            <v>0</v>
          </cell>
          <cell r="I585">
            <v>0</v>
          </cell>
          <cell r="J585">
            <v>0</v>
          </cell>
          <cell r="K585">
            <v>0</v>
          </cell>
          <cell r="L585">
            <v>0</v>
          </cell>
          <cell r="M585">
            <v>0</v>
          </cell>
          <cell r="N585">
            <v>0</v>
          </cell>
          <cell r="O585">
            <v>0</v>
          </cell>
          <cell r="P585">
            <v>0</v>
          </cell>
          <cell r="Q585">
            <v>0</v>
          </cell>
          <cell r="R585">
            <v>0</v>
          </cell>
        </row>
        <row r="589">
          <cell r="D589">
            <v>0</v>
          </cell>
          <cell r="F589">
            <v>0</v>
          </cell>
          <cell r="G589">
            <v>0</v>
          </cell>
          <cell r="H589">
            <v>0</v>
          </cell>
          <cell r="I589">
            <v>0</v>
          </cell>
          <cell r="J589">
            <v>0</v>
          </cell>
          <cell r="K589">
            <v>0</v>
          </cell>
          <cell r="L589">
            <v>0</v>
          </cell>
          <cell r="M589">
            <v>0</v>
          </cell>
          <cell r="N589">
            <v>0</v>
          </cell>
          <cell r="O589">
            <v>0</v>
          </cell>
          <cell r="P589">
            <v>0</v>
          </cell>
          <cell r="Q589">
            <v>0</v>
          </cell>
          <cell r="R589">
            <v>0</v>
          </cell>
        </row>
        <row r="590">
          <cell r="D590">
            <v>0</v>
          </cell>
          <cell r="F590">
            <v>0</v>
          </cell>
          <cell r="G590">
            <v>0</v>
          </cell>
          <cell r="H590">
            <v>0</v>
          </cell>
          <cell r="I590">
            <v>0</v>
          </cell>
          <cell r="J590">
            <v>0</v>
          </cell>
          <cell r="K590">
            <v>0</v>
          </cell>
          <cell r="L590">
            <v>0</v>
          </cell>
          <cell r="M590">
            <v>0</v>
          </cell>
          <cell r="N590">
            <v>0</v>
          </cell>
          <cell r="O590">
            <v>0</v>
          </cell>
          <cell r="P590">
            <v>0</v>
          </cell>
          <cell r="Q590">
            <v>0</v>
          </cell>
          <cell r="R590">
            <v>0</v>
          </cell>
        </row>
        <row r="591">
          <cell r="D591">
            <v>0</v>
          </cell>
          <cell r="F591">
            <v>0</v>
          </cell>
          <cell r="G591">
            <v>0</v>
          </cell>
          <cell r="H591">
            <v>0</v>
          </cell>
          <cell r="I591">
            <v>0</v>
          </cell>
          <cell r="J591">
            <v>0</v>
          </cell>
          <cell r="K591">
            <v>0</v>
          </cell>
          <cell r="L591">
            <v>0</v>
          </cell>
          <cell r="M591">
            <v>0</v>
          </cell>
          <cell r="N591">
            <v>0</v>
          </cell>
          <cell r="O591">
            <v>0</v>
          </cell>
          <cell r="P591">
            <v>0</v>
          </cell>
          <cell r="Q591">
            <v>0</v>
          </cell>
          <cell r="R591">
            <v>0</v>
          </cell>
        </row>
        <row r="592">
          <cell r="D592">
            <v>0</v>
          </cell>
          <cell r="F592">
            <v>0</v>
          </cell>
          <cell r="G592">
            <v>0</v>
          </cell>
          <cell r="H592">
            <v>0</v>
          </cell>
          <cell r="I592">
            <v>0</v>
          </cell>
          <cell r="J592">
            <v>0</v>
          </cell>
          <cell r="K592">
            <v>0</v>
          </cell>
          <cell r="L592">
            <v>0</v>
          </cell>
          <cell r="M592">
            <v>0</v>
          </cell>
          <cell r="N592">
            <v>0</v>
          </cell>
          <cell r="O592">
            <v>0</v>
          </cell>
          <cell r="P592">
            <v>0</v>
          </cell>
          <cell r="Q592">
            <v>0</v>
          </cell>
          <cell r="R592">
            <v>0</v>
          </cell>
        </row>
        <row r="593">
          <cell r="D593">
            <v>0</v>
          </cell>
          <cell r="F593">
            <v>0</v>
          </cell>
          <cell r="G593">
            <v>0</v>
          </cell>
          <cell r="H593">
            <v>0</v>
          </cell>
          <cell r="I593">
            <v>0</v>
          </cell>
          <cell r="J593">
            <v>0</v>
          </cell>
          <cell r="K593">
            <v>0</v>
          </cell>
          <cell r="L593">
            <v>0</v>
          </cell>
          <cell r="M593">
            <v>0</v>
          </cell>
          <cell r="N593">
            <v>0</v>
          </cell>
          <cell r="O593">
            <v>0</v>
          </cell>
          <cell r="P593">
            <v>0</v>
          </cell>
          <cell r="Q593">
            <v>0</v>
          </cell>
          <cell r="R593">
            <v>0</v>
          </cell>
        </row>
        <row r="594">
          <cell r="D594">
            <v>0</v>
          </cell>
          <cell r="F594">
            <v>0</v>
          </cell>
          <cell r="G594">
            <v>0</v>
          </cell>
          <cell r="H594">
            <v>0</v>
          </cell>
          <cell r="I594">
            <v>0</v>
          </cell>
          <cell r="J594">
            <v>0</v>
          </cell>
          <cell r="K594">
            <v>0</v>
          </cell>
          <cell r="L594">
            <v>0</v>
          </cell>
          <cell r="M594">
            <v>0</v>
          </cell>
          <cell r="N594">
            <v>0</v>
          </cell>
          <cell r="O594">
            <v>0</v>
          </cell>
          <cell r="P594">
            <v>0</v>
          </cell>
          <cell r="Q594">
            <v>0</v>
          </cell>
          <cell r="R594">
            <v>0</v>
          </cell>
        </row>
        <row r="598">
          <cell r="D598">
            <v>0</v>
          </cell>
          <cell r="F598">
            <v>0</v>
          </cell>
          <cell r="G598">
            <v>0</v>
          </cell>
          <cell r="H598">
            <v>0</v>
          </cell>
          <cell r="I598">
            <v>0</v>
          </cell>
          <cell r="J598">
            <v>0</v>
          </cell>
          <cell r="K598">
            <v>0</v>
          </cell>
          <cell r="L598">
            <v>0</v>
          </cell>
          <cell r="M598">
            <v>0</v>
          </cell>
          <cell r="N598">
            <v>0</v>
          </cell>
          <cell r="O598">
            <v>0</v>
          </cell>
          <cell r="P598">
            <v>0</v>
          </cell>
          <cell r="Q598">
            <v>0</v>
          </cell>
          <cell r="R598">
            <v>0</v>
          </cell>
        </row>
        <row r="599">
          <cell r="D599">
            <v>0</v>
          </cell>
          <cell r="F599">
            <v>0</v>
          </cell>
          <cell r="G599">
            <v>0</v>
          </cell>
          <cell r="H599">
            <v>0</v>
          </cell>
          <cell r="I599">
            <v>0</v>
          </cell>
          <cell r="J599">
            <v>0</v>
          </cell>
          <cell r="K599">
            <v>0</v>
          </cell>
          <cell r="L599">
            <v>0</v>
          </cell>
          <cell r="M599">
            <v>0</v>
          </cell>
          <cell r="N599">
            <v>0</v>
          </cell>
          <cell r="O599">
            <v>0</v>
          </cell>
          <cell r="P599">
            <v>0</v>
          </cell>
          <cell r="Q599">
            <v>0</v>
          </cell>
          <cell r="R599">
            <v>0</v>
          </cell>
        </row>
        <row r="600">
          <cell r="D600">
            <v>0</v>
          </cell>
          <cell r="F600">
            <v>0</v>
          </cell>
          <cell r="G600">
            <v>0</v>
          </cell>
          <cell r="H600">
            <v>0</v>
          </cell>
          <cell r="I600">
            <v>0</v>
          </cell>
          <cell r="J600">
            <v>0</v>
          </cell>
          <cell r="K600">
            <v>0</v>
          </cell>
          <cell r="L600">
            <v>0</v>
          </cell>
          <cell r="M600">
            <v>0</v>
          </cell>
          <cell r="N600">
            <v>0</v>
          </cell>
          <cell r="O600">
            <v>0</v>
          </cell>
          <cell r="P600">
            <v>0</v>
          </cell>
          <cell r="Q600">
            <v>0</v>
          </cell>
          <cell r="R600">
            <v>0</v>
          </cell>
        </row>
        <row r="601">
          <cell r="D601">
            <v>0</v>
          </cell>
          <cell r="F601">
            <v>0</v>
          </cell>
          <cell r="G601">
            <v>0</v>
          </cell>
          <cell r="H601">
            <v>0</v>
          </cell>
          <cell r="I601">
            <v>0</v>
          </cell>
          <cell r="J601">
            <v>0</v>
          </cell>
          <cell r="K601">
            <v>0</v>
          </cell>
          <cell r="L601">
            <v>0</v>
          </cell>
          <cell r="M601">
            <v>0</v>
          </cell>
          <cell r="N601">
            <v>0</v>
          </cell>
          <cell r="O601">
            <v>0</v>
          </cell>
          <cell r="P601">
            <v>0</v>
          </cell>
          <cell r="Q601">
            <v>0</v>
          </cell>
          <cell r="R601">
            <v>0</v>
          </cell>
        </row>
        <row r="602">
          <cell r="D602">
            <v>0</v>
          </cell>
          <cell r="F602">
            <v>0</v>
          </cell>
          <cell r="G602">
            <v>0</v>
          </cell>
          <cell r="H602">
            <v>0</v>
          </cell>
          <cell r="I602">
            <v>0</v>
          </cell>
          <cell r="J602">
            <v>0</v>
          </cell>
          <cell r="K602">
            <v>0</v>
          </cell>
          <cell r="L602">
            <v>0</v>
          </cell>
          <cell r="M602">
            <v>0</v>
          </cell>
          <cell r="N602">
            <v>0</v>
          </cell>
          <cell r="O602">
            <v>0</v>
          </cell>
          <cell r="P602">
            <v>0</v>
          </cell>
          <cell r="Q602">
            <v>0</v>
          </cell>
          <cell r="R602">
            <v>0</v>
          </cell>
        </row>
        <row r="603">
          <cell r="D603">
            <v>0</v>
          </cell>
          <cell r="F603">
            <v>0</v>
          </cell>
          <cell r="G603">
            <v>0</v>
          </cell>
          <cell r="H603">
            <v>0</v>
          </cell>
          <cell r="I603">
            <v>0</v>
          </cell>
          <cell r="J603">
            <v>0</v>
          </cell>
          <cell r="K603">
            <v>0</v>
          </cell>
          <cell r="L603">
            <v>0</v>
          </cell>
          <cell r="M603">
            <v>0</v>
          </cell>
          <cell r="N603">
            <v>0</v>
          </cell>
          <cell r="O603">
            <v>0</v>
          </cell>
          <cell r="P603">
            <v>0</v>
          </cell>
          <cell r="Q603">
            <v>0</v>
          </cell>
          <cell r="R603">
            <v>0</v>
          </cell>
        </row>
        <row r="607">
          <cell r="D607">
            <v>0</v>
          </cell>
          <cell r="F607">
            <v>0</v>
          </cell>
          <cell r="G607">
            <v>0</v>
          </cell>
          <cell r="H607">
            <v>0</v>
          </cell>
          <cell r="I607">
            <v>0</v>
          </cell>
          <cell r="J607">
            <v>0</v>
          </cell>
          <cell r="K607">
            <v>0</v>
          </cell>
          <cell r="L607">
            <v>0</v>
          </cell>
          <cell r="M607">
            <v>0</v>
          </cell>
          <cell r="N607">
            <v>0</v>
          </cell>
          <cell r="O607">
            <v>0</v>
          </cell>
          <cell r="P607">
            <v>0</v>
          </cell>
          <cell r="Q607">
            <v>0</v>
          </cell>
          <cell r="R607">
            <v>0</v>
          </cell>
        </row>
        <row r="608">
          <cell r="D608">
            <v>0</v>
          </cell>
          <cell r="F608">
            <v>0</v>
          </cell>
          <cell r="G608">
            <v>0</v>
          </cell>
          <cell r="H608">
            <v>0</v>
          </cell>
          <cell r="I608">
            <v>0</v>
          </cell>
          <cell r="J608">
            <v>0</v>
          </cell>
          <cell r="K608">
            <v>0</v>
          </cell>
          <cell r="L608">
            <v>0</v>
          </cell>
          <cell r="M608">
            <v>0</v>
          </cell>
          <cell r="N608">
            <v>0</v>
          </cell>
          <cell r="O608">
            <v>0</v>
          </cell>
          <cell r="P608">
            <v>0</v>
          </cell>
          <cell r="Q608">
            <v>0</v>
          </cell>
          <cell r="R608">
            <v>0</v>
          </cell>
        </row>
        <row r="609">
          <cell r="D609">
            <v>0</v>
          </cell>
          <cell r="F609">
            <v>0</v>
          </cell>
          <cell r="G609">
            <v>0</v>
          </cell>
          <cell r="H609">
            <v>0</v>
          </cell>
          <cell r="I609">
            <v>0</v>
          </cell>
          <cell r="J609">
            <v>0</v>
          </cell>
          <cell r="K609">
            <v>0</v>
          </cell>
          <cell r="L609">
            <v>0</v>
          </cell>
          <cell r="M609">
            <v>0</v>
          </cell>
          <cell r="N609">
            <v>0</v>
          </cell>
          <cell r="O609">
            <v>0</v>
          </cell>
          <cell r="P609">
            <v>0</v>
          </cell>
          <cell r="Q609">
            <v>0</v>
          </cell>
          <cell r="R609">
            <v>0</v>
          </cell>
        </row>
        <row r="610">
          <cell r="D610">
            <v>0</v>
          </cell>
          <cell r="F610">
            <v>0</v>
          </cell>
          <cell r="G610">
            <v>0</v>
          </cell>
          <cell r="H610">
            <v>0</v>
          </cell>
          <cell r="I610">
            <v>0</v>
          </cell>
          <cell r="J610">
            <v>0</v>
          </cell>
          <cell r="K610">
            <v>0</v>
          </cell>
          <cell r="L610">
            <v>0</v>
          </cell>
          <cell r="M610">
            <v>0</v>
          </cell>
          <cell r="N610">
            <v>0</v>
          </cell>
          <cell r="O610">
            <v>0</v>
          </cell>
          <cell r="P610">
            <v>0</v>
          </cell>
          <cell r="Q610">
            <v>0</v>
          </cell>
          <cell r="R610">
            <v>0</v>
          </cell>
        </row>
        <row r="611">
          <cell r="D611">
            <v>0</v>
          </cell>
          <cell r="F611">
            <v>0</v>
          </cell>
          <cell r="G611">
            <v>0</v>
          </cell>
          <cell r="H611">
            <v>0</v>
          </cell>
          <cell r="I611">
            <v>0</v>
          </cell>
          <cell r="J611">
            <v>0</v>
          </cell>
          <cell r="K611">
            <v>0</v>
          </cell>
          <cell r="L611">
            <v>0</v>
          </cell>
          <cell r="M611">
            <v>0</v>
          </cell>
          <cell r="N611">
            <v>0</v>
          </cell>
          <cell r="O611">
            <v>0</v>
          </cell>
          <cell r="P611">
            <v>0</v>
          </cell>
          <cell r="Q611">
            <v>0</v>
          </cell>
          <cell r="R611">
            <v>0</v>
          </cell>
        </row>
        <row r="612">
          <cell r="D612">
            <v>0</v>
          </cell>
          <cell r="F612">
            <v>0</v>
          </cell>
          <cell r="G612">
            <v>0</v>
          </cell>
          <cell r="H612">
            <v>0</v>
          </cell>
          <cell r="I612">
            <v>0</v>
          </cell>
          <cell r="J612">
            <v>0</v>
          </cell>
          <cell r="K612">
            <v>0</v>
          </cell>
          <cell r="L612">
            <v>0</v>
          </cell>
          <cell r="M612">
            <v>0</v>
          </cell>
          <cell r="N612">
            <v>0</v>
          </cell>
          <cell r="O612">
            <v>0</v>
          </cell>
          <cell r="P612">
            <v>0</v>
          </cell>
          <cell r="Q612">
            <v>0</v>
          </cell>
          <cell r="R612">
            <v>0</v>
          </cell>
        </row>
        <row r="616">
          <cell r="D616">
            <v>749253304.46524203</v>
          </cell>
          <cell r="F616">
            <v>467167067.70219666</v>
          </cell>
          <cell r="G616">
            <v>93316703.626372233</v>
          </cell>
          <cell r="H616">
            <v>85520237.492940247</v>
          </cell>
          <cell r="I616">
            <v>43785057.369016103</v>
          </cell>
          <cell r="J616">
            <v>30759897.38568582</v>
          </cell>
          <cell r="K616">
            <v>180593.48218439057</v>
          </cell>
          <cell r="L616">
            <v>3780755.3923626784</v>
          </cell>
          <cell r="M616">
            <v>14367290.77977928</v>
          </cell>
          <cell r="N616">
            <v>6511324.2382866256</v>
          </cell>
          <cell r="O616">
            <v>665279.2083662654</v>
          </cell>
          <cell r="P616">
            <v>1357063.9945276747</v>
          </cell>
          <cell r="Q616">
            <v>1546735.1822275007</v>
          </cell>
          <cell r="R616">
            <v>295298.61129652272</v>
          </cell>
        </row>
        <row r="617">
          <cell r="D617">
            <v>1142926440.1896434</v>
          </cell>
          <cell r="F617">
            <v>577225077.70828044</v>
          </cell>
          <cell r="G617">
            <v>151572455.67431775</v>
          </cell>
          <cell r="H617">
            <v>156058914.72101229</v>
          </cell>
          <cell r="I617">
            <v>102953836.48990682</v>
          </cell>
          <cell r="J617">
            <v>67208596.752515376</v>
          </cell>
          <cell r="K617">
            <v>233403.90811903696</v>
          </cell>
          <cell r="L617">
            <v>6348963.1039126376</v>
          </cell>
          <cell r="M617">
            <v>35180271.575846866</v>
          </cell>
          <cell r="N617">
            <v>32150713.232629307</v>
          </cell>
          <cell r="O617">
            <v>475912.84231971041</v>
          </cell>
          <cell r="P617">
            <v>9009178.6480501853</v>
          </cell>
          <cell r="Q617">
            <v>4141948.5461000944</v>
          </cell>
          <cell r="R617">
            <v>367166.98663297761</v>
          </cell>
        </row>
        <row r="618">
          <cell r="D618">
            <v>160486923.86745819</v>
          </cell>
          <cell r="F618">
            <v>126242654.84343198</v>
          </cell>
          <cell r="G618">
            <v>12361915.429952625</v>
          </cell>
          <cell r="H618">
            <v>4305298.0687916409</v>
          </cell>
          <cell r="I618">
            <v>1150603.5296324024</v>
          </cell>
          <cell r="J618">
            <v>1852100.4414229742</v>
          </cell>
          <cell r="K618">
            <v>4165.8333132226098</v>
          </cell>
          <cell r="L618">
            <v>621368.86393307871</v>
          </cell>
          <cell r="M618">
            <v>462990.89956358995</v>
          </cell>
          <cell r="N618">
            <v>121909.19740332215</v>
          </cell>
          <cell r="O618">
            <v>21119.102843202509</v>
          </cell>
          <cell r="P618">
            <v>423269.22956706159</v>
          </cell>
          <cell r="Q618">
            <v>12879202.987145273</v>
          </cell>
          <cell r="R618">
            <v>40325.44045785108</v>
          </cell>
        </row>
        <row r="619">
          <cell r="D619">
            <v>0</v>
          </cell>
          <cell r="F619">
            <v>0</v>
          </cell>
          <cell r="G619">
            <v>0</v>
          </cell>
          <cell r="H619">
            <v>0</v>
          </cell>
          <cell r="I619">
            <v>0</v>
          </cell>
          <cell r="J619">
            <v>0</v>
          </cell>
          <cell r="K619">
            <v>0</v>
          </cell>
          <cell r="L619">
            <v>0</v>
          </cell>
          <cell r="M619">
            <v>0</v>
          </cell>
          <cell r="N619">
            <v>0</v>
          </cell>
          <cell r="O619">
            <v>0</v>
          </cell>
          <cell r="P619">
            <v>0</v>
          </cell>
          <cell r="Q619">
            <v>0</v>
          </cell>
          <cell r="R619">
            <v>0</v>
          </cell>
        </row>
        <row r="620">
          <cell r="D620">
            <v>0</v>
          </cell>
          <cell r="F620">
            <v>0</v>
          </cell>
          <cell r="G620">
            <v>0</v>
          </cell>
          <cell r="H620">
            <v>0</v>
          </cell>
          <cell r="I620">
            <v>0</v>
          </cell>
          <cell r="J620">
            <v>0</v>
          </cell>
          <cell r="K620">
            <v>0</v>
          </cell>
          <cell r="L620">
            <v>0</v>
          </cell>
          <cell r="M620">
            <v>0</v>
          </cell>
          <cell r="N620">
            <v>0</v>
          </cell>
          <cell r="O620">
            <v>0</v>
          </cell>
          <cell r="P620">
            <v>0</v>
          </cell>
          <cell r="Q620">
            <v>0</v>
          </cell>
          <cell r="R620">
            <v>0</v>
          </cell>
        </row>
        <row r="621">
          <cell r="D621">
            <v>0</v>
          </cell>
          <cell r="F621">
            <v>0</v>
          </cell>
          <cell r="G621">
            <v>0</v>
          </cell>
          <cell r="H621">
            <v>0</v>
          </cell>
          <cell r="I621">
            <v>0</v>
          </cell>
          <cell r="J621">
            <v>0</v>
          </cell>
          <cell r="K621">
            <v>0</v>
          </cell>
          <cell r="L621">
            <v>0</v>
          </cell>
          <cell r="M621">
            <v>0</v>
          </cell>
          <cell r="N621">
            <v>0</v>
          </cell>
          <cell r="O621">
            <v>0</v>
          </cell>
          <cell r="P621">
            <v>0</v>
          </cell>
          <cell r="Q621">
            <v>0</v>
          </cell>
          <cell r="R621">
            <v>0</v>
          </cell>
        </row>
      </sheetData>
      <sheetData sheetId="13"/>
      <sheetData sheetId="14"/>
      <sheetData sheetId="15"/>
      <sheetData sheetId="16"/>
      <sheetData sheetId="17"/>
      <sheetData sheetId="18"/>
      <sheetData sheetId="19"/>
      <sheetData sheetId="20"/>
      <sheetData sheetId="21"/>
      <sheetData sheetId="22"/>
      <sheetData sheetId="23">
        <row r="53">
          <cell r="C53" t="str">
            <v xml:space="preserve">CAE - Uncollect Accts </v>
          </cell>
        </row>
        <row r="76">
          <cell r="C76" t="str">
            <v xml:space="preserve">A&amp;G Exp - Reg Comm Exp </v>
          </cell>
        </row>
        <row r="130">
          <cell r="C130" t="str">
            <v>Other Taxes - Wash Excise - Allocated</v>
          </cell>
        </row>
        <row r="137">
          <cell r="C137" t="str">
            <v>Current Federal Income Tax @ Rate</v>
          </cell>
        </row>
      </sheetData>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FUNCALLOCD"/>
      <sheetName val="REV REQ"/>
      <sheetName val="Account Summary"/>
      <sheetName val="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 val="Delivery Costs"/>
      <sheetName val="Dist Costs (Line Ext)"/>
    </sheetNames>
    <sheetDataSet>
      <sheetData sheetId="0" refreshError="1"/>
      <sheetData sheetId="1">
        <row r="5">
          <cell r="B5" t="str">
            <v>Historic Test Year Twelve Months ended September 2016</v>
          </cell>
        </row>
        <row r="11">
          <cell r="C11">
            <v>2</v>
          </cell>
        </row>
        <row r="30">
          <cell r="F30">
            <v>2.9899999999999999E-2</v>
          </cell>
        </row>
        <row r="34">
          <cell r="F34">
            <v>0</v>
          </cell>
        </row>
        <row r="35">
          <cell r="F35">
            <v>0</v>
          </cell>
        </row>
        <row r="36">
          <cell r="F36">
            <v>0</v>
          </cell>
        </row>
        <row r="39">
          <cell r="F39">
            <v>0</v>
          </cell>
        </row>
        <row r="44">
          <cell r="F44">
            <v>0.61905100000000002</v>
          </cell>
        </row>
      </sheetData>
      <sheetData sheetId="2">
        <row r="3">
          <cell r="D3" t="str">
            <v>DEM</v>
          </cell>
        </row>
      </sheetData>
      <sheetData sheetId="3" refreshError="1"/>
      <sheetData sheetId="4" refreshError="1"/>
      <sheetData sheetId="5">
        <row r="5">
          <cell r="A5" t="str">
            <v>RATE BASE</v>
          </cell>
        </row>
      </sheetData>
      <sheetData sheetId="6" refreshError="1"/>
      <sheetData sheetId="7">
        <row r="409">
          <cell r="CY409">
            <v>188027009.93499625</v>
          </cell>
        </row>
      </sheetData>
      <sheetData sheetId="8">
        <row r="2">
          <cell r="H2">
            <v>5</v>
          </cell>
        </row>
      </sheetData>
      <sheetData sheetId="9">
        <row r="10">
          <cell r="K10">
            <v>37713421.826332599</v>
          </cell>
        </row>
      </sheetData>
      <sheetData sheetId="10" refreshError="1"/>
      <sheetData sheetId="11" refreshError="1"/>
      <sheetData sheetId="12">
        <row r="345">
          <cell r="D345">
            <v>0</v>
          </cell>
        </row>
      </sheetData>
      <sheetData sheetId="13">
        <row r="4">
          <cell r="D4" t="str">
            <v>Total</v>
          </cell>
        </row>
      </sheetData>
      <sheetData sheetId="14">
        <row r="10">
          <cell r="G10">
            <v>5485102021.7180748</v>
          </cell>
        </row>
      </sheetData>
      <sheetData sheetId="15">
        <row r="9">
          <cell r="G9">
            <v>88452023.525747895</v>
          </cell>
        </row>
      </sheetData>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MCC-13 (2)"/>
      <sheetName val="INDEX"/>
      <sheetName val="MCC-7 page 1-4"/>
      <sheetName val="MCC-7 page 5-27"/>
      <sheetName val="MCC-7 page 28"/>
      <sheetName val="EXHIBIT MCC-8"/>
      <sheetName val="EXHIBIT MCC-9"/>
      <sheetName val="EXHIBIT MCC-10"/>
      <sheetName val="EXHIBIT MCC-11"/>
      <sheetName val="EXHIBIT MCC-13"/>
    </sheetNames>
    <sheetDataSet>
      <sheetData sheetId="0"/>
      <sheetData sheetId="1"/>
      <sheetData sheetId="2"/>
      <sheetData sheetId="3"/>
      <sheetData sheetId="4"/>
      <sheetData sheetId="5">
        <row r="23">
          <cell r="Q23">
            <v>0.62044999999999995</v>
          </cell>
        </row>
      </sheetData>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 Page 1-5"/>
      <sheetName val=" Page 6-15"/>
      <sheetName val="Page 6(A)"/>
      <sheetName val=" Page 16"/>
      <sheetName val=" Page 17-37"/>
      <sheetName val="EXHIBIT (RCM-3)"/>
      <sheetName val="EXHIBIT (RCM-4)"/>
      <sheetName val="EXHIBIT (RCM-5)"/>
      <sheetName val="EXHIBIT (RCM-6)"/>
      <sheetName val="SUPPORT"/>
      <sheetName val="Restated TY Prop Tax"/>
      <sheetName val="Prod Prop Tax"/>
      <sheetName val="Production Adjustment"/>
      <sheetName val="Production Plant Premiums"/>
      <sheetName val="Prod Plant"/>
      <sheetName val="DEM RY PC"/>
      <sheetName val="Production Factor"/>
      <sheetName val="Prodn OM11GRC"/>
      <sheetName val="EB&amp;Taxes"/>
      <sheetName val="TransmRev"/>
      <sheetName val="PCA Ex A-2"/>
      <sheetName val="PCA Ex A-3"/>
      <sheetName val="PCA Ex A-4"/>
      <sheetName val="PCA Ex A-5"/>
      <sheetName val="Restating Print Macros"/>
      <sheetName val="Module13"/>
      <sheetName val="Module14"/>
      <sheetName val="Module15"/>
      <sheetName val="Module1"/>
      <sheetName val="13.10 REC OFFSET"/>
      <sheetName val="13.10 LSR DEFERRED COSTS"/>
      <sheetName val="13.03 LSR PPD TRANS DEP"/>
      <sheetName val="13.10 Sumas 2008 CI"/>
      <sheetName val="13.10Freddy"/>
      <sheetName val="13.10 Sumas 2010HGP INSP"/>
      <sheetName val="13.10 Goldendale2009"/>
      <sheetName val="13.10 Mint Farm"/>
      <sheetName val="13.10ColstripPrepaid"/>
    </sheetNames>
    <sheetDataSet>
      <sheetData sheetId="0"/>
      <sheetData sheetId="1">
        <row r="2">
          <cell r="AQ2" t="str">
            <v>Docket No. UE-111048/UG111049</v>
          </cell>
        </row>
        <row r="3">
          <cell r="AQ3" t="str">
            <v>Exhibit No. ___ (RCM-2)</v>
          </cell>
        </row>
      </sheetData>
      <sheetData sheetId="2">
        <row r="3">
          <cell r="E3" t="str">
            <v>Exhibit No.    (RCM-2)</v>
          </cell>
        </row>
      </sheetData>
      <sheetData sheetId="3"/>
      <sheetData sheetId="4"/>
      <sheetData sheetId="5">
        <row r="3">
          <cell r="G3" t="str">
            <v>Exhibit No.     (RCM-2)</v>
          </cell>
        </row>
        <row r="7">
          <cell r="A7" t="str">
            <v>FOR THE TWELVE MONTHS ENDED DECEMBER 31, 2010</v>
          </cell>
        </row>
      </sheetData>
      <sheetData sheetId="6">
        <row r="20">
          <cell r="L20">
            <v>0.35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sheetName val="Unallocated Summary"/>
      <sheetName val="Unallocated Detail"/>
      <sheetName val="Common by Account "/>
      <sheetName val="Detail"/>
      <sheetName val="UIP Summary"/>
      <sheetName val="Reclass"/>
      <sheetName val="12 ME Q2"/>
      <sheetName val="allocation factors"/>
      <sheetName val="5.01E &amp; 5"/>
    </sheetNames>
    <sheetDataSet>
      <sheetData sheetId="0">
        <row r="9">
          <cell r="B9">
            <v>2146048308.1900001</v>
          </cell>
        </row>
        <row r="10">
          <cell r="B10">
            <v>324382.2</v>
          </cell>
        </row>
        <row r="11">
          <cell r="B11">
            <v>201125741.739999</v>
          </cell>
        </row>
        <row r="12">
          <cell r="B12">
            <v>47841338.950000003</v>
          </cell>
        </row>
        <row r="18">
          <cell r="B18">
            <v>235002886.5</v>
          </cell>
        </row>
        <row r="19">
          <cell r="B19">
            <v>532346459.37</v>
          </cell>
        </row>
        <row r="20">
          <cell r="B20">
            <v>113800193.219999</v>
          </cell>
        </row>
        <row r="21">
          <cell r="B21">
            <v>-69268219.669999897</v>
          </cell>
        </row>
        <row r="24">
          <cell r="B24">
            <v>125897437.02</v>
          </cell>
        </row>
        <row r="25">
          <cell r="B25">
            <v>20270050.379999898</v>
          </cell>
        </row>
        <row r="26">
          <cell r="B26">
            <v>83356029.179999903</v>
          </cell>
        </row>
        <row r="27">
          <cell r="B27">
            <v>47600166.421824999</v>
          </cell>
        </row>
        <row r="28">
          <cell r="B28">
            <v>19829127.240927998</v>
          </cell>
        </row>
        <row r="29">
          <cell r="B29">
            <v>97566974.959999993</v>
          </cell>
        </row>
        <row r="30">
          <cell r="B30">
            <v>114599758.581515</v>
          </cell>
        </row>
        <row r="31">
          <cell r="B31">
            <v>268356984.80397999</v>
          </cell>
        </row>
        <row r="32">
          <cell r="B32">
            <v>45684974.945897996</v>
          </cell>
        </row>
        <row r="33">
          <cell r="B33">
            <v>20604866.16</v>
          </cell>
        </row>
        <row r="34">
          <cell r="B34">
            <v>-9997193.5551139992</v>
          </cell>
        </row>
        <row r="35">
          <cell r="B35">
            <v>-64111667.629999898</v>
          </cell>
        </row>
        <row r="36">
          <cell r="B36">
            <v>230800256.78218898</v>
          </cell>
        </row>
        <row r="37">
          <cell r="B37">
            <v>800</v>
          </cell>
        </row>
        <row r="38">
          <cell r="B38">
            <v>181996914.66999999</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ERB"/>
      <sheetName val="GRB"/>
      <sheetName val="CWC"/>
      <sheetName val="BS"/>
      <sheetName val="NOL Spread"/>
      <sheetName val="summary NOL"/>
      <sheetName val="June16"/>
      <sheetName val="May16"/>
      <sheetName val="Apr16"/>
      <sheetName val="Mar16"/>
      <sheetName val="Feb16"/>
      <sheetName val="Jan16"/>
      <sheetName val="Dec15"/>
      <sheetName val="Nov15"/>
      <sheetName val="Oct15"/>
      <sheetName val="Sept15"/>
      <sheetName val="Aug15"/>
      <sheetName val="July15"/>
      <sheetName val="June15"/>
      <sheetName val="May15"/>
      <sheetName val="Apr15"/>
      <sheetName val="BS and CWC Recon, p1"/>
      <sheetName val="BS and CWC Recon, p2"/>
      <sheetName val="PPXLSaveData0"/>
      <sheetName val="Chg Code"/>
      <sheetName val="PPXLFunctions"/>
      <sheetName val="PPXLOpen"/>
      <sheetName val="June 2013 Code Changes"/>
      <sheetName val="Oct14"/>
      <sheetName val="Nov14"/>
      <sheetName val="Dec14"/>
      <sheetName val="Jan15"/>
      <sheetName val="Feb15"/>
      <sheetName val="summary"/>
      <sheetName val="NOL Allocation November 2013"/>
      <sheetName val="Mar15"/>
      <sheetName val="5.03 E&amp;G RB - 5"/>
    </sheetNames>
    <sheetDataSet>
      <sheetData sheetId="0"/>
      <sheetData sheetId="1">
        <row r="91">
          <cell r="D91">
            <v>9760401506.5440865</v>
          </cell>
        </row>
        <row r="92">
          <cell r="D92">
            <v>-3743804806.4787149</v>
          </cell>
        </row>
        <row r="93">
          <cell r="D93">
            <v>253258620.21125004</v>
          </cell>
        </row>
        <row r="94">
          <cell r="D94">
            <v>-1263932467.6059232</v>
          </cell>
        </row>
        <row r="95">
          <cell r="D95">
            <v>227005241.70228952</v>
          </cell>
        </row>
        <row r="96">
          <cell r="D96">
            <v>-79723632.787103415</v>
          </cell>
        </row>
      </sheetData>
      <sheetData sheetId="2">
        <row r="19">
          <cell r="D19">
            <v>3545031363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Functions"/>
      <sheetName val="PPXLSaveData0"/>
      <sheetName val="PPXLOpen"/>
      <sheetName val="Lead E"/>
      <sheetName val="TY Reg Assets RB"/>
      <sheetName val="BEP 2006 GRC"/>
      <sheetName val="BNP"/>
      <sheetName val="FB Energy"/>
      <sheetName val="$89M Chelan PUD"/>
      <sheetName val="Mint Farm Def"/>
      <sheetName val="Colstrip 1&amp;2 Prepaid"/>
      <sheetName val="$18.5M Chelan"/>
      <sheetName val="Chelan PUD"/>
      <sheetName val="FERC PART 12 STUDY (Baker)"/>
      <sheetName val="LSR Prepaid carrying charges "/>
      <sheetName val="LSR Deferral 4yrs"/>
      <sheetName val="LSR Prepaid Principal"/>
      <sheetName val="LSR Prepaid BPA interest"/>
      <sheetName val="LSR Prepaid Bill Credits"/>
      <sheetName val="BPA Statement"/>
      <sheetName val="Snoq"/>
      <sheetName val="Baker"/>
      <sheetName val="Ferndale"/>
      <sheetName val="T-Grant Baker Deferral"/>
      <sheetName val="T-Grant Snoq Deferral"/>
      <sheetName val="Electron Deferral"/>
      <sheetName val="RB-IS by FERC"/>
    </sheetNames>
    <sheetDataSet>
      <sheetData sheetId="0"/>
      <sheetData sheetId="1"/>
      <sheetData sheetId="2"/>
      <sheetData sheetId="3">
        <row r="14">
          <cell r="B14" t="str">
            <v>BEP</v>
          </cell>
          <cell r="C14">
            <v>2930264.5350000057</v>
          </cell>
          <cell r="D14">
            <v>0</v>
          </cell>
        </row>
        <row r="15">
          <cell r="B15" t="str">
            <v>WESTCOAST PIPELINE CAPACITY - UE-082013 (FB ENERGY)</v>
          </cell>
          <cell r="C15">
            <v>-658518.54083333327</v>
          </cell>
          <cell r="D15">
            <v>-88510.49771296572</v>
          </cell>
        </row>
        <row r="16">
          <cell r="B16" t="str">
            <v>WESTCOAST PIPELINE CAPACITY - UE-100503 (BNP PARIBUS)</v>
          </cell>
          <cell r="C16">
            <v>-902764.31833333336</v>
          </cell>
          <cell r="D16">
            <v>-121339.24959547223</v>
          </cell>
        </row>
        <row r="17">
          <cell r="B17" t="str">
            <v>MINT FARM DEFFRED - UE-090704 (FERC 407.3)</v>
          </cell>
          <cell r="C17">
            <v>16769498.08</v>
          </cell>
          <cell r="D17">
            <v>12550110.290861849</v>
          </cell>
        </row>
        <row r="18">
          <cell r="B18" t="str">
            <v>CHELAN PUD</v>
          </cell>
          <cell r="C18">
            <v>96067432.909166694</v>
          </cell>
          <cell r="D18">
            <v>82196760.579333305</v>
          </cell>
        </row>
        <row r="19">
          <cell r="B19" t="str">
            <v xml:space="preserve">CHELAN - ROCK ISLAND SECURITY DEPOSIT </v>
          </cell>
          <cell r="C19">
            <v>18500000</v>
          </cell>
          <cell r="D19">
            <v>18500000</v>
          </cell>
        </row>
        <row r="20">
          <cell r="B20" t="str">
            <v>COLSTRIP 1&amp;2 (WECo) PREPAYMENT</v>
          </cell>
          <cell r="C20">
            <v>1874999.78</v>
          </cell>
          <cell r="D20">
            <v>750000.00000000524</v>
          </cell>
        </row>
        <row r="21">
          <cell r="B21" t="str">
            <v>FERC PART 12 STUDY NON-CONSTRUCTION COSTS UE-070074 (FERC 407)</v>
          </cell>
          <cell r="C21">
            <v>180950.83</v>
          </cell>
          <cell r="D21">
            <v>0</v>
          </cell>
        </row>
        <row r="22">
          <cell r="B22" t="str">
            <v>LOWER SNAKE RIVER PP TRANSM PRINCIPAL $99.8M</v>
          </cell>
          <cell r="C22">
            <v>68955037.953333333</v>
          </cell>
          <cell r="D22">
            <v>60863794.047865629</v>
          </cell>
        </row>
        <row r="23">
          <cell r="B23" t="str">
            <v>CARRYING CHARGES ON LSR PP TRANSM $99.8M (FERC 407.3)</v>
          </cell>
          <cell r="C23">
            <v>9472052.8500000015</v>
          </cell>
          <cell r="D23">
            <v>8466701.2744743638</v>
          </cell>
        </row>
        <row r="24">
          <cell r="B24" t="str">
            <v>LOWER SNAKE RIVER PLANT DEFERRAL $18.3M  (FERC 407.3)</v>
          </cell>
          <cell r="C24">
            <v>497611.72500000009</v>
          </cell>
          <cell r="D24">
            <v>0.16838636322063394</v>
          </cell>
        </row>
        <row r="25">
          <cell r="B25" t="str">
            <v>BAKER LICENSE UPGRADE DEFERRAL (2013 PCORC) (FERC 407.3)</v>
          </cell>
          <cell r="C25">
            <v>1130665.8299999996</v>
          </cell>
          <cell r="D25">
            <v>151971.71732166281</v>
          </cell>
        </row>
        <row r="26">
          <cell r="B26" t="str">
            <v>SNOQUALMIE LICENSE UPGRADE DEFERRAL (2013 PCORC) (FERC 407.3)</v>
          </cell>
          <cell r="C26">
            <v>4439919.72</v>
          </cell>
          <cell r="D26">
            <v>596763.95810137875</v>
          </cell>
        </row>
        <row r="27">
          <cell r="B27" t="str">
            <v>FERNDALE DEFERRAL (2013 PCORC) (FERC 407.3)</v>
          </cell>
          <cell r="C27">
            <v>10528816.84</v>
          </cell>
          <cell r="D27">
            <v>3917699.507429909</v>
          </cell>
        </row>
        <row r="28">
          <cell r="B28" t="str">
            <v>BAKER TREASURY GRANT DEFERRAL (2014 PCORC) (FERC 407.4)</v>
          </cell>
          <cell r="C28">
            <v>-806046.15000000014</v>
          </cell>
          <cell r="D28">
            <v>-108339.16201768839</v>
          </cell>
        </row>
        <row r="29">
          <cell r="B29" t="str">
            <v>SNOQUALMIE TREASURY GRANT DEFERRAL (2014 PCORC) (FERC 407.4)</v>
          </cell>
          <cell r="C29">
            <v>-2784431.6500000004</v>
          </cell>
          <cell r="D29">
            <v>-374251.50670083519</v>
          </cell>
        </row>
        <row r="30">
          <cell r="B30" t="str">
            <v>ELECTRON UNRECOVERED COST (2014 PCORC) (FERC 407.3)</v>
          </cell>
          <cell r="C30">
            <v>6319201.1350000016</v>
          </cell>
          <cell r="D30">
            <v>1128003.9151666719</v>
          </cell>
        </row>
        <row r="36">
          <cell r="B36" t="str">
            <v>BEP</v>
          </cell>
        </row>
        <row r="37">
          <cell r="B37" t="str">
            <v>WESTCOAST PIPELINE CAPACITY - UE-082013 (FB ENERGY)</v>
          </cell>
        </row>
        <row r="38">
          <cell r="B38" t="str">
            <v>WESTCOAST PIPELINE CAPACITY - UE-100503 (BNP PARIBUS)</v>
          </cell>
        </row>
        <row r="39">
          <cell r="B39" t="str">
            <v>MINT FARM DEFFRED - UE-090704 (FERC 407.3)</v>
          </cell>
          <cell r="C39">
            <v>2885052</v>
          </cell>
          <cell r="D39">
            <v>2885052</v>
          </cell>
        </row>
        <row r="40">
          <cell r="B40" t="str">
            <v>CHELAN PUD</v>
          </cell>
        </row>
        <row r="41">
          <cell r="B41" t="str">
            <v>COLSTRIP 1&amp;2 (WECo) PREPAYMENT</v>
          </cell>
        </row>
        <row r="42">
          <cell r="B42" t="str">
            <v>FERC PART 12 STUDY NON-CONSTRUCTION COSTS UE-070074 (FERC 407)</v>
          </cell>
          <cell r="C42">
            <v>241268.10200000007</v>
          </cell>
          <cell r="D42">
            <v>0</v>
          </cell>
        </row>
        <row r="43">
          <cell r="B43" t="str">
            <v>LOWER SNAKE RIVER PP TRANSM PRINCIPAL $99.8M</v>
          </cell>
        </row>
        <row r="44">
          <cell r="B44" t="str">
            <v>CARRYING CHARGES ON LSR PP TRANSM $99.8M (FERC 407.3)</v>
          </cell>
          <cell r="C44">
            <v>687420</v>
          </cell>
          <cell r="D44">
            <v>687420</v>
          </cell>
        </row>
        <row r="45">
          <cell r="B45" t="str">
            <v>LOWER SNAKE RIVER PLANT DEFERRAL $18.3M  (FERC 407.3)</v>
          </cell>
          <cell r="C45">
            <v>2624776.7668181919</v>
          </cell>
          <cell r="D45">
            <v>0</v>
          </cell>
        </row>
        <row r="46">
          <cell r="B46" t="str">
            <v>BAKER LICENSE UPGRADE DEFERRAL (2013 PCORC) (FERC 407.3)</v>
          </cell>
          <cell r="C46">
            <v>673351.60905598255</v>
          </cell>
          <cell r="D46">
            <v>561126.34087998548</v>
          </cell>
        </row>
        <row r="47">
          <cell r="B47" t="str">
            <v>SNOQUALMIE LICENSE UPGRADE DEFERRAL (2013 PCORC) (FERC 407.3)</v>
          </cell>
          <cell r="C47">
            <v>2644123.3835876156</v>
          </cell>
          <cell r="D47">
            <v>2203436.1529896799</v>
          </cell>
        </row>
        <row r="48">
          <cell r="B48" t="str">
            <v>FERNDALE DEFERRAL (2013 PCORC) (FERC 407.3)</v>
          </cell>
          <cell r="C48">
            <v>4520422.508572978</v>
          </cell>
          <cell r="D48">
            <v>4520422.508572978</v>
          </cell>
        </row>
        <row r="49">
          <cell r="B49" t="str">
            <v>BAKER TREASURY GRANT DEFERRAL (2014 PCORC) (FERC 407.4)</v>
          </cell>
          <cell r="C49">
            <v>-480025.82555530063</v>
          </cell>
          <cell r="D49">
            <v>-400021.52129608387</v>
          </cell>
        </row>
        <row r="50">
          <cell r="B50" t="str">
            <v>SNOQUALMIE TREASURY GRANT DEFERRAL (2014 PCORC) (FERC 407.4)</v>
          </cell>
          <cell r="C50">
            <v>-1658222.0604590874</v>
          </cell>
          <cell r="D50">
            <v>-1381851.7170492394</v>
          </cell>
        </row>
        <row r="51">
          <cell r="B51" t="str">
            <v>ELECTRON UNRECOVERED COST (2014 PCORC) (FERC 407.3)</v>
          </cell>
          <cell r="C51">
            <v>3394820.4299999997</v>
          </cell>
          <cell r="D51">
            <v>3786307.8400000003</v>
          </cell>
        </row>
        <row r="64">
          <cell r="C64">
            <v>-58945766.064063393</v>
          </cell>
        </row>
        <row r="65">
          <cell r="C65">
            <v>14860439.578644209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98">
          <cell r="J98"/>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Sept 16 Elect GRC"/>
      <sheetName val="IS Allocated"/>
      <sheetName val="Account 4101 "/>
      <sheetName val="Account 4111"/>
    </sheetNames>
    <sheetDataSet>
      <sheetData sheetId="0">
        <row r="12">
          <cell r="D12">
            <v>413817759.0187788</v>
          </cell>
        </row>
        <row r="17">
          <cell r="D17">
            <v>64183937.829999998</v>
          </cell>
        </row>
        <row r="24">
          <cell r="C24">
            <v>581832300.8599999</v>
          </cell>
        </row>
        <row r="25">
          <cell r="C25">
            <v>-399835386.18000001</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Depr Rates Sept 07"/>
      <sheetName val="Depreciation Recon"/>
      <sheetName val="Lead E"/>
      <sheetName val="Electric"/>
      <sheetName val="Elec Study Rpt"/>
      <sheetName val="Common"/>
      <sheetName val="Comm Study Rpt"/>
      <sheetName val="DFIT Depr Stdy 8.06E"/>
      <sheetName val="403.1 Depr"/>
      <sheetName val="Elec Accretion"/>
      <sheetName val="Depr Oct15-Sep16 Revised"/>
      <sheetName val="CC300"/>
      <sheetName val="RB&amp;ISbyFERC"/>
    </sheetNames>
    <sheetDataSet>
      <sheetData sheetId="0"/>
      <sheetData sheetId="1"/>
      <sheetData sheetId="2">
        <row r="12">
          <cell r="C12">
            <v>249419038.22</v>
          </cell>
        </row>
        <row r="13">
          <cell r="C13">
            <v>15207047.519823998</v>
          </cell>
        </row>
        <row r="14">
          <cell r="C14">
            <v>55937.910695999999</v>
          </cell>
        </row>
        <row r="15">
          <cell r="C15">
            <v>29770695.186882004</v>
          </cell>
        </row>
        <row r="18">
          <cell r="C18">
            <v>1352124.73</v>
          </cell>
        </row>
        <row r="19">
          <cell r="C19">
            <v>1476016.7034779999</v>
          </cell>
          <cell r="D19">
            <v>0</v>
          </cell>
        </row>
        <row r="25">
          <cell r="C25">
            <v>1424661.0825685868</v>
          </cell>
        </row>
        <row r="26">
          <cell r="C26">
            <v>1148003.003511413</v>
          </cell>
          <cell r="D26">
            <v>0</v>
          </cell>
        </row>
        <row r="30">
          <cell r="C30">
            <v>846819.31998199993</v>
          </cell>
          <cell r="D30">
            <v>539848.88443131489</v>
          </cell>
        </row>
      </sheetData>
      <sheetData sheetId="3"/>
      <sheetData sheetId="4"/>
      <sheetData sheetId="5"/>
      <sheetData sheetId="6"/>
      <sheetData sheetId="7"/>
      <sheetData sheetId="8"/>
      <sheetData sheetId="9"/>
      <sheetData sheetId="10"/>
      <sheetData sheetId="11"/>
      <sheetData sheetId="12">
        <row r="482">
          <cell r="I482">
            <v>-20954003.982056607</v>
          </cell>
          <cell r="J482">
            <v>41908007.964113213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Depr Rates Sept 07"/>
      <sheetName val="Depreciation Recon"/>
      <sheetName val="LEAD SHEET"/>
      <sheetName val="Dep Summary"/>
      <sheetName val="COLSTRIP CALCS"/>
      <sheetName val="Reg Asset Adjustment"/>
      <sheetName val="Electric"/>
      <sheetName val="Elec Study Rpt"/>
      <sheetName val="Common"/>
      <sheetName val="Comm Study Rpt"/>
      <sheetName val="DFIT Depr Stdy 8.06E"/>
      <sheetName val="403.1 Depr"/>
      <sheetName val="Elec Accretion"/>
      <sheetName val="Depr Oct15-Sep16 Revised"/>
      <sheetName val="CC300"/>
      <sheetName val="RB&amp;ISbyFERC"/>
    </sheetNames>
    <sheetDataSet>
      <sheetData sheetId="0"/>
      <sheetData sheetId="1"/>
      <sheetData sheetId="2"/>
      <sheetData sheetId="3">
        <row r="12">
          <cell r="D12">
            <v>286357197.59971225</v>
          </cell>
        </row>
        <row r="13">
          <cell r="D13">
            <v>13232378.856776908</v>
          </cell>
        </row>
        <row r="14">
          <cell r="D14">
            <v>55937.910695999999</v>
          </cell>
        </row>
        <row r="15">
          <cell r="D15">
            <v>29770695.186882004</v>
          </cell>
        </row>
        <row r="18">
          <cell r="D18">
            <v>1739118.2629811203</v>
          </cell>
        </row>
        <row r="25">
          <cell r="D25">
            <v>1813988.5566141573</v>
          </cell>
        </row>
        <row r="40">
          <cell r="E40">
            <v>5741543.7767015649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3 Yr Aver. Accruals-Elec"/>
      <sheetName val="3 Yr Aver. Accruals-Gas"/>
      <sheetName val=" 3 Yr Aver. Payments-Elec"/>
      <sheetName val=" 3 Yr Aver. Payments-Gas"/>
      <sheetName val="ZO12 12ME 925 Group 9-2016"/>
      <sheetName val="ZO12 12ME 925 Group 9-2015"/>
      <sheetName val="ZO12 12ME 925 Group 9-2014"/>
      <sheetName val="Alloc. Methods 6-2015"/>
      <sheetName val="Alloc. Methods 6-2014"/>
      <sheetName val="6.07E &amp; 6"/>
    </sheetNames>
    <sheetDataSet>
      <sheetData sheetId="0">
        <row r="13">
          <cell r="C13">
            <v>162500</v>
          </cell>
          <cell r="D13">
            <v>76666.666666666672</v>
          </cell>
        </row>
        <row r="14">
          <cell r="C14">
            <v>300359.45390300005</v>
          </cell>
          <cell r="D14">
            <v>279442.50856566668</v>
          </cell>
        </row>
      </sheetData>
      <sheetData sheetId="1">
        <row r="13">
          <cell r="C13">
            <v>190500</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Main wp"/>
      <sheetName val="CE Allocation"/>
      <sheetName val="Utility-Non-utility"/>
      <sheetName val="3.04 &amp; 4.04 Lead"/>
      <sheetName val="Sheet5"/>
      <sheetName val="6.10E &amp; 6.10G D&amp;O Ins 17GRC"/>
    </sheetNames>
    <sheetDataSet>
      <sheetData sheetId="0">
        <row r="12">
          <cell r="C12">
            <v>117054.47314375022</v>
          </cell>
          <cell r="D12">
            <v>92221.976429313785</v>
          </cell>
        </row>
      </sheetData>
      <sheetData sheetId="1">
        <row r="12">
          <cell r="C12">
            <v>84381.550163340158</v>
          </cell>
        </row>
      </sheetData>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Change in InterestGas"/>
      <sheetName val="Change in InterestElec"/>
      <sheetName val="SAP"/>
      <sheetName val="E&amp;G Split"/>
      <sheetName val="2016PO "/>
      <sheetName val="2015PO"/>
      <sheetName val=" Nov-Dec 2013"/>
      <sheetName val=" Jul - Oct 2013"/>
      <sheetName val="2015IntRates"/>
      <sheetName val="2016IntRates"/>
      <sheetName val="Balance Calculation"/>
      <sheetName val="13.11E &amp; 13"/>
    </sheetNames>
    <sheetDataSet>
      <sheetData sheetId="0">
        <row r="14">
          <cell r="D14">
            <v>176605.63064400846</v>
          </cell>
        </row>
      </sheetData>
      <sheetData sheetId="1">
        <row r="14">
          <cell r="D14">
            <v>50136.587352658156</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Rate Year - Electric"/>
      <sheetName val="Charged to IS - Elec "/>
      <sheetName val="Acct 18700041 "/>
    </sheetNames>
    <sheetDataSet>
      <sheetData sheetId="0">
        <row r="14">
          <cell r="C14">
            <v>1736007.1099999975</v>
          </cell>
        </row>
        <row r="15">
          <cell r="C15">
            <v>-353278.49999999959</v>
          </cell>
        </row>
        <row r="18">
          <cell r="C18">
            <v>-4002173.9600000004</v>
          </cell>
        </row>
        <row r="19">
          <cell r="C19">
            <v>328215.27999999997</v>
          </cell>
        </row>
        <row r="26">
          <cell r="C26">
            <v>-500359.08000000007</v>
          </cell>
        </row>
      </sheetData>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Summary Prop &amp; Liab Ins"/>
      <sheetName val="SAP Download"/>
      <sheetName val="Liability Ins - RY"/>
      <sheetName val="Proposal"/>
      <sheetName val="Prop Ins - RY"/>
      <sheetName val="Freddy1 Ins"/>
      <sheetName val="Colstrip Ins "/>
      <sheetName val="Alloc Factors for calc"/>
      <sheetName val="6.14E &amp; 6"/>
    </sheetNames>
    <sheetDataSet>
      <sheetData sheetId="0">
        <row r="11">
          <cell r="C11">
            <v>4178643.7106927508</v>
          </cell>
          <cell r="D11">
            <v>4124900.4153809994</v>
          </cell>
        </row>
        <row r="12">
          <cell r="C12">
            <v>2006229.4154838233</v>
          </cell>
          <cell r="D12">
            <v>1958207.9099557111</v>
          </cell>
        </row>
      </sheetData>
      <sheetData sheetId="1">
        <row r="11">
          <cell r="C11">
            <v>243605.91699100003</v>
          </cell>
        </row>
      </sheetData>
      <sheetData sheetId="2"/>
      <sheetData sheetId="3"/>
      <sheetData sheetId="4"/>
      <sheetData sheetId="5"/>
      <sheetData sheetId="6">
        <row r="40">
          <cell r="D40">
            <v>2763777.09</v>
          </cell>
        </row>
      </sheetData>
      <sheetData sheetId="7"/>
      <sheetData sheetId="8"/>
      <sheetData sheetId="9"/>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Qualified - Actual"/>
      <sheetName val="Qual TY SAP "/>
      <sheetName val="Qualified - Restated"/>
      <sheetName val="Restated 4Y Average"/>
      <sheetName val="Cash Contrib"/>
      <sheetName val="Sheet1"/>
      <sheetName val="Alloc. Method"/>
      <sheetName val="6.15E &amp; 6"/>
    </sheetNames>
    <sheetDataSet>
      <sheetData sheetId="0">
        <row r="14">
          <cell r="C14">
            <v>6111576.3846948147</v>
          </cell>
          <cell r="D14">
            <v>7934569.3772687921</v>
          </cell>
        </row>
      </sheetData>
      <sheetData sheetId="1">
        <row r="14">
          <cell r="C14">
            <v>2950666.1786130364</v>
          </cell>
        </row>
      </sheetData>
      <sheetData sheetId="2"/>
      <sheetData sheetId="3"/>
      <sheetData sheetId="4"/>
      <sheetData sheetId="5"/>
      <sheetData sheetId="6"/>
      <sheetData sheetId="7"/>
      <sheetData sheetId="8"/>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TY Excise Tax"/>
      <sheetName val="Sept 16 Ex Tax Trued Up in Oct"/>
      <sheetName val="TY Filing Fee"/>
      <sheetName val="E Filing Fee Restated"/>
      <sheetName val="G Filing Fee Restated"/>
      <sheetName val="IS Sept 2016"/>
      <sheetName val="Order Group 456"/>
      <sheetName val="6.22E &amp; 6"/>
    </sheetNames>
    <sheetDataSet>
      <sheetData sheetId="0">
        <row r="12">
          <cell r="C12">
            <v>84291892.014198005</v>
          </cell>
          <cell r="D12">
            <v>84328016.972460017</v>
          </cell>
        </row>
        <row r="13">
          <cell r="C13">
            <v>4386765.2</v>
          </cell>
          <cell r="D13">
            <v>4334851.9246400008</v>
          </cell>
        </row>
      </sheetData>
      <sheetData sheetId="1">
        <row r="12">
          <cell r="C12">
            <v>33506393.815802004</v>
          </cell>
        </row>
      </sheetData>
      <sheetData sheetId="2"/>
      <sheetData sheetId="3"/>
      <sheetData sheetId="4"/>
      <sheetData sheetId="5"/>
      <sheetData sheetId="6"/>
      <sheetData sheetId="7"/>
      <sheetData sheetId="8"/>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Rev Req Summary"/>
      <sheetName val="Sch 140 Prop Taxes"/>
      <sheetName val="Expense Orders"/>
      <sheetName val="Conv Factor"/>
    </sheetNames>
    <sheetDataSet>
      <sheetData sheetId="0">
        <row r="11">
          <cell r="E11">
            <v>102287066.92</v>
          </cell>
        </row>
        <row r="12">
          <cell r="E12">
            <v>58785500.5</v>
          </cell>
        </row>
        <row r="13">
          <cell r="E13">
            <v>84690569.569999993</v>
          </cell>
        </row>
        <row r="14">
          <cell r="E14">
            <v>13257.679999999998</v>
          </cell>
        </row>
        <row r="15">
          <cell r="E15">
            <v>17088658.920000002</v>
          </cell>
        </row>
        <row r="16">
          <cell r="E16">
            <v>-72579362.799999982</v>
          </cell>
        </row>
        <row r="17">
          <cell r="E17">
            <v>-2081681.16</v>
          </cell>
        </row>
        <row r="18">
          <cell r="E18">
            <v>1841461.71</v>
          </cell>
        </row>
        <row r="19">
          <cell r="E19">
            <v>4599593.6399999997</v>
          </cell>
        </row>
        <row r="20">
          <cell r="E20">
            <v>-1563408.86</v>
          </cell>
        </row>
        <row r="21">
          <cell r="E21">
            <v>-257285.07999999996</v>
          </cell>
        </row>
        <row r="31">
          <cell r="E31">
            <v>-97540765.159999996</v>
          </cell>
        </row>
        <row r="32">
          <cell r="E32">
            <v>-55961766.059999995</v>
          </cell>
        </row>
        <row r="33">
          <cell r="E33">
            <v>-80920052.489999995</v>
          </cell>
        </row>
        <row r="34">
          <cell r="E34">
            <v>-16296500.52</v>
          </cell>
        </row>
        <row r="35">
          <cell r="E35">
            <v>69268219.670000002</v>
          </cell>
        </row>
        <row r="36">
          <cell r="E36">
            <v>138514.25</v>
          </cell>
        </row>
        <row r="37">
          <cell r="E37">
            <v>-979067.74</v>
          </cell>
        </row>
        <row r="38">
          <cell r="E38">
            <v>-41429.58</v>
          </cell>
        </row>
        <row r="39">
          <cell r="E39">
            <v>-11150.8</v>
          </cell>
        </row>
        <row r="40">
          <cell r="E40">
            <v>226820.57</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3-YR AVERAGE-ELEC"/>
      <sheetName val="NetWriteoffs-Elec"/>
      <sheetName val="BS Acct-Elec"/>
      <sheetName val="SOE 12ME 5-2012"/>
      <sheetName val="SOE 12ME 5-2013"/>
      <sheetName val="SOE 12ME 5-2014"/>
      <sheetName val="SOE 12ME 5-2015"/>
      <sheetName val="SOE 12ME 5-2016"/>
      <sheetName val="904E Uncollectible 5YE 9-2016"/>
    </sheetNames>
    <sheetDataSet>
      <sheetData sheetId="0">
        <row r="14">
          <cell r="B14" t="str">
            <v>12 ME 9/30/2013 AND 5/31/2013</v>
          </cell>
          <cell r="C14">
            <v>13270215.639999984</v>
          </cell>
          <cell r="D14">
            <v>2127321374.8900001</v>
          </cell>
          <cell r="E14">
            <v>29723813.52</v>
          </cell>
          <cell r="F14">
            <v>3626759.2399999974</v>
          </cell>
          <cell r="G14">
            <v>352508.76</v>
          </cell>
        </row>
        <row r="15">
          <cell r="B15" t="str">
            <v>12 ME 9/30/2015 AND 5/31/2015</v>
          </cell>
          <cell r="C15">
            <v>13381338.190000001</v>
          </cell>
          <cell r="D15">
            <v>2006366630.26</v>
          </cell>
          <cell r="E15">
            <v>33059229.91</v>
          </cell>
          <cell r="F15">
            <v>65827878.809999995</v>
          </cell>
          <cell r="G15">
            <v>321888.03000000003</v>
          </cell>
        </row>
        <row r="16">
          <cell r="B16" t="str">
            <v>12 ME 9/30/2016 AND 5/31/2016</v>
          </cell>
          <cell r="C16">
            <v>17507852.960000001</v>
          </cell>
          <cell r="D16">
            <v>2204873602.5399995</v>
          </cell>
          <cell r="E16">
            <v>51568623.43</v>
          </cell>
          <cell r="F16">
            <v>-4047083.2700000033</v>
          </cell>
          <cell r="G16">
            <v>323282.82</v>
          </cell>
        </row>
        <row r="20">
          <cell r="D20">
            <v>2395339771.079999</v>
          </cell>
          <cell r="E20">
            <v>201125741.739999</v>
          </cell>
          <cell r="F20">
            <v>47841338.950000003</v>
          </cell>
          <cell r="G20">
            <v>324382.2</v>
          </cell>
        </row>
        <row r="26">
          <cell r="H26">
            <v>16407059.630000001</v>
          </cell>
        </row>
      </sheetData>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Incntv Pay - Allocated Electric"/>
      <sheetName val="Incntv Pay - Allocated Gas"/>
      <sheetName val="Electric wage increase ratios"/>
      <sheetName val="Gas wage increase ratios"/>
      <sheetName val="4 Yr Avg 2016 "/>
      <sheetName val="Report 2016"/>
      <sheetName val="4 Year Avg 2012"/>
      <sheetName val="4 Year Avg 2011"/>
      <sheetName val="4 Year Avg 2010"/>
      <sheetName val="Incent &amp; Related PR Tax - TY"/>
      <sheetName val="Manual Clearing"/>
      <sheetName val="Alloc Methods"/>
      <sheetName val="Total Payroll Taxes"/>
      <sheetName val="Payroll Taxes DL"/>
      <sheetName val="SAP DL"/>
      <sheetName val="PR Taxes Alloc"/>
      <sheetName val="Incentive Alloc"/>
      <sheetName val="13.09E &amp; 13"/>
    </sheetNames>
    <sheetDataSet>
      <sheetData sheetId="0">
        <row r="13">
          <cell r="C13">
            <v>330277.21861834492</v>
          </cell>
          <cell r="D13">
            <v>340657.03287060215</v>
          </cell>
        </row>
        <row r="14">
          <cell r="C14">
            <v>1539502.5690667895</v>
          </cell>
          <cell r="D14">
            <v>1565461.22893321</v>
          </cell>
        </row>
        <row r="15">
          <cell r="C15">
            <v>675496.77630054636</v>
          </cell>
          <cell r="D15">
            <v>692669.04950833111</v>
          </cell>
        </row>
        <row r="16">
          <cell r="C16">
            <v>1814058.848417453</v>
          </cell>
          <cell r="D16">
            <v>1842545.3924215012</v>
          </cell>
        </row>
        <row r="17">
          <cell r="C17">
            <v>831692.0644458835</v>
          </cell>
          <cell r="D17">
            <v>842186.36225123261</v>
          </cell>
        </row>
        <row r="18">
          <cell r="C18">
            <v>104449.15828380465</v>
          </cell>
          <cell r="D18">
            <v>107443.71395013717</v>
          </cell>
        </row>
        <row r="19">
          <cell r="C19">
            <v>15752.022461405353</v>
          </cell>
          <cell r="D19">
            <v>16130.092834759536</v>
          </cell>
        </row>
        <row r="20">
          <cell r="C20">
            <v>2049529.5019409845</v>
          </cell>
          <cell r="D20">
            <v>2112756.4067951208</v>
          </cell>
        </row>
        <row r="23">
          <cell r="C23">
            <v>462245.76916034456</v>
          </cell>
        </row>
      </sheetData>
      <sheetData sheetId="1">
        <row r="13">
          <cell r="C13">
            <v>7065.992857014975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Wages support=&gt;"/>
      <sheetName val="Summary by IS Category"/>
      <sheetName val="Wage Data Payroll "/>
      <sheetName val="Non-Union Wage Incr"/>
      <sheetName val="Union Wage Inc"/>
      <sheetName val="Manual JEs Reclass "/>
      <sheetName val="Sal by FERC"/>
      <sheetName val="Labor by Employee Grp"/>
      <sheetName val="12ME Sept 2016 Inc Alloc"/>
      <sheetName val="3.05 Lead"/>
      <sheetName val="Payroll Taxes =&gt;"/>
      <sheetName val="TY Payroll Tax Alloc "/>
      <sheetName val="SAP Payroll Data"/>
      <sheetName val="PR Tax Rates "/>
      <sheetName val="PR Taxes"/>
      <sheetName val="FICA"/>
      <sheetName val="SUTA"/>
      <sheetName val="FUTA"/>
      <sheetName val="Employee Salary Payroll Tax "/>
      <sheetName val="13.16E &amp; 13"/>
    </sheetNames>
    <sheetDataSet>
      <sheetData sheetId="0">
        <row r="14">
          <cell r="E14">
            <v>4380759.8377278037</v>
          </cell>
          <cell r="F14">
            <v>4511306.4808920929</v>
          </cell>
        </row>
        <row r="15">
          <cell r="E15">
            <v>20419279.131090328</v>
          </cell>
          <cell r="F15">
            <v>20731146.497479629</v>
          </cell>
        </row>
        <row r="16">
          <cell r="E16">
            <v>8959227.0002665874</v>
          </cell>
          <cell r="F16">
            <v>9172906.2088294737</v>
          </cell>
        </row>
        <row r="17">
          <cell r="E17">
            <v>24060543.133236647</v>
          </cell>
          <cell r="F17">
            <v>24400551.446550019</v>
          </cell>
        </row>
        <row r="18">
          <cell r="E18">
            <v>11030663.555404065</v>
          </cell>
          <cell r="F18">
            <v>11152893.808019754</v>
          </cell>
        </row>
        <row r="19">
          <cell r="E19">
            <v>1385463.025825866</v>
          </cell>
          <cell r="F19">
            <v>1422849.8356199341</v>
          </cell>
        </row>
        <row r="20">
          <cell r="E20">
            <v>209317.86788684683</v>
          </cell>
          <cell r="F20">
            <v>213614.34113897898</v>
          </cell>
        </row>
        <row r="21">
          <cell r="E21">
            <v>27183671.346791636</v>
          </cell>
          <cell r="F21">
            <v>27978916.317603432</v>
          </cell>
        </row>
        <row r="24">
          <cell r="E24">
            <v>6486464.3989615748</v>
          </cell>
          <cell r="F24">
            <v>6619997.5749932379</v>
          </cell>
          <cell r="G24">
            <v>133533.17603166337</v>
          </cell>
        </row>
      </sheetData>
      <sheetData sheetId="1">
        <row r="14">
          <cell r="E14">
            <v>98066.872882425538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Non Union Wage"/>
      <sheetName val="Union Wage Inc "/>
      <sheetName val="Inv Plan"/>
      <sheetName val="13.17E &amp; 13"/>
    </sheetNames>
    <sheetDataSet>
      <sheetData sheetId="0">
        <row r="13">
          <cell r="D13">
            <v>7483207.9381920006</v>
          </cell>
        </row>
        <row r="14">
          <cell r="C14">
            <v>2.98E-2</v>
          </cell>
          <cell r="D14">
            <v>222999.59655812162</v>
          </cell>
        </row>
        <row r="18">
          <cell r="D18">
            <v>2733666.2376000001</v>
          </cell>
        </row>
        <row r="19">
          <cell r="C19">
            <v>6.875E-3</v>
          </cell>
          <cell r="D19">
            <v>18793.955383500001</v>
          </cell>
        </row>
        <row r="23">
          <cell r="D23">
            <v>1013154.9303599999</v>
          </cell>
        </row>
        <row r="24">
          <cell r="C24">
            <v>0.03</v>
          </cell>
          <cell r="D24">
            <v>30394.647910799995</v>
          </cell>
        </row>
        <row r="29">
          <cell r="C29">
            <v>0.54659120593235488</v>
          </cell>
        </row>
      </sheetData>
      <sheetData sheetId="1">
        <row r="14">
          <cell r="D14">
            <v>3612889.2418080005</v>
          </cell>
        </row>
      </sheetData>
      <sheetData sheetId="2"/>
      <sheetData sheetId="3"/>
      <sheetData sheetId="4"/>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 Summary"/>
      <sheetName val="Average Costs Cal"/>
      <sheetName val="Additional Costs"/>
      <sheetName val="TY Headcounts "/>
      <sheetName val="Flex Credits"/>
      <sheetName val="SAP Test Yr"/>
      <sheetName val="Allocation Method"/>
      <sheetName val="6.18E &amp; 6"/>
    </sheetNames>
    <sheetDataSet>
      <sheetData sheetId="0">
        <row r="13">
          <cell r="D13">
            <v>15271331.540317921</v>
          </cell>
        </row>
        <row r="14">
          <cell r="D14">
            <v>9200243.6631220803</v>
          </cell>
        </row>
        <row r="17">
          <cell r="C17">
            <v>0.54659120593235488</v>
          </cell>
        </row>
        <row r="18">
          <cell r="D18">
            <v>13188639.070766069</v>
          </cell>
        </row>
      </sheetData>
      <sheetData sheetId="1">
        <row r="14">
          <cell r="D14">
            <v>7372991.6214820798</v>
          </cell>
        </row>
      </sheetData>
      <sheetData sheetId="2"/>
      <sheetData sheetId="3"/>
      <sheetData sheetId="4"/>
      <sheetData sheetId="5"/>
      <sheetData sheetId="6"/>
      <sheetData sheetId="7"/>
      <sheetData sheetId="8"/>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New Svc Agmt --&gt;"/>
      <sheetName val="Summary"/>
      <sheetName val="BDHV"/>
      <sheetName val="BillMatrix-NonCard Test Year"/>
      <sheetName val="CheckFreePay Test Year"/>
      <sheetName val="Deferral --&gt;"/>
      <sheetName val="Deferral"/>
      <sheetName val="Estimate"/>
      <sheetName val="Allocation Method"/>
      <sheetName val="6.20E &amp; 6"/>
    </sheetNames>
    <sheetDataSet>
      <sheetData sheetId="0">
        <row r="12">
          <cell r="C12">
            <v>1047962.0507459998</v>
          </cell>
          <cell r="D12">
            <v>835892.12481449998</v>
          </cell>
        </row>
        <row r="17">
          <cell r="D17">
            <v>2476040.8475628183</v>
          </cell>
        </row>
        <row r="18">
          <cell r="C18">
            <v>0</v>
          </cell>
        </row>
      </sheetData>
      <sheetData sheetId="1">
        <row r="12">
          <cell r="C12">
            <v>755448.80925399996</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Summary E"/>
      <sheetName val="Legal costs E"/>
    </sheetNames>
    <sheetDataSet>
      <sheetData sheetId="0"/>
      <sheetData sheetId="1">
        <row r="19">
          <cell r="D19">
            <v>-485780</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Rev Req Summary"/>
      <sheetName val="PTC Liability"/>
      <sheetName val="95A Treas Grant Amort"/>
      <sheetName val="456 Decoupling"/>
    </sheetNames>
    <sheetDataSet>
      <sheetData sheetId="0">
        <row r="15">
          <cell r="D15">
            <v>6318302.8499999996</v>
          </cell>
        </row>
        <row r="16">
          <cell r="D16">
            <v>54955983.910000004</v>
          </cell>
        </row>
        <row r="17">
          <cell r="D17">
            <v>29011926</v>
          </cell>
        </row>
        <row r="18">
          <cell r="D18">
            <v>-29745544</v>
          </cell>
        </row>
        <row r="19">
          <cell r="D19">
            <v>-82720471.5</v>
          </cell>
        </row>
        <row r="20">
          <cell r="D20">
            <v>146.57999999999811</v>
          </cell>
        </row>
        <row r="21">
          <cell r="D21">
            <v>7446504.8799999999</v>
          </cell>
        </row>
        <row r="22">
          <cell r="D22">
            <v>-3902999.6601178469</v>
          </cell>
        </row>
        <row r="27">
          <cell r="D27">
            <v>-7446504.8799999999</v>
          </cell>
        </row>
        <row r="28">
          <cell r="D28">
            <v>11994134.030000001</v>
          </cell>
        </row>
        <row r="29">
          <cell r="D29">
            <v>-32491234.77</v>
          </cell>
        </row>
        <row r="30">
          <cell r="D30">
            <v>17718442.649999999</v>
          </cell>
        </row>
        <row r="36">
          <cell r="D36">
            <v>-22899640</v>
          </cell>
        </row>
        <row r="37">
          <cell r="D37">
            <v>40241934.120000005</v>
          </cell>
        </row>
      </sheetData>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6.02E Temp Norm 17GRC"/>
    </sheetNames>
    <sheetDataSet>
      <sheetData sheetId="0">
        <row r="12">
          <cell r="C12">
            <v>1709553137</v>
          </cell>
        </row>
        <row r="13">
          <cell r="C13">
            <v>2071074561</v>
          </cell>
        </row>
        <row r="14">
          <cell r="C14">
            <v>2293718205</v>
          </cell>
        </row>
        <row r="15">
          <cell r="C15">
            <v>2264400226</v>
          </cell>
        </row>
        <row r="16">
          <cell r="C16">
            <v>1926704963</v>
          </cell>
        </row>
        <row r="17">
          <cell r="C17">
            <v>1958545780</v>
          </cell>
        </row>
        <row r="18">
          <cell r="C18">
            <v>1641032699</v>
          </cell>
        </row>
        <row r="19">
          <cell r="C19">
            <v>1626432632</v>
          </cell>
        </row>
        <row r="20">
          <cell r="C20">
            <v>1597200862</v>
          </cell>
        </row>
        <row r="21">
          <cell r="C21">
            <v>1647778275</v>
          </cell>
        </row>
        <row r="22">
          <cell r="C22">
            <v>1712297533</v>
          </cell>
        </row>
        <row r="23">
          <cell r="C23">
            <v>1559199266</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Weather Norm. Summary"/>
      <sheetName val="Adjustment"/>
      <sheetName val="Variable Cost Production Factor"/>
    </sheetNames>
    <sheetDataSet>
      <sheetData sheetId="0"/>
      <sheetData sheetId="1">
        <row r="14">
          <cell r="D14">
            <v>1773384763.7096453</v>
          </cell>
        </row>
        <row r="15">
          <cell r="D15">
            <v>2023200985.8890421</v>
          </cell>
        </row>
        <row r="16">
          <cell r="D16">
            <v>2338333255.0581527</v>
          </cell>
        </row>
        <row r="17">
          <cell r="D17">
            <v>2308995643.5126944</v>
          </cell>
        </row>
        <row r="18">
          <cell r="D18">
            <v>2022391040.662766</v>
          </cell>
        </row>
        <row r="19">
          <cell r="D19">
            <v>2012348657.2991226</v>
          </cell>
        </row>
        <row r="20">
          <cell r="D20">
            <v>1722339991.2558239</v>
          </cell>
        </row>
        <row r="21">
          <cell r="D21">
            <v>1650865087.7541413</v>
          </cell>
        </row>
        <row r="22">
          <cell r="D22">
            <v>1581091453.7400358</v>
          </cell>
        </row>
        <row r="23">
          <cell r="D23">
            <v>1645122246.7049186</v>
          </cell>
        </row>
        <row r="24">
          <cell r="D24">
            <v>1683439145.9613144</v>
          </cell>
        </row>
        <row r="25">
          <cell r="D25">
            <v>1572781669.7643468</v>
          </cell>
        </row>
        <row r="28">
          <cell r="E28">
            <v>30342027.058504373</v>
          </cell>
        </row>
        <row r="29">
          <cell r="E29">
            <v>2348581.4038942917</v>
          </cell>
        </row>
        <row r="30">
          <cell r="E30">
            <v>259844.87765631173</v>
          </cell>
        </row>
        <row r="31">
          <cell r="E31">
            <v>-30377.788362872634</v>
          </cell>
        </row>
        <row r="32">
          <cell r="E32">
            <v>0</v>
          </cell>
        </row>
        <row r="33">
          <cell r="E33">
            <v>36096.11370170481</v>
          </cell>
        </row>
        <row r="34">
          <cell r="E34">
            <v>243110.74574355647</v>
          </cell>
        </row>
        <row r="35">
          <cell r="E35">
            <v>7649.162224561248</v>
          </cell>
        </row>
        <row r="36">
          <cell r="E36">
            <v>8422.9252188172595</v>
          </cell>
        </row>
        <row r="37">
          <cell r="E37">
            <v>-13647.181252848119</v>
          </cell>
        </row>
        <row r="38">
          <cell r="E38">
            <v>6197.3419463974533</v>
          </cell>
        </row>
      </sheetData>
      <sheetData sheetId="2"/>
      <sheetData sheetId="3">
        <row r="29">
          <cell r="G29">
            <v>3.6321942459646706E-2</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Environ. Rem. Summary"/>
      <sheetName val="Environ. Rem. Adjustment"/>
      <sheetName val="Table2. Env DefCost&amp;Rec."/>
    </sheetNames>
    <sheetDataSet>
      <sheetData sheetId="0"/>
      <sheetData sheetId="1">
        <row r="19">
          <cell r="C19">
            <v>4252202.91</v>
          </cell>
        </row>
      </sheetData>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Summary Data Electric &amp; Gas"/>
      <sheetName val="Leashold Improvements"/>
      <sheetName val="IRS DFIT"/>
      <sheetName val="Plant and Tax Data"/>
      <sheetName val="Tax Depreciation Rates"/>
      <sheetName val="South King Plant"/>
      <sheetName val="Allocation Method"/>
      <sheetName val="Common Depr Rates"/>
      <sheetName val="6.21E &amp; 6"/>
    </sheetNames>
    <sheetDataSet>
      <sheetData sheetId="0">
        <row r="16">
          <cell r="D16">
            <v>2565876.3629749999</v>
          </cell>
          <cell r="E16">
            <v>20603887.664999999</v>
          </cell>
        </row>
        <row r="17">
          <cell r="D17">
            <v>2296590.5674166665</v>
          </cell>
          <cell r="E17">
            <v>0</v>
          </cell>
        </row>
        <row r="18">
          <cell r="D18">
            <v>-41074.731625878645</v>
          </cell>
          <cell r="E18">
            <v>-1199152.1377783362</v>
          </cell>
        </row>
        <row r="19">
          <cell r="D19">
            <v>31060.331498886484</v>
          </cell>
          <cell r="E19">
            <v>0</v>
          </cell>
        </row>
        <row r="20">
          <cell r="D20">
            <v>-1087774.3612499998</v>
          </cell>
          <cell r="E20">
            <v>0</v>
          </cell>
        </row>
        <row r="21">
          <cell r="D21">
            <v>13548.583466044467</v>
          </cell>
          <cell r="E21">
            <v>283809.31891272456</v>
          </cell>
        </row>
        <row r="22">
          <cell r="D22">
            <v>-4742.0042131155633</v>
          </cell>
        </row>
        <row r="26">
          <cell r="D26">
            <v>363750.12810969783</v>
          </cell>
          <cell r="E26">
            <v>0</v>
          </cell>
        </row>
        <row r="27">
          <cell r="D27">
            <v>52293.815747347493</v>
          </cell>
          <cell r="E27">
            <v>101997.73424324865</v>
          </cell>
        </row>
        <row r="28">
          <cell r="D28">
            <v>-39544.098966941405</v>
          </cell>
          <cell r="E28">
            <v>0</v>
          </cell>
        </row>
        <row r="29">
          <cell r="D29">
            <v>393261.64299999998</v>
          </cell>
          <cell r="E29">
            <v>0</v>
          </cell>
        </row>
      </sheetData>
      <sheetData sheetId="1">
        <row r="16">
          <cell r="D16">
            <v>1253528.7620250001</v>
          </cell>
        </row>
      </sheetData>
      <sheetData sheetId="2"/>
      <sheetData sheetId="3"/>
      <sheetData sheetId="4"/>
      <sheetData sheetId="5"/>
      <sheetData sheetId="6"/>
      <sheetData sheetId="7"/>
      <sheetData sheetId="8"/>
      <sheetData sheetId="9"/>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Colstrip Amort Summary"/>
    </sheetNames>
    <sheetDataSet>
      <sheetData sheetId="0"/>
      <sheetData sheetId="1">
        <row r="15">
          <cell r="D15">
            <v>-127629534.00980572</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rocessing Cost Summary"/>
      <sheetName val="Summary"/>
      <sheetName val="BDHV"/>
      <sheetName val="Deferral"/>
    </sheetNames>
    <sheetDataSet>
      <sheetData sheetId="0"/>
      <sheetData sheetId="1">
        <row r="20">
          <cell r="D20">
            <v>828677.01230520185</v>
          </cell>
        </row>
      </sheetData>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Colstrip Amort Summary"/>
      <sheetName val="Sheet1"/>
    </sheetNames>
    <sheetDataSet>
      <sheetData sheetId="0"/>
      <sheetData sheetId="1">
        <row r="15">
          <cell r="D15">
            <v>-127629534.00980572</v>
          </cell>
        </row>
        <row r="20">
          <cell r="D20">
            <v>7090529.6672114292</v>
          </cell>
        </row>
      </sheetData>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Rate Year Generation"/>
      <sheetName val="SAP Act 12ME Sept 2016"/>
      <sheetName val="Montana Energy Tax"/>
    </sheetNames>
    <sheetDataSet>
      <sheetData sheetId="0">
        <row r="12">
          <cell r="E12">
            <v>4224063645.7362509</v>
          </cell>
        </row>
        <row r="13">
          <cell r="E13">
            <v>0.05</v>
          </cell>
        </row>
        <row r="14">
          <cell r="E14">
            <v>1.4999999999999999E-4</v>
          </cell>
        </row>
        <row r="17">
          <cell r="E17">
            <v>2.0000000000000001E-4</v>
          </cell>
        </row>
        <row r="21">
          <cell r="E21">
            <v>1540793.07</v>
          </cell>
        </row>
      </sheetData>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DFIT "/>
      <sheetName val="Other  Glacier Battery Plant"/>
      <sheetName val="Production Glacier Battery Plt"/>
      <sheetName val="MACRS W 50% BONUS"/>
      <sheetName val="New Recap Prod -Non-Prod"/>
      <sheetName val="Detail Plant Data"/>
      <sheetName val="New Depr Study"/>
      <sheetName val="RB&amp;ISbyFERC"/>
    </sheetNames>
    <sheetDataSet>
      <sheetData sheetId="0">
        <row r="15">
          <cell r="C15">
            <v>2532527.2133333334</v>
          </cell>
          <cell r="D15">
            <v>7815669.9016000014</v>
          </cell>
        </row>
        <row r="16">
          <cell r="C16">
            <v>-23967.255261935759</v>
          </cell>
          <cell r="D16">
            <v>-746090.14322181221</v>
          </cell>
        </row>
        <row r="17">
          <cell r="C17">
            <v>1602.450349846451</v>
          </cell>
          <cell r="D17">
            <v>0</v>
          </cell>
        </row>
        <row r="18">
          <cell r="C18">
            <v>-205321.18453019747</v>
          </cell>
          <cell r="D18">
            <v>-1922512.3307887327</v>
          </cell>
        </row>
        <row r="19">
          <cell r="C19">
            <v>-560.85762244625778</v>
          </cell>
          <cell r="D19">
            <v>0</v>
          </cell>
        </row>
        <row r="23">
          <cell r="C23">
            <v>123836.50843962499</v>
          </cell>
          <cell r="D23">
            <v>340033.97615332442</v>
          </cell>
        </row>
        <row r="24">
          <cell r="C24">
            <v>-7633.7978685983253</v>
          </cell>
          <cell r="D24">
            <v>0</v>
          </cell>
        </row>
      </sheetData>
      <sheetData sheetId="1"/>
      <sheetData sheetId="2"/>
      <sheetData sheetId="3"/>
      <sheetData sheetId="4"/>
      <sheetData sheetId="5"/>
      <sheetData sheetId="6"/>
      <sheetData sheetId="7"/>
      <sheetData sheetId="8">
        <row r="9">
          <cell r="E9">
            <v>2864024.6325000003</v>
          </cell>
        </row>
        <row r="15">
          <cell r="E15">
            <v>-495916.20105393277</v>
          </cell>
        </row>
        <row r="20">
          <cell r="E20">
            <v>-1716630.2886360891</v>
          </cell>
        </row>
        <row r="25">
          <cell r="E25">
            <v>148726.01447229058</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Addition-Retire Source"/>
      <sheetName val="Retirement Summary"/>
      <sheetName val="Retirement Detail"/>
      <sheetName val="Retirement Depr Exp"/>
      <sheetName val="Retirement ADFIT"/>
      <sheetName val="Addition"/>
      <sheetName val="IRS DFIT"/>
      <sheetName val="MACRS W 50% BONUS"/>
    </sheetNames>
    <sheetDataSet>
      <sheetData sheetId="0">
        <row r="13">
          <cell r="C13">
            <v>21985164.197500002</v>
          </cell>
          <cell r="D13">
            <v>0</v>
          </cell>
        </row>
        <row r="14">
          <cell r="C14">
            <v>-4782184.9428318273</v>
          </cell>
          <cell r="D14">
            <v>17053554.294432983</v>
          </cell>
        </row>
        <row r="15">
          <cell r="C15">
            <v>-770444.58162956533</v>
          </cell>
          <cell r="D15"/>
        </row>
        <row r="16">
          <cell r="C16">
            <v>-1771037.4357740821</v>
          </cell>
          <cell r="D16">
            <v>0</v>
          </cell>
        </row>
        <row r="17">
          <cell r="C17">
            <v>269655.60357034783</v>
          </cell>
          <cell r="D17"/>
        </row>
        <row r="21">
          <cell r="C21">
            <v>3134072.5099999993</v>
          </cell>
          <cell r="D21">
            <v>25072580.079999987</v>
          </cell>
        </row>
        <row r="22">
          <cell r="C22">
            <v>-3364.9770921440963</v>
          </cell>
          <cell r="D22">
            <v>-1607188.8953450497</v>
          </cell>
        </row>
        <row r="23">
          <cell r="C23">
            <v>-109553.08143874648</v>
          </cell>
          <cell r="D23"/>
        </row>
        <row r="24">
          <cell r="C24">
            <v>-150563.60204358294</v>
          </cell>
          <cell r="D24">
            <v>-4537903.8039487666</v>
          </cell>
        </row>
        <row r="25">
          <cell r="C25">
            <v>38343.578503561264</v>
          </cell>
          <cell r="D25"/>
        </row>
        <row r="29">
          <cell r="C29">
            <v>340770.04506125004</v>
          </cell>
          <cell r="D29">
            <v>0</v>
          </cell>
        </row>
        <row r="30">
          <cell r="C30">
            <v>1540889.1632591307</v>
          </cell>
          <cell r="D30">
            <v>0</v>
          </cell>
        </row>
        <row r="31">
          <cell r="C31">
            <v>48455.670126874989</v>
          </cell>
          <cell r="D31">
            <v>2145903.9723363491</v>
          </cell>
        </row>
        <row r="32">
          <cell r="C32">
            <v>219106.16287749296</v>
          </cell>
          <cell r="D32"/>
        </row>
      </sheetData>
      <sheetData sheetId="1"/>
      <sheetData sheetId="2"/>
      <sheetData sheetId="3"/>
      <sheetData sheetId="4"/>
      <sheetData sheetId="5"/>
      <sheetData sheetId="6"/>
      <sheetData sheetId="7"/>
      <sheetData sheetId="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WRPC 2004 GRC"/>
      <sheetName val="Land Detail"/>
    </sheetNames>
    <sheetDataSet>
      <sheetData sheetId="0">
        <row r="11">
          <cell r="C11">
            <v>59841513.397916675</v>
          </cell>
          <cell r="D11">
            <v>59343051.710000001</v>
          </cell>
        </row>
        <row r="12">
          <cell r="C12"/>
          <cell r="D12">
            <v>18825.34</v>
          </cell>
        </row>
        <row r="13">
          <cell r="C13"/>
          <cell r="D13">
            <v>26606.68</v>
          </cell>
        </row>
        <row r="15">
          <cell r="C15">
            <v>-37066402.04703182</v>
          </cell>
        </row>
        <row r="16">
          <cell r="C16">
            <v>-7971288.6979166651</v>
          </cell>
        </row>
        <row r="20">
          <cell r="C20">
            <v>1494701.7220710218</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Summary"/>
      <sheetName val="Snoq Amort Exp"/>
      <sheetName val="Baker Amort Exp"/>
    </sheetNames>
    <sheetDataSet>
      <sheetData sheetId="0">
        <row r="14">
          <cell r="C14">
            <v>-101559498.97984974</v>
          </cell>
        </row>
        <row r="20">
          <cell r="C20">
            <v>-3279780</v>
          </cell>
        </row>
      </sheetData>
      <sheetData sheetId="1"/>
      <sheetData sheetId="2"/>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Treasury Grant Summary"/>
      <sheetName val="Adjustment"/>
      <sheetName val="Treasury Grants"/>
    </sheetNames>
    <sheetDataSet>
      <sheetData sheetId="0"/>
      <sheetData sheetId="1">
        <row r="14">
          <cell r="E14">
            <v>-31919884</v>
          </cell>
        </row>
        <row r="19">
          <cell r="E19">
            <v>-861936.66666666663</v>
          </cell>
        </row>
      </sheetData>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WH Solar Balance SEpt 16"/>
      <sheetName val="WH deferred Tax Sept 2016"/>
      <sheetName val="Sept 16 PP Report"/>
    </sheetNames>
    <sheetDataSet>
      <sheetData sheetId="0">
        <row r="16">
          <cell r="D16">
            <v>4539303</v>
          </cell>
        </row>
        <row r="17">
          <cell r="D17">
            <v>-1578037</v>
          </cell>
        </row>
        <row r="18">
          <cell r="D18">
            <v>-11978.689327298343</v>
          </cell>
        </row>
        <row r="19">
          <cell r="D19">
            <v>-984138.515625</v>
          </cell>
        </row>
        <row r="20">
          <cell r="D20">
            <v>4192.5412645544202</v>
          </cell>
        </row>
        <row r="26">
          <cell r="D26">
            <v>188181.00000000003</v>
          </cell>
        </row>
        <row r="27">
          <cell r="D27">
            <v>23957.378654596687</v>
          </cell>
        </row>
      </sheetData>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Storm Damage Summary"/>
      <sheetName val="Adjustment Detail"/>
      <sheetName val="DEF FIT"/>
      <sheetName val="Storm Costs O &amp; M"/>
      <sheetName val="Storm Cost Deferrals"/>
      <sheetName val="Test Year Amort"/>
      <sheetName val="Test Year Deferral Adj"/>
      <sheetName val="Exh TES-3"/>
    </sheetNames>
    <sheetDataSet>
      <sheetData sheetId="0"/>
      <sheetData sheetId="1">
        <row r="17">
          <cell r="C17">
            <v>146577.86000000002</v>
          </cell>
          <cell r="D17">
            <v>9324412.6900000013</v>
          </cell>
        </row>
        <row r="18">
          <cell r="C18">
            <v>345320.97947031242</v>
          </cell>
          <cell r="D18">
            <v>12020048.450529687</v>
          </cell>
        </row>
        <row r="19">
          <cell r="C19">
            <v>168306.6472019369</v>
          </cell>
          <cell r="D19">
            <v>6580199.412798062</v>
          </cell>
        </row>
        <row r="20">
          <cell r="C20">
            <v>428007.16507628211</v>
          </cell>
          <cell r="D20">
            <v>12682042.714923715</v>
          </cell>
        </row>
        <row r="21">
          <cell r="C21">
            <v>1550963.6913106842</v>
          </cell>
          <cell r="D21">
            <v>35262841.948689312</v>
          </cell>
        </row>
        <row r="22">
          <cell r="C22">
            <v>1315344.0876007138</v>
          </cell>
          <cell r="D22">
            <v>32790234.202399284</v>
          </cell>
        </row>
        <row r="28">
          <cell r="C28">
            <v>506068.88000000006</v>
          </cell>
          <cell r="D28">
            <v>10553488.410000002</v>
          </cell>
        </row>
        <row r="35">
          <cell r="C35">
            <v>-420528</v>
          </cell>
        </row>
        <row r="36">
          <cell r="C36">
            <v>-1504102</v>
          </cell>
        </row>
        <row r="37">
          <cell r="C37">
            <v>-5666</v>
          </cell>
        </row>
        <row r="38">
          <cell r="C38">
            <v>-23700508</v>
          </cell>
        </row>
        <row r="39">
          <cell r="C39">
            <v>-23046021</v>
          </cell>
        </row>
        <row r="41">
          <cell r="C41">
            <v>17036888.75</v>
          </cell>
        </row>
        <row r="43">
          <cell r="C43">
            <v>6023911</v>
          </cell>
        </row>
        <row r="44">
          <cell r="C44">
            <v>8153023</v>
          </cell>
        </row>
        <row r="48">
          <cell r="C48">
            <v>-12560038</v>
          </cell>
        </row>
        <row r="49">
          <cell r="C49">
            <v>50186</v>
          </cell>
        </row>
        <row r="50">
          <cell r="C50">
            <v>6632821</v>
          </cell>
        </row>
        <row r="57">
          <cell r="C57">
            <v>58370860</v>
          </cell>
        </row>
      </sheetData>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IRS DFIT"/>
      <sheetName val="Mint Farm DFIT"/>
      <sheetName val="MTF MI General spending detail"/>
      <sheetName val="MACRS W 50% BONUS"/>
      <sheetName val="Elec Depr Stdy 2017 GRC"/>
      <sheetName val="Mint Farm Current Depr."/>
    </sheetNames>
    <sheetDataSet>
      <sheetData sheetId="0">
        <row r="14">
          <cell r="C14">
            <v>0</v>
          </cell>
          <cell r="D14">
            <v>24765516.030000001</v>
          </cell>
          <cell r="E14">
            <v>24765516.030000001</v>
          </cell>
        </row>
        <row r="15">
          <cell r="C15">
            <v>0</v>
          </cell>
          <cell r="D15">
            <v>-1572187.2608600797</v>
          </cell>
          <cell r="E15">
            <v>-1572187.2608600797</v>
          </cell>
        </row>
        <row r="16">
          <cell r="C16">
            <v>0</v>
          </cell>
          <cell r="D16">
            <v>-4188738.7602319769</v>
          </cell>
          <cell r="E16">
            <v>-4188738.7602319769</v>
          </cell>
        </row>
      </sheetData>
      <sheetData sheetId="1"/>
      <sheetData sheetId="2"/>
      <sheetData sheetId="3"/>
      <sheetData sheetId="4"/>
      <sheetData sheetId="5"/>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WHITE RIVER SUMMARY"/>
      <sheetName val="WRPC 2004 GRC"/>
      <sheetName val="Land Detail"/>
    </sheetNames>
    <sheetDataSet>
      <sheetData sheetId="0"/>
      <sheetData sheetId="1">
        <row r="17">
          <cell r="D17">
            <v>-40429480.921691619</v>
          </cell>
        </row>
        <row r="18">
          <cell r="D18">
            <v>-6619749.3382314919</v>
          </cell>
        </row>
        <row r="22">
          <cell r="D22">
            <v>1494701.7220710218</v>
          </cell>
        </row>
      </sheetData>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Storm Costs O &amp; M"/>
      <sheetName val="Storm Cost Deferrals"/>
      <sheetName val="Test Year Amort"/>
      <sheetName val="Additional Deferrals"/>
      <sheetName val="KJB-7 p 6"/>
    </sheetNames>
    <sheetDataSet>
      <sheetData sheetId="0">
        <row r="56">
          <cell r="D56">
            <v>15477396</v>
          </cell>
        </row>
      </sheetData>
      <sheetData sheetId="1"/>
      <sheetData sheetId="2"/>
      <sheetData sheetId="3"/>
      <sheetData sheetId="4"/>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4 E"/>
      <sheetName val="3.05 G"/>
      <sheetName val="Annual Filing Fee"/>
      <sheetName val="Pub Util Tax"/>
      <sheetName val="3.03E &amp; 3"/>
    </sheetNames>
    <sheetDataSet>
      <sheetData sheetId="0">
        <row r="15">
          <cell r="E15">
            <v>2E-3</v>
          </cell>
        </row>
        <row r="16">
          <cell r="D16">
            <v>3.8733999999999998E-2</v>
          </cell>
        </row>
      </sheetData>
      <sheetData sheetId="1">
        <row r="14">
          <cell r="E14">
            <v>2E-3</v>
          </cell>
        </row>
      </sheetData>
      <sheetData sheetId="2"/>
      <sheetData sheetId="3"/>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Exh. BAE-2 Compare"/>
      <sheetName val="Exh. BAE-3 ISWC"/>
      <sheetName val="Revised Accounts"/>
      <sheetName val="Storm"/>
      <sheetName val="Accounts"/>
      <sheetName val="Staff present of PSE #"/>
      <sheetName val="Summary Calc"/>
      <sheetName val="Summary Calc Staff"/>
      <sheetName val="ERB"/>
      <sheetName val="GRB"/>
      <sheetName val="BS"/>
      <sheetName val="PSE CWC"/>
      <sheetName val="NOL Spread"/>
      <sheetName val="summary NOL"/>
      <sheetName val="June16"/>
      <sheetName val="May16"/>
      <sheetName val="Apr16"/>
      <sheetName val="Mar16"/>
      <sheetName val="Feb16"/>
      <sheetName val="Jan16"/>
      <sheetName val="Dec15"/>
      <sheetName val="Nov15"/>
      <sheetName val="Oct15"/>
      <sheetName val="Sept15"/>
      <sheetName val="Aug15"/>
      <sheetName val="July15"/>
      <sheetName val="June15"/>
      <sheetName val="May15"/>
      <sheetName val="Apr15"/>
      <sheetName val="BS and CWC Recon, p1"/>
      <sheetName val="BS and CWC Recon, p2"/>
      <sheetName val="Coding Changes"/>
      <sheetName val="PPXLSaveData0"/>
      <sheetName val="Chg Code"/>
      <sheetName val="PPXLFunctions"/>
      <sheetName val="PPXLOpen"/>
      <sheetName val="June 2013 Code Changes"/>
      <sheetName val="Oct14"/>
      <sheetName val="Nov14"/>
      <sheetName val="Dec14"/>
      <sheetName val="Jan15"/>
      <sheetName val="Feb15"/>
      <sheetName val="summary"/>
      <sheetName val="NOL Allocation November 2013"/>
      <sheetName val="Mar15"/>
    </sheetNames>
    <sheetDataSet>
      <sheetData sheetId="0"/>
      <sheetData sheetId="1">
        <row r="20">
          <cell r="E20">
            <v>7389220146.9962492</v>
          </cell>
        </row>
        <row r="24">
          <cell r="E24">
            <v>4926199219.8835926</v>
          </cell>
        </row>
        <row r="31">
          <cell r="E31">
            <v>465985537.28291631</v>
          </cell>
        </row>
        <row r="33">
          <cell r="E33">
            <v>7041863910.1408319</v>
          </cell>
        </row>
        <row r="35">
          <cell r="E35">
            <v>347356236.85541725</v>
          </cell>
        </row>
        <row r="40">
          <cell r="E40">
            <v>242996178.97396278</v>
          </cell>
        </row>
        <row r="43">
          <cell r="E43">
            <v>81374242.659077123</v>
          </cell>
        </row>
        <row r="46">
          <cell r="E46">
            <v>22985815.222380199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Exh. BAE-2 Compare"/>
      <sheetName val="Exh. BAE-3 ISWC"/>
      <sheetName val="Storm"/>
      <sheetName val="Accounts"/>
      <sheetName val="Staff present of PSE #"/>
      <sheetName val="Summary Calc"/>
      <sheetName val="Summary Calc Staff"/>
      <sheetName val="ERB"/>
      <sheetName val="GRB"/>
      <sheetName val="BS"/>
      <sheetName val="PSE CWC"/>
      <sheetName val="NOL Spread"/>
      <sheetName val="summary NOL"/>
      <sheetName val="June16"/>
      <sheetName val="May16"/>
      <sheetName val="Apr16"/>
      <sheetName val="Mar16"/>
      <sheetName val="Feb16"/>
      <sheetName val="Jan16"/>
      <sheetName val="Dec15"/>
      <sheetName val="Nov15"/>
      <sheetName val="Oct15"/>
      <sheetName val="Sept15"/>
      <sheetName val="Aug15"/>
      <sheetName val="July15"/>
      <sheetName val="June15"/>
      <sheetName val="May15"/>
      <sheetName val="Apr15"/>
      <sheetName val="BS and CWC Recon, p1"/>
      <sheetName val="BS and CWC Recon, p2"/>
      <sheetName val="Coding Changes"/>
      <sheetName val="PPXLSaveData0"/>
      <sheetName val="Chg Code"/>
      <sheetName val="PPXLFunctions"/>
      <sheetName val="PPXLOpen"/>
      <sheetName val="June 2013 Code Changes"/>
      <sheetName val="Oct14"/>
      <sheetName val="Nov14"/>
      <sheetName val="Dec14"/>
      <sheetName val="Jan15"/>
      <sheetName val="Feb15"/>
      <sheetName val="summary"/>
      <sheetName val="NOL Allocation November 2013"/>
      <sheetName val="Mar15"/>
    </sheetNames>
    <sheetDataSet>
      <sheetData sheetId="0"/>
      <sheetData sheetId="1">
        <row r="20">
          <cell r="E20">
            <v>7384183151.7062492</v>
          </cell>
        </row>
        <row r="26">
          <cell r="E26">
            <v>1649679152.9743228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
      <sheetName val="3.04 &amp; 4.04 Lead"/>
      <sheetName val="Meter count"/>
      <sheetName val="E &amp; G RB"/>
      <sheetName val="Summary"/>
      <sheetName val="ERB"/>
      <sheetName val="GRB"/>
      <sheetName val="2016 Sept IS "/>
      <sheetName val="SAP DL Downld"/>
      <sheetName val="12ME Sept 16 ZRW_DLF1"/>
      <sheetName val="Electric"/>
      <sheetName val="Gas"/>
      <sheetName val="Electric Rtrmt"/>
      <sheetName val="Gas Rtrmt"/>
      <sheetName val="Pg 6a CustCount_Electric"/>
      <sheetName val="Pg 6b CustCount_Gas"/>
      <sheetName val="Combined-2016"/>
      <sheetName val="Sheet2"/>
      <sheetName val="July_Dec 2014"/>
      <sheetName val="Allocations"/>
    </sheetNames>
    <sheetDataSet>
      <sheetData sheetId="0"/>
      <sheetData sheetId="1">
        <row r="40">
          <cell r="E40">
            <v>0.6744</v>
          </cell>
        </row>
      </sheetData>
      <sheetData sheetId="2"/>
      <sheetData sheetId="3"/>
      <sheetData sheetId="4"/>
      <sheetData sheetId="5"/>
      <sheetData sheetId="6"/>
      <sheetData sheetId="7"/>
      <sheetData sheetId="8">
        <row r="35">
          <cell r="H35">
            <v>0.24872690840850872</v>
          </cell>
        </row>
      </sheetData>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RB TY Lead"/>
      <sheetName val="Prd Plt Sept 2016"/>
      <sheetName val="NOL September 2016"/>
      <sheetName val="DFITAMA"/>
      <sheetName val="Acct 406"/>
      <sheetName val="Acq Adj"/>
      <sheetName val="Colstrip"/>
      <sheetName val="Baker &amp; Snoq TGs"/>
      <sheetName val="Baker Amort Exp"/>
      <sheetName val="Snoq Amort Exp"/>
    </sheetNames>
    <sheetDataSet>
      <sheetData sheetId="0">
        <row r="6">
          <cell r="B6">
            <v>3770089338.4726501</v>
          </cell>
        </row>
        <row r="7">
          <cell r="B7">
            <v>-1614882573</v>
          </cell>
        </row>
        <row r="8">
          <cell r="B8">
            <v>80139253</v>
          </cell>
        </row>
        <row r="9">
          <cell r="B9">
            <v>-9933315</v>
          </cell>
        </row>
        <row r="10">
          <cell r="B10">
            <v>2908282.4799999148</v>
          </cell>
        </row>
        <row r="11">
          <cell r="B11">
            <v>858922.41599999997</v>
          </cell>
        </row>
        <row r="12">
          <cell r="B12">
            <v>281543145</v>
          </cell>
        </row>
        <row r="13">
          <cell r="B13">
            <v>-113037112</v>
          </cell>
        </row>
        <row r="16">
          <cell r="B16">
            <v>-512526800.34781253</v>
          </cell>
        </row>
        <row r="17">
          <cell r="B17">
            <v>48295905.063545831</v>
          </cell>
        </row>
        <row r="27">
          <cell r="B27">
            <v>107924068.66</v>
          </cell>
        </row>
        <row r="35">
          <cell r="B35">
            <v>1217708.92</v>
          </cell>
        </row>
        <row r="36">
          <cell r="B36">
            <v>354668.75999999978</v>
          </cell>
        </row>
        <row r="37">
          <cell r="B37">
            <v>104311.20599999999</v>
          </cell>
        </row>
        <row r="38">
          <cell r="B38">
            <v>2652900</v>
          </cell>
        </row>
        <row r="39">
          <cell r="B39">
            <v>1727259.93</v>
          </cell>
        </row>
        <row r="40">
          <cell r="B40">
            <v>4616499.3600000013</v>
          </cell>
        </row>
        <row r="41">
          <cell r="B41">
            <v>1144993.8</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 Pwr Cost"/>
      <sheetName val="12ME Sept 16 SAP"/>
      <sheetName val="E Margin Sept16"/>
      <sheetName val="ZRW_Z103 Margin Rpt 12ME 9-2016"/>
      <sheetName val="557"/>
      <sheetName val="Trans Rev 45610005"/>
      <sheetName val="Montana Tax 40810005"/>
      <sheetName val="500KV 12ME 9-2016"/>
      <sheetName val="O&amp;M 9-2016"/>
    </sheetNames>
    <sheetDataSet>
      <sheetData sheetId="0">
        <row r="3">
          <cell r="B3">
            <v>85246014.709999993</v>
          </cell>
        </row>
        <row r="7">
          <cell r="B7">
            <v>375700424.96000004</v>
          </cell>
        </row>
        <row r="9">
          <cell r="C9">
            <v>46286</v>
          </cell>
        </row>
        <row r="10">
          <cell r="C10">
            <v>147291284.84999999</v>
          </cell>
        </row>
        <row r="15">
          <cell r="B15">
            <v>11041130.310000001</v>
          </cell>
        </row>
        <row r="17">
          <cell r="D17">
            <v>-368615.64</v>
          </cell>
        </row>
        <row r="18">
          <cell r="D18">
            <v>-1364051.1099999999</v>
          </cell>
        </row>
        <row r="32">
          <cell r="B32">
            <v>149756871.78999999</v>
          </cell>
        </row>
        <row r="38">
          <cell r="B38">
            <v>113800193.22</v>
          </cell>
        </row>
        <row r="44">
          <cell r="B44">
            <v>-8228548.5899999999</v>
          </cell>
          <cell r="F44">
            <v>-8228548.5899999999</v>
          </cell>
        </row>
        <row r="46">
          <cell r="B46">
            <v>133910147</v>
          </cell>
        </row>
        <row r="48">
          <cell r="D48">
            <v>-1707720.6600000001</v>
          </cell>
        </row>
        <row r="49">
          <cell r="D49">
            <v>-6304989.3199999994</v>
          </cell>
        </row>
        <row r="52">
          <cell r="B52">
            <v>-53788170.890000015</v>
          </cell>
        </row>
        <row r="54">
          <cell r="C54">
            <v>-46286</v>
          </cell>
        </row>
        <row r="55">
          <cell r="C55">
            <v>-147291284.84999999</v>
          </cell>
        </row>
        <row r="58">
          <cell r="B58">
            <v>18023677.969999999</v>
          </cell>
          <cell r="F58">
            <v>18023677.969999999</v>
          </cell>
        </row>
        <row r="60">
          <cell r="B60">
            <v>662134.87</v>
          </cell>
          <cell r="F60">
            <v>662134.87</v>
          </cell>
        </row>
        <row r="64">
          <cell r="B64">
            <v>826123875.35000002</v>
          </cell>
        </row>
        <row r="66">
          <cell r="F66">
            <v>816378498.62</v>
          </cell>
        </row>
        <row r="75">
          <cell r="B75">
            <v>699780142.07000005</v>
          </cell>
        </row>
      </sheetData>
      <sheetData sheetId="1">
        <row r="233">
          <cell r="B233">
            <v>325842.46999999997</v>
          </cell>
        </row>
      </sheetData>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ower Cost Summary"/>
      <sheetName val="Power Cost Adjustment"/>
    </sheetNames>
    <sheetDataSet>
      <sheetData sheetId="0"/>
      <sheetData sheetId="1"/>
      <sheetData sheetId="2">
        <row r="18">
          <cell r="M18">
            <v>-29736626</v>
          </cell>
        </row>
        <row r="19">
          <cell r="M19">
            <v>-2933246.43</v>
          </cell>
        </row>
        <row r="22">
          <cell r="M22">
            <v>8470763.4342022389</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Cost Production Factor"/>
      <sheetName val="Fixed Cost Production Factor"/>
      <sheetName val="Temperature Adj YE 9-2016"/>
      <sheetName val="Delivered Load YE 9-2016"/>
      <sheetName val="Customer Counts YE 9-2016"/>
      <sheetName val="F2016 Delivered Load"/>
      <sheetName val="F2016 Customer Count"/>
    </sheetNames>
    <sheetDataSet>
      <sheetData sheetId="0">
        <row r="26">
          <cell r="F26">
            <v>20723206</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printerSettings" Target="../printerSettings/printerSettings23.bin"/><Relationship Id="rId18" Type="http://schemas.openxmlformats.org/officeDocument/2006/relationships/printerSettings" Target="../printerSettings/printerSettings28.bin"/><Relationship Id="rId26" Type="http://schemas.openxmlformats.org/officeDocument/2006/relationships/printerSettings" Target="../printerSettings/printerSettings36.bin"/><Relationship Id="rId39" Type="http://schemas.openxmlformats.org/officeDocument/2006/relationships/printerSettings" Target="../printerSettings/printerSettings49.bin"/><Relationship Id="rId3" Type="http://schemas.openxmlformats.org/officeDocument/2006/relationships/printerSettings" Target="../printerSettings/printerSettings13.bin"/><Relationship Id="rId21" Type="http://schemas.openxmlformats.org/officeDocument/2006/relationships/printerSettings" Target="../printerSettings/printerSettings31.bin"/><Relationship Id="rId34" Type="http://schemas.openxmlformats.org/officeDocument/2006/relationships/printerSettings" Target="../printerSettings/printerSettings44.bin"/><Relationship Id="rId7" Type="http://schemas.openxmlformats.org/officeDocument/2006/relationships/printerSettings" Target="../printerSettings/printerSettings17.bin"/><Relationship Id="rId12" Type="http://schemas.openxmlformats.org/officeDocument/2006/relationships/printerSettings" Target="../printerSettings/printerSettings22.bin"/><Relationship Id="rId17" Type="http://schemas.openxmlformats.org/officeDocument/2006/relationships/printerSettings" Target="../printerSettings/printerSettings27.bin"/><Relationship Id="rId25" Type="http://schemas.openxmlformats.org/officeDocument/2006/relationships/printerSettings" Target="../printerSettings/printerSettings35.bin"/><Relationship Id="rId33" Type="http://schemas.openxmlformats.org/officeDocument/2006/relationships/printerSettings" Target="../printerSettings/printerSettings43.bin"/><Relationship Id="rId38" Type="http://schemas.openxmlformats.org/officeDocument/2006/relationships/printerSettings" Target="../printerSettings/printerSettings48.bin"/><Relationship Id="rId2" Type="http://schemas.openxmlformats.org/officeDocument/2006/relationships/printerSettings" Target="../printerSettings/printerSettings12.bin"/><Relationship Id="rId16" Type="http://schemas.openxmlformats.org/officeDocument/2006/relationships/printerSettings" Target="../printerSettings/printerSettings26.bin"/><Relationship Id="rId20" Type="http://schemas.openxmlformats.org/officeDocument/2006/relationships/printerSettings" Target="../printerSettings/printerSettings30.bin"/><Relationship Id="rId29" Type="http://schemas.openxmlformats.org/officeDocument/2006/relationships/printerSettings" Target="../printerSettings/printerSettings39.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1.bin"/><Relationship Id="rId24" Type="http://schemas.openxmlformats.org/officeDocument/2006/relationships/printerSettings" Target="../printerSettings/printerSettings34.bin"/><Relationship Id="rId32" Type="http://schemas.openxmlformats.org/officeDocument/2006/relationships/printerSettings" Target="../printerSettings/printerSettings42.bin"/><Relationship Id="rId37" Type="http://schemas.openxmlformats.org/officeDocument/2006/relationships/printerSettings" Target="../printerSettings/printerSettings47.bin"/><Relationship Id="rId5" Type="http://schemas.openxmlformats.org/officeDocument/2006/relationships/printerSettings" Target="../printerSettings/printerSettings15.bin"/><Relationship Id="rId15" Type="http://schemas.openxmlformats.org/officeDocument/2006/relationships/printerSettings" Target="../printerSettings/printerSettings25.bin"/><Relationship Id="rId23" Type="http://schemas.openxmlformats.org/officeDocument/2006/relationships/printerSettings" Target="../printerSettings/printerSettings33.bin"/><Relationship Id="rId28" Type="http://schemas.openxmlformats.org/officeDocument/2006/relationships/printerSettings" Target="../printerSettings/printerSettings38.bin"/><Relationship Id="rId36" Type="http://schemas.openxmlformats.org/officeDocument/2006/relationships/printerSettings" Target="../printerSettings/printerSettings46.bin"/><Relationship Id="rId10" Type="http://schemas.openxmlformats.org/officeDocument/2006/relationships/printerSettings" Target="../printerSettings/printerSettings20.bin"/><Relationship Id="rId19" Type="http://schemas.openxmlformats.org/officeDocument/2006/relationships/printerSettings" Target="../printerSettings/printerSettings29.bin"/><Relationship Id="rId31" Type="http://schemas.openxmlformats.org/officeDocument/2006/relationships/printerSettings" Target="../printerSettings/printerSettings41.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 Id="rId14" Type="http://schemas.openxmlformats.org/officeDocument/2006/relationships/printerSettings" Target="../printerSettings/printerSettings24.bin"/><Relationship Id="rId22" Type="http://schemas.openxmlformats.org/officeDocument/2006/relationships/printerSettings" Target="../printerSettings/printerSettings32.bin"/><Relationship Id="rId27" Type="http://schemas.openxmlformats.org/officeDocument/2006/relationships/printerSettings" Target="../printerSettings/printerSettings37.bin"/><Relationship Id="rId30" Type="http://schemas.openxmlformats.org/officeDocument/2006/relationships/printerSettings" Target="../printerSettings/printerSettings40.bin"/><Relationship Id="rId35"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5"/>
  <sheetViews>
    <sheetView workbookViewId="0">
      <selection activeCell="J16" sqref="J16"/>
    </sheetView>
  </sheetViews>
  <sheetFormatPr defaultRowHeight="10.5"/>
  <cols>
    <col min="2" max="4" width="11.33203125" customWidth="1"/>
  </cols>
  <sheetData>
    <row r="1" spans="1:5" ht="15.75">
      <c r="A1" s="1271" t="s">
        <v>897</v>
      </c>
      <c r="B1" s="1271"/>
      <c r="C1" s="1271"/>
      <c r="D1" s="1271"/>
      <c r="E1" s="1271"/>
    </row>
    <row r="2" spans="1:5" ht="15.75">
      <c r="A2" s="1271" t="s">
        <v>899</v>
      </c>
      <c r="B2" s="1271"/>
      <c r="C2" s="1271"/>
      <c r="D2" s="1271"/>
      <c r="E2" s="1271"/>
    </row>
    <row r="3" spans="1:5" ht="15.75">
      <c r="A3" s="1271" t="s">
        <v>948</v>
      </c>
      <c r="B3" s="1271"/>
      <c r="C3" s="1271"/>
      <c r="D3" s="1271"/>
      <c r="E3" s="1271"/>
    </row>
    <row r="4" spans="1:5" ht="15.75">
      <c r="A4" s="1271" t="s">
        <v>58</v>
      </c>
      <c r="B4" s="1271"/>
      <c r="C4" s="1271"/>
      <c r="D4" s="1271"/>
      <c r="E4" s="1271"/>
    </row>
    <row r="6" spans="1:5" s="197" customFormat="1" ht="15.75">
      <c r="A6" s="1271" t="s">
        <v>949</v>
      </c>
      <c r="B6" s="1271"/>
      <c r="C6" s="1271"/>
      <c r="D6" s="1271"/>
      <c r="E6" s="1271"/>
    </row>
    <row r="7" spans="1:5" s="197" customFormat="1"/>
    <row r="8" spans="1:5" s="197" customFormat="1" ht="11.25" thickBot="1"/>
    <row r="9" spans="1:5" ht="16.5" thickBot="1">
      <c r="A9" s="197"/>
      <c r="B9" s="1275" t="s">
        <v>898</v>
      </c>
      <c r="C9" s="1276"/>
      <c r="D9" s="1277"/>
    </row>
    <row r="10" spans="1:5" ht="15.75">
      <c r="A10" s="197"/>
      <c r="B10" s="975"/>
      <c r="C10" s="976"/>
      <c r="D10" s="977"/>
    </row>
    <row r="11" spans="1:5" ht="15.75">
      <c r="A11" s="197"/>
      <c r="B11" s="1278" t="s">
        <v>1003</v>
      </c>
      <c r="C11" s="1279"/>
      <c r="D11" s="1280"/>
    </row>
    <row r="12" spans="1:5" ht="15.75">
      <c r="A12" s="197"/>
      <c r="B12" s="975"/>
      <c r="C12" s="976"/>
      <c r="D12" s="977"/>
    </row>
    <row r="13" spans="1:5" ht="15.75">
      <c r="A13" s="197"/>
      <c r="B13" s="1281" t="s">
        <v>1002</v>
      </c>
      <c r="C13" s="1282"/>
      <c r="D13" s="1283"/>
    </row>
    <row r="14" spans="1:5" ht="15.75">
      <c r="A14" s="197"/>
      <c r="B14" s="975"/>
      <c r="C14" s="976"/>
      <c r="D14" s="977"/>
    </row>
    <row r="15" spans="1:5" ht="15.75">
      <c r="A15" s="197"/>
      <c r="B15" s="1284" t="s">
        <v>1001</v>
      </c>
      <c r="C15" s="1285"/>
      <c r="D15" s="1286"/>
    </row>
    <row r="16" spans="1:5" ht="15.75">
      <c r="A16" s="197"/>
      <c r="B16" s="975"/>
      <c r="C16" s="976"/>
      <c r="D16" s="977"/>
    </row>
    <row r="17" spans="1:4" ht="15.75">
      <c r="A17" s="197"/>
      <c r="B17" s="1287" t="s">
        <v>1000</v>
      </c>
      <c r="C17" s="1288"/>
      <c r="D17" s="1289"/>
    </row>
    <row r="18" spans="1:4" ht="15.75">
      <c r="A18" s="197"/>
      <c r="B18" s="975"/>
      <c r="C18" s="976"/>
      <c r="D18" s="977"/>
    </row>
    <row r="19" spans="1:4" s="197" customFormat="1" ht="15.75">
      <c r="B19" s="978" t="s">
        <v>999</v>
      </c>
      <c r="C19" s="979"/>
      <c r="D19" s="980"/>
    </row>
    <row r="20" spans="1:4" s="197" customFormat="1" ht="15.75">
      <c r="B20" s="975"/>
      <c r="C20" s="976"/>
      <c r="D20" s="977"/>
    </row>
    <row r="21" spans="1:4" s="197" customFormat="1" ht="15.75">
      <c r="B21" s="1118" t="s">
        <v>1202</v>
      </c>
      <c r="C21" s="1119"/>
      <c r="D21" s="1120"/>
    </row>
    <row r="22" spans="1:4" s="197" customFormat="1" ht="15.75">
      <c r="B22" s="975"/>
      <c r="C22" s="976"/>
      <c r="D22" s="977"/>
    </row>
    <row r="23" spans="1:4" ht="15.75">
      <c r="A23" s="197"/>
      <c r="B23" s="1272" t="s">
        <v>947</v>
      </c>
      <c r="C23" s="1273"/>
      <c r="D23" s="1274"/>
    </row>
    <row r="24" spans="1:4" ht="16.5" thickBot="1">
      <c r="A24" s="197"/>
      <c r="B24" s="981"/>
      <c r="C24" s="982"/>
      <c r="D24" s="983"/>
    </row>
    <row r="25" spans="1:4">
      <c r="A25" s="197"/>
      <c r="B25" s="197"/>
      <c r="C25" s="197"/>
      <c r="D25" s="197"/>
    </row>
  </sheetData>
  <mergeCells count="11">
    <mergeCell ref="B23:D23"/>
    <mergeCell ref="B9:D9"/>
    <mergeCell ref="B11:D11"/>
    <mergeCell ref="B13:D13"/>
    <mergeCell ref="B15:D15"/>
    <mergeCell ref="B17:D17"/>
    <mergeCell ref="A6:E6"/>
    <mergeCell ref="A1:E1"/>
    <mergeCell ref="A2:E2"/>
    <mergeCell ref="A3:E3"/>
    <mergeCell ref="A4:E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39997558519241921"/>
  </sheetPr>
  <dimension ref="A1:BO98"/>
  <sheetViews>
    <sheetView tabSelected="1" view="pageBreakPreview" zoomScale="80" zoomScaleNormal="85" zoomScaleSheetLayoutView="80" workbookViewId="0">
      <pane xSplit="4" ySplit="16" topLeftCell="AR17" activePane="bottomRight" state="frozen"/>
      <selection activeCell="AM10" sqref="AM10"/>
      <selection pane="topRight" activeCell="AM10" sqref="AM10"/>
      <selection pane="bottomLeft" activeCell="AM10" sqref="AM10"/>
      <selection pane="bottomRight" activeCell="AU18" sqref="AU18"/>
    </sheetView>
  </sheetViews>
  <sheetFormatPr defaultColWidth="10.6640625" defaultRowHeight="12.75" outlineLevelRow="1" outlineLevelCol="1"/>
  <cols>
    <col min="1" max="1" width="7.33203125" style="75" customWidth="1"/>
    <col min="2" max="2" width="52.33203125" style="252" customWidth="1"/>
    <col min="3" max="3" width="13.1640625" style="252" customWidth="1"/>
    <col min="4" max="4" width="20" style="252" customWidth="1"/>
    <col min="5" max="5" width="15.5" style="252" customWidth="1"/>
    <col min="6" max="6" width="27.1640625" style="252" customWidth="1"/>
    <col min="7" max="7" width="20.5" style="252" customWidth="1"/>
    <col min="8" max="8" width="17.83203125" style="252" customWidth="1"/>
    <col min="9" max="9" width="28" style="252" customWidth="1"/>
    <col min="10" max="11" width="20" style="252" customWidth="1"/>
    <col min="12" max="12" width="18.33203125" style="252" bestFit="1" customWidth="1"/>
    <col min="13" max="17" width="20.6640625" style="252" customWidth="1"/>
    <col min="18" max="18" width="24" style="252" customWidth="1"/>
    <col min="19" max="19" width="19.1640625" style="252" customWidth="1"/>
    <col min="20" max="20" width="20.83203125" style="252" bestFit="1" customWidth="1"/>
    <col min="21" max="21" width="20.6640625" style="252" customWidth="1"/>
    <col min="22" max="22" width="19" style="252" customWidth="1"/>
    <col min="23" max="23" width="20.83203125" style="252" bestFit="1" customWidth="1"/>
    <col min="24" max="24" width="22" style="252" customWidth="1"/>
    <col min="25" max="25" width="25.5" style="252" bestFit="1" customWidth="1"/>
    <col min="26" max="26" width="20.6640625" style="252" customWidth="1"/>
    <col min="27" max="29" width="20" style="252" customWidth="1"/>
    <col min="30" max="30" width="21.5" style="252" customWidth="1"/>
    <col min="31" max="31" width="20.6640625" style="252" customWidth="1"/>
    <col min="32" max="32" width="18.83203125" style="252" customWidth="1"/>
    <col min="33" max="33" width="24" style="252" customWidth="1"/>
    <col min="34" max="34" width="22" style="252" customWidth="1"/>
    <col min="35" max="35" width="19.1640625" style="252" customWidth="1"/>
    <col min="36" max="36" width="18.5" style="252" customWidth="1"/>
    <col min="37" max="37" width="17.1640625" style="252" customWidth="1"/>
    <col min="38" max="39" width="26.33203125" style="252" bestFit="1" customWidth="1"/>
    <col min="40" max="40" width="19" style="252" customWidth="1"/>
    <col min="41" max="41" width="25.83203125" style="252" bestFit="1" customWidth="1"/>
    <col min="42" max="42" width="23" style="252" customWidth="1"/>
    <col min="43" max="44" width="20.6640625" style="252" customWidth="1"/>
    <col min="45" max="45" width="23" style="252" bestFit="1" customWidth="1"/>
    <col min="46" max="48" width="20.6640625" style="252" customWidth="1"/>
    <col min="49" max="49" width="20.6640625" style="251" customWidth="1"/>
    <col min="50" max="50" width="2.83203125" style="252" customWidth="1" outlineLevel="1"/>
    <col min="51" max="51" width="13.83203125" style="188" customWidth="1" outlineLevel="1"/>
    <col min="52" max="53" width="23.1640625" style="209" customWidth="1"/>
    <col min="54" max="54" width="15.6640625" style="209" customWidth="1"/>
    <col min="55" max="55" width="10.6640625" style="209"/>
    <col min="56" max="56" width="15.5" style="209" bestFit="1" customWidth="1"/>
    <col min="57" max="16384" width="10.6640625" style="209"/>
  </cols>
  <sheetData>
    <row r="1" spans="1:54">
      <c r="A1" s="250"/>
      <c r="I1" s="8" t="str">
        <f>k_Docket_Number</f>
        <v>Exh. MCC-2</v>
      </c>
      <c r="R1" s="8" t="str">
        <f>k_Docket_Number</f>
        <v>Exh. MCC-2</v>
      </c>
      <c r="AA1" s="8" t="str">
        <f>k_Docket_Number</f>
        <v>Exh. MCC-2</v>
      </c>
      <c r="AB1" s="8"/>
      <c r="AJ1" s="8" t="str">
        <f>k_Docket_Number</f>
        <v>Exh. MCC-2</v>
      </c>
      <c r="AP1" s="8"/>
      <c r="AQ1" s="26"/>
      <c r="AR1" s="8" t="str">
        <f>k_Docket_Number</f>
        <v>Exh. MCC-2</v>
      </c>
      <c r="BB1" s="8" t="s">
        <v>1097</v>
      </c>
    </row>
    <row r="2" spans="1:54">
      <c r="A2" s="250"/>
      <c r="I2" s="8" t="str">
        <f>BB2</f>
        <v>Dockets UE-170033/UG-170034</v>
      </c>
      <c r="R2" s="8" t="str">
        <f>BB2</f>
        <v>Dockets UE-170033/UG-170034</v>
      </c>
      <c r="AA2" s="8" t="str">
        <f>BB2</f>
        <v>Dockets UE-170033/UG-170034</v>
      </c>
      <c r="AB2" s="8"/>
      <c r="AJ2" s="8" t="str">
        <f>BB2</f>
        <v>Dockets UE-170033/UG-170034</v>
      </c>
      <c r="AP2" s="8"/>
      <c r="AR2" s="8" t="str">
        <f>BB2</f>
        <v>Dockets UE-170033/UG-170034</v>
      </c>
      <c r="BB2" s="8" t="s">
        <v>1176</v>
      </c>
    </row>
    <row r="3" spans="1:54">
      <c r="A3" s="250"/>
      <c r="E3" s="70"/>
      <c r="G3" s="70"/>
      <c r="H3" s="70"/>
      <c r="I3" s="8" t="s">
        <v>1151</v>
      </c>
      <c r="N3" s="70"/>
      <c r="O3" s="70"/>
      <c r="R3" s="8" t="s">
        <v>1150</v>
      </c>
      <c r="AA3" s="8" t="s">
        <v>1149</v>
      </c>
      <c r="AD3" s="70"/>
      <c r="AJ3" s="8" t="s">
        <v>1148</v>
      </c>
      <c r="AP3" s="8"/>
      <c r="AQ3" s="70"/>
      <c r="AR3" s="8" t="s">
        <v>1147</v>
      </c>
      <c r="BB3" s="8" t="s">
        <v>1146</v>
      </c>
    </row>
    <row r="4" spans="1:54" s="187" customFormat="1" ht="13.5" thickBot="1">
      <c r="A4" s="82"/>
      <c r="B4" s="1029"/>
      <c r="C4" s="1029"/>
      <c r="D4" s="82"/>
      <c r="E4" s="82"/>
      <c r="F4" s="251"/>
      <c r="G4" s="82"/>
      <c r="H4" s="82"/>
      <c r="I4" s="631"/>
      <c r="J4" s="631"/>
      <c r="K4" s="631"/>
      <c r="L4" s="251"/>
      <c r="M4" s="251"/>
      <c r="N4" s="82"/>
      <c r="O4" s="82"/>
      <c r="P4" s="251"/>
      <c r="Q4" s="251"/>
      <c r="R4" s="256"/>
      <c r="S4" s="631"/>
      <c r="T4" s="251"/>
      <c r="U4" s="251"/>
      <c r="V4" s="82"/>
      <c r="W4" s="251"/>
      <c r="X4" s="251"/>
      <c r="Y4" s="251"/>
      <c r="Z4" s="251"/>
      <c r="AA4" s="631"/>
      <c r="AB4" s="631"/>
      <c r="AC4" s="631"/>
      <c r="AD4" s="82"/>
      <c r="AE4" s="251"/>
      <c r="AF4" s="82"/>
      <c r="AG4" s="251"/>
      <c r="AH4" s="251"/>
      <c r="AI4" s="251"/>
      <c r="AJ4" s="251"/>
      <c r="AK4" s="631"/>
      <c r="AL4" s="251"/>
      <c r="AM4" s="251"/>
      <c r="AN4" s="251"/>
      <c r="AO4" s="251"/>
      <c r="AP4" s="259"/>
      <c r="AQ4" s="251"/>
      <c r="AR4" s="631"/>
      <c r="AS4" s="82"/>
      <c r="AT4" s="82"/>
      <c r="AU4" s="82"/>
      <c r="AV4" s="259"/>
      <c r="AW4" s="632"/>
      <c r="AX4" s="82"/>
      <c r="AY4" s="1029"/>
    </row>
    <row r="5" spans="1:54" s="248" customFormat="1" ht="13.5" thickBot="1">
      <c r="F5" s="970" t="s">
        <v>312</v>
      </c>
      <c r="L5" s="1290" t="s">
        <v>312</v>
      </c>
      <c r="M5" s="1290"/>
      <c r="N5" s="1290"/>
      <c r="O5" s="1290"/>
      <c r="P5" s="1290"/>
      <c r="Q5" s="1290"/>
      <c r="R5" s="1290"/>
      <c r="S5" s="1290"/>
      <c r="T5" s="1290" t="s">
        <v>312</v>
      </c>
      <c r="U5" s="1290"/>
      <c r="V5" s="1290"/>
      <c r="W5" s="1290"/>
      <c r="X5" s="1290"/>
      <c r="Y5" s="1290"/>
      <c r="Z5" s="1290"/>
      <c r="AA5" s="1290"/>
      <c r="AB5" s="970"/>
      <c r="AC5" s="970"/>
      <c r="AD5" s="1290" t="s">
        <v>312</v>
      </c>
      <c r="AE5" s="1290"/>
      <c r="AF5" s="1290"/>
      <c r="AG5" s="1290"/>
      <c r="AH5" s="1290"/>
      <c r="AI5" s="1290"/>
      <c r="AJ5" s="1290"/>
      <c r="AK5" s="1290"/>
      <c r="AL5" s="1290" t="s">
        <v>312</v>
      </c>
      <c r="AM5" s="1290"/>
      <c r="AN5" s="1290"/>
      <c r="AO5" s="1290"/>
      <c r="AP5" s="1290"/>
      <c r="AQ5" s="1290"/>
      <c r="AR5" s="1290"/>
      <c r="AU5" s="970" t="s">
        <v>312</v>
      </c>
      <c r="AZ5" s="1291" t="s">
        <v>1226</v>
      </c>
      <c r="BA5" s="1292"/>
      <c r="BB5" s="1293"/>
    </row>
    <row r="6" spans="1:54" s="248" customFormat="1">
      <c r="F6" s="970" t="s">
        <v>803</v>
      </c>
      <c r="L6" s="1290" t="s">
        <v>803</v>
      </c>
      <c r="M6" s="1290"/>
      <c r="N6" s="1290"/>
      <c r="O6" s="1290"/>
      <c r="P6" s="1290"/>
      <c r="Q6" s="1290"/>
      <c r="R6" s="1290"/>
      <c r="S6" s="1290"/>
      <c r="T6" s="1290" t="s">
        <v>803</v>
      </c>
      <c r="U6" s="1290"/>
      <c r="V6" s="1290"/>
      <c r="W6" s="1290"/>
      <c r="X6" s="1290"/>
      <c r="Y6" s="1290"/>
      <c r="Z6" s="1290"/>
      <c r="AA6" s="1290"/>
      <c r="AB6" s="970"/>
      <c r="AC6" s="970"/>
      <c r="AD6" s="1290" t="s">
        <v>803</v>
      </c>
      <c r="AE6" s="1290"/>
      <c r="AF6" s="1290"/>
      <c r="AG6" s="1290"/>
      <c r="AH6" s="1290"/>
      <c r="AI6" s="1290"/>
      <c r="AJ6" s="1290"/>
      <c r="AK6" s="1290"/>
      <c r="AL6" s="1290" t="s">
        <v>803</v>
      </c>
      <c r="AM6" s="1290"/>
      <c r="AN6" s="1290"/>
      <c r="AO6" s="1290"/>
      <c r="AP6" s="1290"/>
      <c r="AQ6" s="1290"/>
      <c r="AR6" s="1290"/>
      <c r="AU6" s="970" t="s">
        <v>803</v>
      </c>
    </row>
    <row r="7" spans="1:54" s="248" customFormat="1">
      <c r="F7" s="970" t="str">
        <f>keep_TESTYEAR</f>
        <v>FOR THE TWELVE MONTHS ENDED SEPTEMBER 30, 2016</v>
      </c>
      <c r="L7" s="1290" t="str">
        <f>keep_TESTYEAR</f>
        <v>FOR THE TWELVE MONTHS ENDED SEPTEMBER 30, 2016</v>
      </c>
      <c r="M7" s="1290"/>
      <c r="N7" s="1290"/>
      <c r="O7" s="1290"/>
      <c r="P7" s="1290"/>
      <c r="Q7" s="1290"/>
      <c r="R7" s="1290"/>
      <c r="S7" s="1290"/>
      <c r="T7" s="1290" t="str">
        <f>keep_TESTYEAR</f>
        <v>FOR THE TWELVE MONTHS ENDED SEPTEMBER 30, 2016</v>
      </c>
      <c r="U7" s="1290"/>
      <c r="V7" s="1290"/>
      <c r="W7" s="1290"/>
      <c r="X7" s="1290"/>
      <c r="Y7" s="1290"/>
      <c r="Z7" s="1290"/>
      <c r="AA7" s="1290"/>
      <c r="AB7" s="970"/>
      <c r="AC7" s="970"/>
      <c r="AD7" s="1290" t="str">
        <f>keep_TESTYEAR</f>
        <v>FOR THE TWELVE MONTHS ENDED SEPTEMBER 30, 2016</v>
      </c>
      <c r="AE7" s="1290"/>
      <c r="AF7" s="1290"/>
      <c r="AG7" s="1290"/>
      <c r="AH7" s="1290"/>
      <c r="AI7" s="1290"/>
      <c r="AJ7" s="1290"/>
      <c r="AK7" s="1290"/>
      <c r="AL7" s="1290" t="str">
        <f>keep_TESTYEAR</f>
        <v>FOR THE TWELVE MONTHS ENDED SEPTEMBER 30, 2016</v>
      </c>
      <c r="AM7" s="1290"/>
      <c r="AN7" s="1290"/>
      <c r="AO7" s="1290"/>
      <c r="AP7" s="1290"/>
      <c r="AQ7" s="1290"/>
      <c r="AR7" s="1290"/>
      <c r="AU7" s="970" t="str">
        <f>keep_TESTYEAR</f>
        <v>FOR THE TWELVE MONTHS ENDED SEPTEMBER 30, 2016</v>
      </c>
    </row>
    <row r="8" spans="1:54">
      <c r="A8" s="83"/>
      <c r="B8" s="188"/>
      <c r="C8" s="188"/>
      <c r="D8" s="209"/>
      <c r="E8" s="248"/>
      <c r="F8" s="970"/>
      <c r="G8" s="248"/>
      <c r="H8" s="248"/>
      <c r="I8" s="248"/>
      <c r="J8" s="248"/>
      <c r="K8" s="248"/>
      <c r="L8" s="1290"/>
      <c r="M8" s="1290"/>
      <c r="N8" s="1290"/>
      <c r="O8" s="1290"/>
      <c r="P8" s="1290"/>
      <c r="Q8" s="1290"/>
      <c r="R8" s="1290"/>
      <c r="S8" s="1290"/>
      <c r="T8" s="1290"/>
      <c r="U8" s="1290"/>
      <c r="V8" s="1290"/>
      <c r="W8" s="1290"/>
      <c r="X8" s="1290"/>
      <c r="Y8" s="1290"/>
      <c r="Z8" s="1290"/>
      <c r="AA8" s="1290"/>
      <c r="AB8" s="970"/>
      <c r="AC8" s="970"/>
      <c r="AD8" s="1290"/>
      <c r="AE8" s="1290"/>
      <c r="AF8" s="1290"/>
      <c r="AG8" s="1290"/>
      <c r="AH8" s="1290"/>
      <c r="AI8" s="1290"/>
      <c r="AJ8" s="1290"/>
      <c r="AK8" s="1290"/>
      <c r="AL8" s="1290"/>
      <c r="AM8" s="1290"/>
      <c r="AN8" s="1290"/>
      <c r="AO8" s="1290"/>
      <c r="AP8" s="1290"/>
      <c r="AQ8" s="1290"/>
      <c r="AR8" s="1290"/>
      <c r="AS8" s="151" t="s">
        <v>34</v>
      </c>
      <c r="AT8" s="248"/>
      <c r="AU8" s="248"/>
      <c r="AV8" s="248"/>
      <c r="AW8" s="248"/>
      <c r="AX8" s="250"/>
    </row>
    <row r="9" spans="1:54" ht="13.5">
      <c r="A9" s="83"/>
      <c r="B9" s="188"/>
      <c r="C9" s="188"/>
      <c r="D9" s="25"/>
      <c r="E9" s="25"/>
      <c r="F9" s="25"/>
      <c r="G9" s="25"/>
      <c r="H9" s="25"/>
      <c r="I9" s="1269" t="s">
        <v>851</v>
      </c>
      <c r="J9" s="1269" t="s">
        <v>851</v>
      </c>
      <c r="K9" s="25"/>
      <c r="L9" s="57"/>
      <c r="M9" s="25"/>
      <c r="N9" s="25"/>
      <c r="O9" s="25"/>
      <c r="P9" s="25"/>
      <c r="Q9" s="57"/>
      <c r="R9" s="25"/>
      <c r="S9" s="25"/>
      <c r="T9" s="25"/>
      <c r="U9" s="25"/>
      <c r="V9" s="25"/>
      <c r="W9" s="25"/>
      <c r="X9" s="25"/>
      <c r="Y9" s="25"/>
      <c r="Z9" s="25"/>
      <c r="AA9" s="209"/>
      <c r="AB9" s="1270" t="s">
        <v>851</v>
      </c>
      <c r="AC9" s="970"/>
      <c r="AD9" s="209"/>
      <c r="AE9" s="25"/>
      <c r="AF9" s="57"/>
      <c r="AG9" s="25"/>
      <c r="AH9" s="25"/>
      <c r="AI9" s="25"/>
      <c r="AJ9" s="25"/>
      <c r="AK9" s="25"/>
      <c r="AL9" s="25"/>
      <c r="AM9" s="25"/>
      <c r="AN9" s="25"/>
      <c r="AO9" s="25"/>
      <c r="AP9" s="25"/>
      <c r="AQ9" s="25"/>
      <c r="AR9" s="25"/>
      <c r="AS9" s="250"/>
      <c r="AT9" s="250"/>
      <c r="AU9" s="250"/>
      <c r="AV9" s="250"/>
      <c r="AW9" s="250"/>
      <c r="AX9" s="250"/>
    </row>
    <row r="10" spans="1:54" s="1104" customFormat="1" ht="13.5">
      <c r="A10" s="621"/>
      <c r="B10" s="640" t="s">
        <v>900</v>
      </c>
      <c r="C10" s="1103"/>
      <c r="D10" s="622"/>
      <c r="E10" s="622"/>
      <c r="F10" s="622" t="s">
        <v>884</v>
      </c>
      <c r="G10" s="622"/>
      <c r="H10" s="622"/>
      <c r="I10" s="622" t="s">
        <v>884</v>
      </c>
      <c r="J10" s="622" t="s">
        <v>884</v>
      </c>
      <c r="K10" s="622" t="s">
        <v>884</v>
      </c>
      <c r="L10" s="623"/>
      <c r="M10" s="622"/>
      <c r="N10" s="622"/>
      <c r="O10" s="622"/>
      <c r="P10" s="622"/>
      <c r="Q10" s="622" t="s">
        <v>884</v>
      </c>
      <c r="R10" s="622"/>
      <c r="S10" s="622"/>
      <c r="T10" s="622"/>
      <c r="U10" s="622"/>
      <c r="V10" s="622"/>
      <c r="W10" s="622"/>
      <c r="X10" s="622" t="s">
        <v>884</v>
      </c>
      <c r="Y10" s="622" t="s">
        <v>884</v>
      </c>
      <c r="Z10" s="622"/>
      <c r="AA10" s="622"/>
      <c r="AB10" s="622" t="s">
        <v>884</v>
      </c>
      <c r="AC10" s="622" t="s">
        <v>884</v>
      </c>
      <c r="AD10" s="622" t="s">
        <v>884</v>
      </c>
      <c r="AE10" s="622"/>
      <c r="AF10" s="623"/>
      <c r="AG10" s="622"/>
      <c r="AH10" s="622" t="s">
        <v>884</v>
      </c>
      <c r="AI10" s="622"/>
      <c r="AJ10" s="622"/>
      <c r="AK10" s="622" t="s">
        <v>884</v>
      </c>
      <c r="AL10" s="622"/>
      <c r="AM10" s="622"/>
      <c r="AN10" s="622" t="s">
        <v>884</v>
      </c>
      <c r="AO10" s="622" t="s">
        <v>884</v>
      </c>
      <c r="AP10" s="622" t="s">
        <v>884</v>
      </c>
      <c r="AQ10" s="622"/>
      <c r="AR10" s="622"/>
      <c r="AS10" s="622"/>
      <c r="AT10" s="622"/>
      <c r="AU10" s="622"/>
      <c r="AV10" s="622"/>
      <c r="AW10" s="622"/>
      <c r="AX10" s="622"/>
      <c r="AY10" s="1103"/>
    </row>
    <row r="11" spans="1:54" s="1105" customFormat="1" ht="13.5">
      <c r="A11" s="834"/>
      <c r="B11" s="640"/>
      <c r="C11" s="835"/>
      <c r="D11" s="835"/>
      <c r="E11" s="171"/>
      <c r="F11" s="171"/>
      <c r="G11" s="171"/>
      <c r="H11" s="171"/>
      <c r="K11" s="171" t="s">
        <v>334</v>
      </c>
      <c r="L11" s="171"/>
      <c r="M11" s="171"/>
      <c r="N11" s="171"/>
      <c r="O11" s="171"/>
      <c r="P11" s="171"/>
      <c r="Q11" s="171"/>
      <c r="R11" s="171"/>
      <c r="S11" s="171"/>
      <c r="T11" s="171"/>
      <c r="U11" s="171"/>
      <c r="V11" s="171"/>
      <c r="W11" s="171"/>
      <c r="X11" s="171"/>
      <c r="Y11" s="171"/>
      <c r="Z11" s="171"/>
      <c r="AA11" s="171"/>
      <c r="AB11" s="171" t="s">
        <v>334</v>
      </c>
      <c r="AC11" s="171" t="s">
        <v>334</v>
      </c>
      <c r="AD11" s="171"/>
      <c r="AE11" s="171"/>
      <c r="AF11" s="171"/>
      <c r="AG11" s="171"/>
      <c r="AH11" s="171"/>
      <c r="AI11" s="171"/>
      <c r="AJ11" s="171"/>
      <c r="AK11" s="171"/>
      <c r="AL11" s="171"/>
      <c r="AM11" s="171"/>
      <c r="AN11" s="171"/>
      <c r="AO11" s="171"/>
      <c r="AP11" s="171"/>
      <c r="AQ11" s="171"/>
      <c r="AR11" s="171"/>
      <c r="AS11" s="171"/>
      <c r="AT11" s="171"/>
      <c r="AU11" s="171"/>
      <c r="AV11" s="171"/>
      <c r="AW11" s="171"/>
      <c r="AX11" s="170"/>
      <c r="AY11" s="211"/>
      <c r="AZ11" s="1104" t="s">
        <v>334</v>
      </c>
      <c r="BA11" s="1104" t="s">
        <v>334</v>
      </c>
    </row>
    <row r="12" spans="1:54" ht="18.75" customHeight="1">
      <c r="A12" s="83"/>
      <c r="B12" s="250"/>
      <c r="C12" s="250"/>
      <c r="D12" s="970" t="s">
        <v>300</v>
      </c>
      <c r="E12" s="970" t="s">
        <v>80</v>
      </c>
      <c r="F12" s="970" t="s">
        <v>145</v>
      </c>
      <c r="G12" s="970" t="s">
        <v>207</v>
      </c>
      <c r="H12" s="970" t="s">
        <v>291</v>
      </c>
      <c r="I12" s="970" t="s">
        <v>845</v>
      </c>
      <c r="J12" s="970" t="s">
        <v>332</v>
      </c>
      <c r="K12" s="970" t="s">
        <v>1025</v>
      </c>
      <c r="L12" s="970" t="s">
        <v>197</v>
      </c>
      <c r="M12" s="970" t="s">
        <v>292</v>
      </c>
      <c r="N12" s="970" t="s">
        <v>51</v>
      </c>
      <c r="O12" s="970" t="s">
        <v>170</v>
      </c>
      <c r="P12" s="970" t="s">
        <v>293</v>
      </c>
      <c r="Q12" s="970" t="s">
        <v>299</v>
      </c>
      <c r="R12" s="970" t="s">
        <v>237</v>
      </c>
      <c r="S12" s="970" t="s">
        <v>320</v>
      </c>
      <c r="T12" s="970" t="s">
        <v>325</v>
      </c>
      <c r="U12" s="970" t="s">
        <v>324</v>
      </c>
      <c r="V12" s="970" t="s">
        <v>295</v>
      </c>
      <c r="W12" s="970" t="s">
        <v>294</v>
      </c>
      <c r="X12" s="970" t="s">
        <v>497</v>
      </c>
      <c r="Y12" s="970" t="s">
        <v>800</v>
      </c>
      <c r="Z12" s="970" t="s">
        <v>656</v>
      </c>
      <c r="AA12" s="970" t="s">
        <v>758</v>
      </c>
      <c r="AB12" s="970" t="s">
        <v>1060</v>
      </c>
      <c r="AC12" s="970" t="s">
        <v>1100</v>
      </c>
      <c r="AD12" s="970" t="s">
        <v>290</v>
      </c>
      <c r="AE12" s="970" t="s">
        <v>173</v>
      </c>
      <c r="AF12" s="970" t="s">
        <v>118</v>
      </c>
      <c r="AG12" s="970" t="s">
        <v>70</v>
      </c>
      <c r="AH12" s="970" t="s">
        <v>298</v>
      </c>
      <c r="AI12" s="970" t="s">
        <v>209</v>
      </c>
      <c r="AJ12" s="970" t="s">
        <v>454</v>
      </c>
      <c r="AK12" s="970" t="s">
        <v>499</v>
      </c>
      <c r="AL12" s="970" t="s">
        <v>616</v>
      </c>
      <c r="AM12" s="970" t="s">
        <v>624</v>
      </c>
      <c r="AN12" s="970" t="s">
        <v>653</v>
      </c>
      <c r="AO12" s="970" t="s">
        <v>693</v>
      </c>
      <c r="AP12" s="970" t="s">
        <v>296</v>
      </c>
      <c r="AQ12" s="970" t="s">
        <v>84</v>
      </c>
      <c r="AR12" s="970" t="s">
        <v>309</v>
      </c>
      <c r="AS12" s="970"/>
      <c r="AT12" s="970"/>
      <c r="AU12" s="970" t="s">
        <v>309</v>
      </c>
      <c r="AV12" s="970" t="s">
        <v>124</v>
      </c>
      <c r="AW12" s="970" t="s">
        <v>311</v>
      </c>
      <c r="AX12" s="250"/>
      <c r="AZ12" s="822" t="s">
        <v>998</v>
      </c>
      <c r="BA12" s="822" t="s">
        <v>1107</v>
      </c>
    </row>
    <row r="13" spans="1:54" ht="25.5">
      <c r="A13" s="61" t="s">
        <v>284</v>
      </c>
      <c r="B13" s="250"/>
      <c r="C13" s="250"/>
      <c r="D13" s="970" t="s">
        <v>97</v>
      </c>
      <c r="E13" s="970" t="s">
        <v>202</v>
      </c>
      <c r="F13" s="970" t="s">
        <v>158</v>
      </c>
      <c r="G13" s="970" t="s">
        <v>208</v>
      </c>
      <c r="H13" s="19" t="s">
        <v>87</v>
      </c>
      <c r="I13" s="19" t="s">
        <v>846</v>
      </c>
      <c r="J13" s="970" t="s">
        <v>456</v>
      </c>
      <c r="K13" s="970" t="s">
        <v>1026</v>
      </c>
      <c r="L13" s="970" t="s">
        <v>198</v>
      </c>
      <c r="M13" s="19" t="s">
        <v>89</v>
      </c>
      <c r="N13" s="19" t="s">
        <v>50</v>
      </c>
      <c r="O13" s="19" t="s">
        <v>88</v>
      </c>
      <c r="P13" s="19" t="s">
        <v>91</v>
      </c>
      <c r="Q13" s="970" t="s">
        <v>96</v>
      </c>
      <c r="R13" s="970" t="s">
        <v>323</v>
      </c>
      <c r="S13" s="48" t="s">
        <v>321</v>
      </c>
      <c r="T13" s="48" t="s">
        <v>94</v>
      </c>
      <c r="U13" s="19" t="s">
        <v>285</v>
      </c>
      <c r="V13" s="19" t="s">
        <v>94</v>
      </c>
      <c r="W13" s="970" t="s">
        <v>88</v>
      </c>
      <c r="X13" s="970" t="s">
        <v>498</v>
      </c>
      <c r="Y13" s="970" t="s">
        <v>801</v>
      </c>
      <c r="Z13" s="970" t="s">
        <v>657</v>
      </c>
      <c r="AA13" s="970" t="s">
        <v>752</v>
      </c>
      <c r="AB13" s="19" t="s">
        <v>77</v>
      </c>
      <c r="AC13" s="19" t="s">
        <v>77</v>
      </c>
      <c r="AD13" s="19" t="s">
        <v>86</v>
      </c>
      <c r="AE13" s="19" t="s">
        <v>92</v>
      </c>
      <c r="AF13" s="970" t="s">
        <v>119</v>
      </c>
      <c r="AG13" s="970" t="s">
        <v>68</v>
      </c>
      <c r="AH13" s="19" t="s">
        <v>95</v>
      </c>
      <c r="AI13" s="970" t="s">
        <v>193</v>
      </c>
      <c r="AJ13" s="970" t="s">
        <v>455</v>
      </c>
      <c r="AK13" s="970" t="s">
        <v>500</v>
      </c>
      <c r="AL13" s="970" t="s">
        <v>617</v>
      </c>
      <c r="AM13" s="970" t="s">
        <v>617</v>
      </c>
      <c r="AN13" s="19" t="s">
        <v>654</v>
      </c>
      <c r="AO13" s="970" t="s">
        <v>685</v>
      </c>
      <c r="AP13" s="19" t="s">
        <v>77</v>
      </c>
      <c r="AQ13" s="259" t="s">
        <v>139</v>
      </c>
      <c r="AR13" s="970" t="s">
        <v>97</v>
      </c>
      <c r="AS13" s="970" t="s">
        <v>305</v>
      </c>
      <c r="AT13" s="970" t="s">
        <v>84</v>
      </c>
      <c r="AU13" s="970" t="s">
        <v>97</v>
      </c>
      <c r="AV13" s="970" t="s">
        <v>310</v>
      </c>
      <c r="AW13" s="970" t="s">
        <v>99</v>
      </c>
      <c r="AX13" s="970"/>
      <c r="AZ13" s="822" t="s">
        <v>1029</v>
      </c>
      <c r="BA13" s="822" t="s">
        <v>1108</v>
      </c>
    </row>
    <row r="14" spans="1:54" s="252" customFormat="1">
      <c r="A14" s="61" t="s">
        <v>301</v>
      </c>
      <c r="B14" s="250"/>
      <c r="C14" s="250"/>
      <c r="D14" s="970" t="s">
        <v>3</v>
      </c>
      <c r="E14" s="323">
        <v>13.01</v>
      </c>
      <c r="F14" s="323">
        <v>13.02</v>
      </c>
      <c r="G14" s="323">
        <v>13.03</v>
      </c>
      <c r="H14" s="323">
        <v>13.04</v>
      </c>
      <c r="I14" s="323">
        <v>13.05</v>
      </c>
      <c r="J14" s="323">
        <v>13.06</v>
      </c>
      <c r="K14" s="323" t="s">
        <v>1024</v>
      </c>
      <c r="L14" s="323">
        <v>13.07</v>
      </c>
      <c r="M14" s="323">
        <v>13.08</v>
      </c>
      <c r="N14" s="323">
        <v>13.09</v>
      </c>
      <c r="O14" s="323">
        <v>13.1</v>
      </c>
      <c r="P14" s="323">
        <v>13.11</v>
      </c>
      <c r="Q14" s="323">
        <v>13.12</v>
      </c>
      <c r="R14" s="323">
        <v>13.13</v>
      </c>
      <c r="S14" s="323">
        <v>13.14</v>
      </c>
      <c r="T14" s="323">
        <v>13.15</v>
      </c>
      <c r="U14" s="323">
        <v>13.16</v>
      </c>
      <c r="V14" s="323">
        <v>13.17</v>
      </c>
      <c r="W14" s="323">
        <v>13.18</v>
      </c>
      <c r="X14" s="323">
        <v>13.19</v>
      </c>
      <c r="Y14" s="323">
        <v>13.2</v>
      </c>
      <c r="Z14" s="323">
        <v>13.21</v>
      </c>
      <c r="AA14" s="323">
        <v>13.22</v>
      </c>
      <c r="AB14" s="323">
        <v>13.23</v>
      </c>
      <c r="AC14" s="323">
        <v>13.24</v>
      </c>
      <c r="AD14" s="323">
        <v>14.01</v>
      </c>
      <c r="AE14" s="323">
        <v>14.02</v>
      </c>
      <c r="AF14" s="323">
        <v>14.03</v>
      </c>
      <c r="AG14" s="323">
        <v>14.04</v>
      </c>
      <c r="AH14" s="323">
        <v>14.05</v>
      </c>
      <c r="AI14" s="323">
        <v>14.06</v>
      </c>
      <c r="AJ14" s="323">
        <v>14.07</v>
      </c>
      <c r="AK14" s="323">
        <v>14.08</v>
      </c>
      <c r="AL14" s="323">
        <v>14.09</v>
      </c>
      <c r="AM14" s="323">
        <v>14.1</v>
      </c>
      <c r="AN14" s="323">
        <v>14.11</v>
      </c>
      <c r="AO14" s="323">
        <v>14.12</v>
      </c>
      <c r="AP14" s="323">
        <v>14.13</v>
      </c>
      <c r="AQ14" s="259"/>
      <c r="AR14" s="259" t="s">
        <v>98</v>
      </c>
      <c r="AS14" s="259" t="s">
        <v>306</v>
      </c>
      <c r="AT14" s="259" t="s">
        <v>139</v>
      </c>
      <c r="AU14" s="259" t="s">
        <v>98</v>
      </c>
      <c r="AV14" s="869" t="str">
        <f>IF(AV21&lt;0,"SUFFICIENCY","DEFICIENCY")</f>
        <v>DEFICIENCY</v>
      </c>
      <c r="AW14" s="259" t="str">
        <f>IF(AV21&lt;0,"DECREASE","INCREASE")</f>
        <v>INCREASE</v>
      </c>
      <c r="AX14" s="970"/>
      <c r="AY14" s="70"/>
      <c r="AZ14" s="259" t="s">
        <v>124</v>
      </c>
      <c r="BA14" s="869" t="str">
        <f>IF(BA21&lt;0,"SUFFICIENCY","DEFICIENCY")</f>
        <v>SUFFICIENCY</v>
      </c>
    </row>
    <row r="15" spans="1:54">
      <c r="A15" s="65" t="s">
        <v>101</v>
      </c>
      <c r="B15" s="12"/>
      <c r="C15" s="12"/>
      <c r="D15" s="6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row>
    <row r="16" spans="1:54">
      <c r="A16" s="253">
        <v>1</v>
      </c>
      <c r="B16" s="255" t="s">
        <v>104</v>
      </c>
      <c r="C16" s="255"/>
      <c r="D16" s="40"/>
      <c r="E16" s="73"/>
      <c r="F16" s="73"/>
      <c r="G16" s="73"/>
      <c r="H16" s="73"/>
      <c r="I16" s="73"/>
      <c r="J16" s="73"/>
      <c r="K16" s="73"/>
      <c r="M16" s="87"/>
      <c r="N16" s="73"/>
      <c r="O16" s="73"/>
      <c r="P16" s="73"/>
      <c r="R16" s="73"/>
      <c r="U16" s="73"/>
      <c r="AB16" s="73"/>
      <c r="AC16" s="73"/>
      <c r="AD16" s="73"/>
      <c r="AG16" s="255"/>
      <c r="AH16" s="73"/>
      <c r="AI16" s="73"/>
      <c r="AJ16" s="73"/>
      <c r="AK16" s="73"/>
      <c r="AL16" s="73"/>
      <c r="AM16" s="73"/>
      <c r="AN16" s="73"/>
      <c r="AO16" s="73"/>
      <c r="AP16" s="73"/>
      <c r="AR16" s="73"/>
      <c r="AW16" s="252"/>
      <c r="AY16" s="1191" t="s">
        <v>1225</v>
      </c>
      <c r="AZ16" s="12"/>
      <c r="BA16" s="12"/>
      <c r="BB16" s="1191" t="s">
        <v>1224</v>
      </c>
    </row>
    <row r="17" spans="1:67" ht="13.5">
      <c r="A17" s="253">
        <f t="shared" ref="A17:A62" si="0">A16+1</f>
        <v>2</v>
      </c>
      <c r="B17" s="255" t="s">
        <v>265</v>
      </c>
      <c r="C17" s="255"/>
      <c r="D17" s="195">
        <f>[11]Allocated!$B9</f>
        <v>2146048308.1900001</v>
      </c>
      <c r="E17" s="195">
        <f>'MCC-2 page 7-30'!D23-'MCC-2 page 7-30'!D20</f>
        <v>-18636297.520117842</v>
      </c>
      <c r="F17" s="195">
        <f>'MCC-2 page 7-30'!L41-'MCC-2 page 7-30'!J39</f>
        <v>33201707.317327894</v>
      </c>
      <c r="G17" s="195">
        <f>-('MCC-2 page 7-30'!Q27-'MCC-2 page 7-30'!Q21-'MCC-2 page 7-30'!Q25-'MCC-2 page 7-30'!Q17)</f>
        <v>-192533060.51000002</v>
      </c>
      <c r="H17" s="195">
        <v>0</v>
      </c>
      <c r="I17" s="195">
        <v>0</v>
      </c>
      <c r="J17" s="195">
        <v>0</v>
      </c>
      <c r="K17" s="195"/>
      <c r="L17" s="195"/>
      <c r="M17" s="195">
        <v>0</v>
      </c>
      <c r="N17" s="195"/>
      <c r="O17" s="195">
        <v>0</v>
      </c>
      <c r="P17" s="195">
        <v>0</v>
      </c>
      <c r="Q17" s="195">
        <v>0</v>
      </c>
      <c r="R17" s="195">
        <v>0</v>
      </c>
      <c r="S17" s="195">
        <v>0</v>
      </c>
      <c r="T17" s="195">
        <v>0</v>
      </c>
      <c r="U17" s="195">
        <v>0</v>
      </c>
      <c r="V17" s="195">
        <v>0</v>
      </c>
      <c r="W17" s="195">
        <v>0</v>
      </c>
      <c r="X17" s="195">
        <v>0</v>
      </c>
      <c r="Y17" s="195">
        <v>0</v>
      </c>
      <c r="Z17" s="195">
        <v>0</v>
      </c>
      <c r="AA17" s="195">
        <v>0</v>
      </c>
      <c r="AB17" s="195"/>
      <c r="AC17" s="195"/>
      <c r="AD17" s="195"/>
      <c r="AE17" s="195">
        <v>0</v>
      </c>
      <c r="AF17" s="195"/>
      <c r="AG17" s="195">
        <v>0</v>
      </c>
      <c r="AH17" s="195">
        <v>0</v>
      </c>
      <c r="AI17" s="195">
        <v>0</v>
      </c>
      <c r="AJ17" s="195"/>
      <c r="AK17" s="195"/>
      <c r="AL17" s="195"/>
      <c r="AM17" s="195"/>
      <c r="AN17" s="195"/>
      <c r="AO17" s="195"/>
      <c r="AP17" s="195"/>
      <c r="AQ17" s="195">
        <f>SUM(E17:AP17)</f>
        <v>-177967650.71278995</v>
      </c>
      <c r="AR17" s="195">
        <f>AQ17+D17</f>
        <v>1968080657.47721</v>
      </c>
      <c r="AS17" s="195">
        <f>D17</f>
        <v>2146048308.1900001</v>
      </c>
      <c r="AT17" s="195">
        <f>+AQ17</f>
        <v>-177967650.71278995</v>
      </c>
      <c r="AU17" s="195">
        <f>SUM(AS17:AT17)</f>
        <v>1968080657.47721</v>
      </c>
      <c r="AV17" s="1248">
        <f>'EXHIBIT MCC-3'!D25</f>
        <v>51195740.190754801</v>
      </c>
      <c r="AW17" s="1248">
        <f>SUM(AU17:AV17)</f>
        <v>2019276397.6679649</v>
      </c>
      <c r="AY17" s="1252">
        <f>AV17/AU17</f>
        <v>2.6013029494624581E-2</v>
      </c>
      <c r="AZ17" s="840">
        <f>-'EXHIBIT MCC-12'!H28</f>
        <v>86230222</v>
      </c>
      <c r="BA17" s="1250">
        <f>AV17-AZ17</f>
        <v>-35034481.809245199</v>
      </c>
      <c r="BB17" s="1253">
        <f>BA17/AU17</f>
        <v>-1.7801344511029469E-2</v>
      </c>
      <c r="BC17" s="181"/>
      <c r="BD17" s="181"/>
      <c r="BE17" s="181"/>
      <c r="BF17" s="181"/>
      <c r="BG17" s="181"/>
      <c r="BH17" s="181"/>
      <c r="BI17" s="181"/>
      <c r="BJ17" s="181"/>
      <c r="BK17" s="181"/>
      <c r="BL17" s="181"/>
      <c r="BM17" s="181"/>
      <c r="BN17" s="181"/>
      <c r="BO17" s="181"/>
    </row>
    <row r="18" spans="1:67" ht="13.5">
      <c r="A18" s="253">
        <f t="shared" si="0"/>
        <v>3</v>
      </c>
      <c r="B18" s="255" t="s">
        <v>54</v>
      </c>
      <c r="C18" s="255"/>
      <c r="D18" s="179">
        <f>[11]Allocated!$B10</f>
        <v>324382.2</v>
      </c>
      <c r="E18" s="179">
        <f>'MCC-2 page 7-30'!D20</f>
        <v>146.57999999999811</v>
      </c>
      <c r="F18" s="179">
        <f>'MCC-2 page 7-30'!J39</f>
        <v>6197.3419463974533</v>
      </c>
      <c r="G18" s="179">
        <f>-'MCC-2 page 7-30'!Q17</f>
        <v>-13257.679999999998</v>
      </c>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f>SUM(E18:AP18)</f>
        <v>-6913.7580536025471</v>
      </c>
      <c r="AR18" s="179">
        <f>AQ18+D18</f>
        <v>317468.44194639748</v>
      </c>
      <c r="AS18" s="331">
        <f>D18</f>
        <v>324382.2</v>
      </c>
      <c r="AT18" s="179">
        <f>+AQ18</f>
        <v>-6913.7580536025471</v>
      </c>
      <c r="AU18" s="179">
        <f>SUM(AS18:AT18)</f>
        <v>317468.44194639748</v>
      </c>
      <c r="AV18" s="179">
        <f>'EXHIBIT MCC-3'!D24+'EXHIBIT MCC-3'!D23</f>
        <v>405142.80924519914</v>
      </c>
      <c r="AW18" s="331">
        <f>SUM(AU18:AV18)</f>
        <v>722611.25119159662</v>
      </c>
      <c r="AZ18" s="841">
        <f>-'EXHIBIT MCC-12'!I28</f>
        <v>-22000</v>
      </c>
      <c r="BA18" s="842">
        <f>AV18-AZ18</f>
        <v>427142.80924519914</v>
      </c>
      <c r="BC18" s="181"/>
      <c r="BD18" s="181"/>
      <c r="BE18" s="181"/>
      <c r="BF18" s="181"/>
      <c r="BG18" s="181"/>
      <c r="BH18" s="181"/>
      <c r="BI18" s="181"/>
      <c r="BJ18" s="181"/>
      <c r="BK18" s="181"/>
      <c r="BL18" s="181"/>
      <c r="BM18" s="181"/>
      <c r="BN18" s="181"/>
      <c r="BO18" s="181"/>
    </row>
    <row r="19" spans="1:67" ht="13.5">
      <c r="A19" s="253">
        <f t="shared" si="0"/>
        <v>4</v>
      </c>
      <c r="B19" s="255" t="s">
        <v>267</v>
      </c>
      <c r="C19" s="255"/>
      <c r="D19" s="179">
        <f>[11]Allocated!$B11</f>
        <v>201125741.739999</v>
      </c>
      <c r="E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f>-'MCC-2 page 31-45'!E19</f>
        <v>-179079518.3565152</v>
      </c>
      <c r="AE19" s="179"/>
      <c r="AF19" s="179"/>
      <c r="AG19" s="179"/>
      <c r="AH19" s="179"/>
      <c r="AI19" s="179"/>
      <c r="AJ19" s="179"/>
      <c r="AK19" s="179"/>
      <c r="AL19" s="179"/>
      <c r="AM19" s="179"/>
      <c r="AN19" s="179"/>
      <c r="AO19" s="179"/>
      <c r="AP19" s="179"/>
      <c r="AQ19" s="179">
        <f>SUM(E19:AP19)</f>
        <v>-179079518.3565152</v>
      </c>
      <c r="AR19" s="179">
        <f>AQ19+D19</f>
        <v>22046223.383483797</v>
      </c>
      <c r="AS19" s="331">
        <f>D19</f>
        <v>201125741.739999</v>
      </c>
      <c r="AT19" s="179">
        <f>+AQ19</f>
        <v>-179079518.3565152</v>
      </c>
      <c r="AU19" s="179">
        <f>SUM(AS19:AT19)</f>
        <v>22046223.383483797</v>
      </c>
      <c r="AV19" s="331"/>
      <c r="AW19" s="331">
        <f>SUM(AU19:AV19)</f>
        <v>22046223.383483797</v>
      </c>
      <c r="AX19" s="179"/>
      <c r="AZ19" s="841"/>
      <c r="BA19" s="842">
        <f>AV19-AZ19</f>
        <v>0</v>
      </c>
      <c r="BC19" s="181"/>
      <c r="BD19" s="181"/>
      <c r="BE19" s="181"/>
      <c r="BF19" s="181"/>
      <c r="BG19" s="181"/>
      <c r="BH19" s="181"/>
      <c r="BI19" s="181"/>
      <c r="BJ19" s="181"/>
      <c r="BK19" s="181"/>
      <c r="BL19" s="181"/>
      <c r="BM19" s="181"/>
      <c r="BN19" s="181"/>
      <c r="BO19" s="181"/>
    </row>
    <row r="20" spans="1:67" ht="14.25" thickBot="1">
      <c r="A20" s="253">
        <f t="shared" si="0"/>
        <v>5</v>
      </c>
      <c r="B20" s="255" t="s">
        <v>268</v>
      </c>
      <c r="C20" s="255"/>
      <c r="D20" s="179">
        <f>[11]Allocated!$B12</f>
        <v>47841338.950000003</v>
      </c>
      <c r="E20" s="226">
        <f>'MCC-2 page 7-30'!D32</f>
        <v>-10225162.969999999</v>
      </c>
      <c r="F20" s="195"/>
      <c r="G20" s="226">
        <f>-SUM('MCC-2 page 7-30'!Q21,'MCC-2 page 7-30'!Q25)</f>
        <v>-278052.84999999986</v>
      </c>
      <c r="H20" s="226"/>
      <c r="I20" s="226" t="s">
        <v>253</v>
      </c>
      <c r="J20" s="226"/>
      <c r="K20" s="226"/>
      <c r="L20" s="226"/>
      <c r="M20" s="226"/>
      <c r="N20" s="226"/>
      <c r="O20" s="226"/>
      <c r="P20" s="226"/>
      <c r="Q20" s="226"/>
      <c r="R20" s="226"/>
      <c r="S20" s="226"/>
      <c r="T20" s="226"/>
      <c r="U20" s="226"/>
      <c r="V20" s="226"/>
      <c r="W20" s="226"/>
      <c r="X20" s="226"/>
      <c r="Y20" s="226"/>
      <c r="Z20" s="226"/>
      <c r="AA20" s="226"/>
      <c r="AB20" s="226"/>
      <c r="AC20" s="226"/>
      <c r="AD20" s="226">
        <f>-'MCC-2 page 31-45'!E20-'MCC-2 page 31-45'!E24</f>
        <v>36636880.384476595</v>
      </c>
      <c r="AE20" s="226"/>
      <c r="AF20" s="226"/>
      <c r="AG20" s="226"/>
      <c r="AH20" s="226"/>
      <c r="AI20" s="226"/>
      <c r="AJ20" s="226"/>
      <c r="AK20" s="226"/>
      <c r="AL20" s="226"/>
      <c r="AM20" s="226"/>
      <c r="AN20" s="226"/>
      <c r="AO20" s="226"/>
      <c r="AP20" s="226"/>
      <c r="AQ20" s="179">
        <f>SUM(E20:AP20)</f>
        <v>26133664.564476594</v>
      </c>
      <c r="AR20" s="226">
        <f>AQ20+D20</f>
        <v>73975003.514476597</v>
      </c>
      <c r="AS20" s="196">
        <f>D20</f>
        <v>47841338.950000003</v>
      </c>
      <c r="AT20" s="226">
        <f>+AQ20</f>
        <v>26133664.564476594</v>
      </c>
      <c r="AU20" s="226">
        <f>SUM(AS20:AT20)</f>
        <v>73975003.514476597</v>
      </c>
      <c r="AV20" s="196"/>
      <c r="AW20" s="196">
        <f>SUM(AU20:AV20)</f>
        <v>73975003.514476597</v>
      </c>
      <c r="AX20" s="179"/>
      <c r="AZ20" s="843"/>
      <c r="BA20" s="842">
        <f>AV20-AZ20</f>
        <v>0</v>
      </c>
      <c r="BC20" s="181"/>
      <c r="BD20" s="181"/>
      <c r="BE20" s="181"/>
      <c r="BF20" s="181"/>
      <c r="BG20" s="181"/>
      <c r="BH20" s="181"/>
      <c r="BI20" s="181"/>
      <c r="BJ20" s="181"/>
      <c r="BK20" s="181"/>
      <c r="BL20" s="181"/>
      <c r="BM20" s="181"/>
      <c r="BN20" s="181"/>
      <c r="BO20" s="181"/>
    </row>
    <row r="21" spans="1:67" ht="14.25" thickBot="1">
      <c r="A21" s="253">
        <f t="shared" si="0"/>
        <v>6</v>
      </c>
      <c r="B21" s="255" t="s">
        <v>269</v>
      </c>
      <c r="C21" s="255"/>
      <c r="D21" s="476">
        <f t="shared" ref="D21:J21" si="1">SUM(D17:D20)</f>
        <v>2395339771.079999</v>
      </c>
      <c r="E21" s="476">
        <f t="shared" si="1"/>
        <v>-28861313.910117842</v>
      </c>
      <c r="F21" s="476">
        <f t="shared" si="1"/>
        <v>33207904.659274291</v>
      </c>
      <c r="G21" s="476">
        <f t="shared" si="1"/>
        <v>-192824371.04000002</v>
      </c>
      <c r="H21" s="476">
        <f t="shared" si="1"/>
        <v>0</v>
      </c>
      <c r="I21" s="476">
        <f t="shared" si="1"/>
        <v>0</v>
      </c>
      <c r="J21" s="476">
        <f t="shared" si="1"/>
        <v>0</v>
      </c>
      <c r="K21" s="476">
        <f>SUM(K17:K20)</f>
        <v>0</v>
      </c>
      <c r="L21" s="476"/>
      <c r="M21" s="476">
        <f t="shared" ref="M21:AA21" si="2">SUM(M17:M20)</f>
        <v>0</v>
      </c>
      <c r="N21" s="476">
        <f t="shared" si="2"/>
        <v>0</v>
      </c>
      <c r="O21" s="476">
        <f t="shared" si="2"/>
        <v>0</v>
      </c>
      <c r="P21" s="476">
        <f t="shared" si="2"/>
        <v>0</v>
      </c>
      <c r="Q21" s="476">
        <f t="shared" si="2"/>
        <v>0</v>
      </c>
      <c r="R21" s="476">
        <f t="shared" si="2"/>
        <v>0</v>
      </c>
      <c r="S21" s="476">
        <f t="shared" si="2"/>
        <v>0</v>
      </c>
      <c r="T21" s="476">
        <f t="shared" si="2"/>
        <v>0</v>
      </c>
      <c r="U21" s="476">
        <f t="shared" si="2"/>
        <v>0</v>
      </c>
      <c r="V21" s="476">
        <f t="shared" si="2"/>
        <v>0</v>
      </c>
      <c r="W21" s="476">
        <f t="shared" si="2"/>
        <v>0</v>
      </c>
      <c r="X21" s="476">
        <f t="shared" si="2"/>
        <v>0</v>
      </c>
      <c r="Y21" s="476">
        <f t="shared" si="2"/>
        <v>0</v>
      </c>
      <c r="Z21" s="476">
        <f t="shared" si="2"/>
        <v>0</v>
      </c>
      <c r="AA21" s="476">
        <f t="shared" si="2"/>
        <v>0</v>
      </c>
      <c r="AB21" s="476">
        <f>SUM(AB17:AB20)</f>
        <v>0</v>
      </c>
      <c r="AC21" s="476"/>
      <c r="AD21" s="476">
        <f>SUM(AD17:AD20)</f>
        <v>-142442637.9720386</v>
      </c>
      <c r="AE21" s="476">
        <f>SUM(AE17:AE20)</f>
        <v>0</v>
      </c>
      <c r="AF21" s="476"/>
      <c r="AG21" s="476">
        <f t="shared" ref="AG21:AP21" si="3">SUM(AG17:AG20)</f>
        <v>0</v>
      </c>
      <c r="AH21" s="476">
        <f t="shared" si="3"/>
        <v>0</v>
      </c>
      <c r="AI21" s="476">
        <f t="shared" si="3"/>
        <v>0</v>
      </c>
      <c r="AJ21" s="476">
        <f t="shared" si="3"/>
        <v>0</v>
      </c>
      <c r="AK21" s="476">
        <f t="shared" si="3"/>
        <v>0</v>
      </c>
      <c r="AL21" s="476">
        <f t="shared" si="3"/>
        <v>0</v>
      </c>
      <c r="AM21" s="476">
        <f t="shared" si="3"/>
        <v>0</v>
      </c>
      <c r="AN21" s="476">
        <f t="shared" si="3"/>
        <v>0</v>
      </c>
      <c r="AO21" s="476">
        <f t="shared" si="3"/>
        <v>0</v>
      </c>
      <c r="AP21" s="476">
        <f t="shared" si="3"/>
        <v>0</v>
      </c>
      <c r="AQ21" s="476">
        <f>SUM(AQ17:AQ20)</f>
        <v>-330920418.26288211</v>
      </c>
      <c r="AR21" s="476">
        <f>AQ21+D21</f>
        <v>2064419352.8171167</v>
      </c>
      <c r="AS21" s="477">
        <f>SUM(AS17:AS20)</f>
        <v>2395339771.079999</v>
      </c>
      <c r="AT21" s="476">
        <f>SUM(AT17:AT20)</f>
        <v>-330920418.26288211</v>
      </c>
      <c r="AU21" s="476">
        <f>SUM(AU17:AU20)</f>
        <v>2064419352.817117</v>
      </c>
      <c r="AV21" s="1249">
        <f>SUM(AV17:AV20)</f>
        <v>51600883</v>
      </c>
      <c r="AW21" s="1207">
        <f>SUM(AW17:AW20)</f>
        <v>2116020235.817117</v>
      </c>
      <c r="AX21" s="226"/>
      <c r="AY21" s="1251">
        <f>AV21/AU21</f>
        <v>2.4995349384603075E-2</v>
      </c>
      <c r="AZ21" s="844">
        <f>SUM(AZ17:AZ20)</f>
        <v>86208222</v>
      </c>
      <c r="BA21" s="1255">
        <f>SUM(BA17:BA20)</f>
        <v>-34607339</v>
      </c>
      <c r="BB21" s="1254">
        <f>BA21/AU21</f>
        <v>-1.6763715643710979E-2</v>
      </c>
      <c r="BC21" s="181"/>
      <c r="BD21" s="181"/>
      <c r="BE21" s="181"/>
      <c r="BF21" s="181"/>
      <c r="BG21" s="181"/>
      <c r="BH21" s="181"/>
      <c r="BI21" s="181"/>
      <c r="BJ21" s="181"/>
      <c r="BK21" s="181"/>
      <c r="BL21" s="181"/>
      <c r="BM21" s="181"/>
      <c r="BN21" s="181"/>
      <c r="BO21" s="181"/>
    </row>
    <row r="22" spans="1:67">
      <c r="A22" s="253">
        <f t="shared" si="0"/>
        <v>7</v>
      </c>
      <c r="D22" s="179"/>
      <c r="E22" s="40" t="s">
        <v>253</v>
      </c>
      <c r="F22" s="40" t="s">
        <v>253</v>
      </c>
      <c r="G22" s="40"/>
      <c r="H22" s="40" t="s">
        <v>253</v>
      </c>
      <c r="I22" s="40" t="s">
        <v>253</v>
      </c>
      <c r="J22" s="40"/>
      <c r="K22" s="40"/>
      <c r="L22" s="40"/>
      <c r="M22" s="40" t="s">
        <v>253</v>
      </c>
      <c r="N22" s="40"/>
      <c r="O22" s="40" t="s">
        <v>253</v>
      </c>
      <c r="P22" s="40" t="s">
        <v>253</v>
      </c>
      <c r="Q22" s="40"/>
      <c r="R22" s="40" t="s">
        <v>253</v>
      </c>
      <c r="S22" s="40"/>
      <c r="T22" s="40"/>
      <c r="U22" s="40" t="s">
        <v>253</v>
      </c>
      <c r="V22" s="40" t="s">
        <v>253</v>
      </c>
      <c r="W22" s="40" t="s">
        <v>253</v>
      </c>
      <c r="X22" s="40"/>
      <c r="Y22" s="40"/>
      <c r="Z22" s="40"/>
      <c r="AA22" s="40"/>
      <c r="AB22" s="40"/>
      <c r="AC22" s="40"/>
      <c r="AD22" s="40"/>
      <c r="AE22" s="40" t="s">
        <v>253</v>
      </c>
      <c r="AF22" s="40"/>
      <c r="AG22" s="40"/>
      <c r="AH22" s="40"/>
      <c r="AI22" s="40"/>
      <c r="AJ22" s="40"/>
      <c r="AK22" s="40"/>
      <c r="AL22" s="40"/>
      <c r="AM22" s="40"/>
      <c r="AN22" s="40"/>
      <c r="AO22" s="40"/>
      <c r="AP22" s="40" t="s">
        <v>253</v>
      </c>
      <c r="AQ22" s="40"/>
      <c r="AR22" s="40"/>
      <c r="AS22" s="331"/>
      <c r="AT22" s="40"/>
      <c r="AU22" s="40"/>
      <c r="AV22" s="331"/>
      <c r="AW22" s="331"/>
      <c r="AX22" s="226"/>
      <c r="AZ22" s="845"/>
      <c r="BA22" s="845"/>
      <c r="BC22" s="181"/>
      <c r="BD22" s="181"/>
      <c r="BE22" s="181"/>
      <c r="BF22" s="181"/>
      <c r="BG22" s="181"/>
      <c r="BH22" s="181"/>
      <c r="BI22" s="181"/>
      <c r="BJ22" s="181"/>
      <c r="BK22" s="181"/>
      <c r="BL22" s="181"/>
      <c r="BM22" s="181"/>
      <c r="BN22" s="181"/>
      <c r="BO22" s="181"/>
    </row>
    <row r="23" spans="1:67">
      <c r="A23" s="253">
        <f t="shared" si="0"/>
        <v>8</v>
      </c>
      <c r="B23" s="255" t="s">
        <v>270</v>
      </c>
      <c r="C23" s="255"/>
      <c r="D23" s="179"/>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331"/>
      <c r="AT23" s="40"/>
      <c r="AU23" s="40"/>
      <c r="AV23" s="331"/>
      <c r="AW23" s="331"/>
      <c r="AX23" s="40"/>
      <c r="AZ23" s="845"/>
      <c r="BA23" s="845"/>
      <c r="BC23" s="181"/>
      <c r="BD23" s="181"/>
      <c r="BE23" s="181"/>
      <c r="BF23" s="181"/>
      <c r="BG23" s="181"/>
      <c r="BH23" s="181"/>
      <c r="BI23" s="181"/>
      <c r="BJ23" s="181"/>
      <c r="BK23" s="181"/>
      <c r="BL23" s="181"/>
      <c r="BM23" s="181"/>
      <c r="BN23" s="181"/>
      <c r="BO23" s="181"/>
    </row>
    <row r="24" spans="1:67">
      <c r="A24" s="253">
        <f t="shared" si="0"/>
        <v>9</v>
      </c>
      <c r="D24" s="208"/>
      <c r="AS24" s="331"/>
      <c r="AV24" s="331"/>
      <c r="AW24" s="331"/>
      <c r="AX24" s="40"/>
      <c r="AZ24" s="845"/>
      <c r="BA24" s="845"/>
      <c r="BC24" s="181"/>
      <c r="BD24" s="181"/>
      <c r="BE24" s="181"/>
      <c r="BF24" s="181"/>
      <c r="BG24" s="181"/>
      <c r="BH24" s="181"/>
      <c r="BI24" s="181"/>
      <c r="BJ24" s="181"/>
      <c r="BK24" s="181"/>
      <c r="BL24" s="181"/>
      <c r="BM24" s="181"/>
      <c r="BN24" s="181"/>
      <c r="BO24" s="181"/>
    </row>
    <row r="25" spans="1:67">
      <c r="A25" s="253">
        <f t="shared" si="0"/>
        <v>10</v>
      </c>
      <c r="B25" s="255" t="s">
        <v>271</v>
      </c>
      <c r="C25" s="255"/>
      <c r="D25" s="179"/>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331"/>
      <c r="AT25" s="40"/>
      <c r="AU25" s="40"/>
      <c r="AV25" s="331"/>
      <c r="AW25" s="331"/>
      <c r="AZ25" s="845"/>
      <c r="BA25" s="845"/>
      <c r="BC25" s="181"/>
      <c r="BD25" s="181"/>
      <c r="BE25" s="181"/>
      <c r="BF25" s="181"/>
      <c r="BG25" s="181"/>
      <c r="BH25" s="181"/>
      <c r="BI25" s="181"/>
      <c r="BJ25" s="181"/>
      <c r="BK25" s="181"/>
      <c r="BL25" s="181"/>
      <c r="BM25" s="181"/>
      <c r="BN25" s="181"/>
      <c r="BO25" s="181"/>
    </row>
    <row r="26" spans="1:67" ht="13.5">
      <c r="A26" s="253">
        <f t="shared" si="0"/>
        <v>11</v>
      </c>
      <c r="B26" s="255" t="s">
        <v>272</v>
      </c>
      <c r="C26" s="255"/>
      <c r="D26" s="179">
        <f>[11]Allocated!$B18</f>
        <v>235002886.5</v>
      </c>
      <c r="E26" s="179">
        <v>0</v>
      </c>
      <c r="F26" s="179"/>
      <c r="G26" s="179"/>
      <c r="H26" s="179">
        <v>0</v>
      </c>
      <c r="I26" s="179">
        <v>0</v>
      </c>
      <c r="J26" s="179">
        <v>0</v>
      </c>
      <c r="K26" s="179"/>
      <c r="L26" s="179"/>
      <c r="M26" s="179">
        <v>0</v>
      </c>
      <c r="N26" s="179"/>
      <c r="O26" s="179">
        <v>0</v>
      </c>
      <c r="P26" s="179">
        <v>0</v>
      </c>
      <c r="Q26" s="179">
        <v>0</v>
      </c>
      <c r="R26" s="179">
        <v>0</v>
      </c>
      <c r="S26" s="179">
        <v>0</v>
      </c>
      <c r="T26" s="179">
        <v>0</v>
      </c>
      <c r="U26" s="179">
        <v>0</v>
      </c>
      <c r="V26" s="179">
        <v>0</v>
      </c>
      <c r="W26" s="179">
        <v>0</v>
      </c>
      <c r="X26" s="179"/>
      <c r="Y26" s="179"/>
      <c r="Z26" s="179"/>
      <c r="AA26" s="179"/>
      <c r="AB26" s="179"/>
      <c r="AC26" s="179"/>
      <c r="AD26" s="179">
        <f>+'MCC-2 page 31-45'!E14+'MCC-2 page 31-45'!E15</f>
        <v>-29985377.671741381</v>
      </c>
      <c r="AE26" s="179">
        <v>0</v>
      </c>
      <c r="AF26" s="179"/>
      <c r="AG26" s="179">
        <v>0</v>
      </c>
      <c r="AH26" s="179">
        <v>0</v>
      </c>
      <c r="AI26" s="179"/>
      <c r="AJ26" s="179"/>
      <c r="AK26" s="179"/>
      <c r="AL26" s="179"/>
      <c r="AM26" s="179"/>
      <c r="AN26" s="179"/>
      <c r="AO26" s="179"/>
      <c r="AP26" s="179"/>
      <c r="AQ26" s="179">
        <f>SUM(E26:AP26)</f>
        <v>-29985377.671741381</v>
      </c>
      <c r="AR26" s="179">
        <f>AQ26+D26</f>
        <v>205017508.82825863</v>
      </c>
      <c r="AS26" s="331">
        <f>D26</f>
        <v>235002886.5</v>
      </c>
      <c r="AT26" s="179">
        <f>+AQ26</f>
        <v>-29985377.671741381</v>
      </c>
      <c r="AU26" s="179">
        <f>SUM(AS26:AT26)</f>
        <v>205017508.82825863</v>
      </c>
      <c r="AV26" s="331">
        <v>0</v>
      </c>
      <c r="AW26" s="331">
        <f>SUM(AU26:AV26)</f>
        <v>205017508.82825863</v>
      </c>
      <c r="AX26" s="40"/>
      <c r="AZ26" s="841"/>
      <c r="BA26" s="842">
        <f>AV26-AZ26</f>
        <v>0</v>
      </c>
      <c r="BC26" s="181"/>
      <c r="BD26" s="181"/>
      <c r="BE26" s="181"/>
      <c r="BF26" s="181"/>
      <c r="BG26" s="181"/>
      <c r="BH26" s="181"/>
      <c r="BI26" s="181"/>
      <c r="BJ26" s="181"/>
      <c r="BK26" s="181"/>
      <c r="BL26" s="181"/>
      <c r="BM26" s="181"/>
      <c r="BN26" s="181"/>
      <c r="BO26" s="181"/>
    </row>
    <row r="27" spans="1:67" ht="13.5">
      <c r="A27" s="253">
        <f t="shared" si="0"/>
        <v>12</v>
      </c>
      <c r="B27" s="255" t="s">
        <v>273</v>
      </c>
      <c r="C27" s="255"/>
      <c r="D27" s="179">
        <f>[11]Allocated!$B19</f>
        <v>532346459.37</v>
      </c>
      <c r="E27" s="179"/>
      <c r="F27" s="179"/>
      <c r="G27" s="179"/>
      <c r="H27" s="179"/>
      <c r="I27" s="179"/>
      <c r="J27" s="179"/>
      <c r="K27" s="179"/>
      <c r="L27" s="179"/>
      <c r="M27" s="179"/>
      <c r="N27" s="179">
        <f>'MCC-2 page 7-30'!BB14</f>
        <v>10379.814252257231</v>
      </c>
      <c r="O27" s="179"/>
      <c r="P27" s="179"/>
      <c r="Q27" s="179"/>
      <c r="R27" s="179"/>
      <c r="S27" s="179"/>
      <c r="T27" s="179"/>
      <c r="U27" s="179">
        <f>'MCC-2 page 7-30'!CH14</f>
        <v>130546.64316428918</v>
      </c>
      <c r="V27" s="179"/>
      <c r="W27" s="179"/>
      <c r="X27" s="179"/>
      <c r="Y27" s="179"/>
      <c r="Z27" s="179"/>
      <c r="AA27" s="179"/>
      <c r="AB27" s="179"/>
      <c r="AC27" s="179"/>
      <c r="AD27" s="179">
        <f>+'MCC-2 page 31-45'!E16+'MCC-2 page 31-45'!E17+'MCC-2 page 31-45'!E25</f>
        <v>-116273607.05604142</v>
      </c>
      <c r="AE27" s="179"/>
      <c r="AF27" s="179"/>
      <c r="AG27" s="179"/>
      <c r="AH27" s="179"/>
      <c r="AI27" s="179"/>
      <c r="AJ27" s="179"/>
      <c r="AK27" s="179"/>
      <c r="AL27" s="179"/>
      <c r="AM27" s="179"/>
      <c r="AN27" s="179"/>
      <c r="AO27" s="179"/>
      <c r="AP27" s="179">
        <f>+'MCC-2 page 31-45'!BL17</f>
        <v>0</v>
      </c>
      <c r="AQ27" s="179">
        <f>SUM(E27:AP27)</f>
        <v>-116132680.59862487</v>
      </c>
      <c r="AR27" s="179">
        <f>AQ27+D27</f>
        <v>416213778.77137512</v>
      </c>
      <c r="AS27" s="331">
        <f>D27</f>
        <v>532346459.37</v>
      </c>
      <c r="AT27" s="179">
        <f>+AQ27</f>
        <v>-116132680.59862487</v>
      </c>
      <c r="AU27" s="179">
        <f>SUM(AS27:AT27)</f>
        <v>416213778.77137512</v>
      </c>
      <c r="AV27" s="331"/>
      <c r="AW27" s="331">
        <f>SUM(AU27:AV27)</f>
        <v>416213778.77137512</v>
      </c>
      <c r="AX27" s="195"/>
      <c r="AZ27" s="841"/>
      <c r="BA27" s="842">
        <f>AV27-AZ27</f>
        <v>0</v>
      </c>
      <c r="BC27" s="181"/>
      <c r="BD27" s="181"/>
      <c r="BE27" s="181"/>
      <c r="BF27" s="181"/>
      <c r="BG27" s="181"/>
      <c r="BH27" s="181"/>
      <c r="BI27" s="181"/>
      <c r="BJ27" s="181"/>
      <c r="BK27" s="181"/>
      <c r="BL27" s="181"/>
      <c r="BM27" s="181"/>
      <c r="BN27" s="181"/>
      <c r="BO27" s="181"/>
    </row>
    <row r="28" spans="1:67" ht="13.5">
      <c r="A28" s="253">
        <f t="shared" si="0"/>
        <v>13</v>
      </c>
      <c r="B28" s="255" t="s">
        <v>274</v>
      </c>
      <c r="C28" s="255"/>
      <c r="D28" s="179">
        <f>[11]Allocated!$B20</f>
        <v>113800193.219999</v>
      </c>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f>+'MCC-2 page 31-45'!E18</f>
        <v>-5005509.8191537261</v>
      </c>
      <c r="AE28" s="179"/>
      <c r="AF28" s="179"/>
      <c r="AG28" s="179"/>
      <c r="AH28" s="179"/>
      <c r="AI28" s="179">
        <f>'MCC-2 page 31-45'!AD38</f>
        <v>0</v>
      </c>
      <c r="AJ28" s="179"/>
      <c r="AK28" s="179"/>
      <c r="AL28" s="179"/>
      <c r="AM28" s="179"/>
      <c r="AN28" s="179"/>
      <c r="AO28" s="179"/>
      <c r="AP28" s="179"/>
      <c r="AQ28" s="179">
        <f>SUM(E28:AP28)</f>
        <v>-5005509.8191537261</v>
      </c>
      <c r="AR28" s="179">
        <f>AQ28+D28</f>
        <v>108794683.40084527</v>
      </c>
      <c r="AS28" s="331">
        <f>D28</f>
        <v>113800193.219999</v>
      </c>
      <c r="AT28" s="179">
        <f>+AQ28</f>
        <v>-5005509.8191537261</v>
      </c>
      <c r="AU28" s="179">
        <f>SUM(AS28:AT28)</f>
        <v>108794683.40084527</v>
      </c>
      <c r="AV28" s="331"/>
      <c r="AW28" s="331">
        <f>SUM(AU28:AV28)</f>
        <v>108794683.40084527</v>
      </c>
      <c r="AX28" s="179"/>
      <c r="AZ28" s="841"/>
      <c r="BA28" s="842">
        <f>AV28-AZ28</f>
        <v>0</v>
      </c>
      <c r="BC28" s="181"/>
      <c r="BD28" s="181"/>
      <c r="BE28" s="181"/>
      <c r="BF28" s="181"/>
      <c r="BG28" s="181"/>
      <c r="BH28" s="181"/>
      <c r="BI28" s="181"/>
      <c r="BJ28" s="181"/>
      <c r="BK28" s="181"/>
      <c r="BL28" s="181"/>
      <c r="BM28" s="181"/>
      <c r="BN28" s="181"/>
      <c r="BO28" s="181"/>
    </row>
    <row r="29" spans="1:67" ht="13.5">
      <c r="A29" s="253">
        <f t="shared" si="0"/>
        <v>14</v>
      </c>
      <c r="B29" s="252" t="s">
        <v>115</v>
      </c>
      <c r="D29" s="191">
        <f>[11]Allocated!$B21</f>
        <v>-69268219.669999897</v>
      </c>
      <c r="E29" s="191"/>
      <c r="F29" s="191"/>
      <c r="G29" s="191">
        <f>'MCC-2 page 7-30'!Q40</f>
        <v>69268219.670000002</v>
      </c>
      <c r="H29" s="191"/>
      <c r="I29" s="191"/>
      <c r="J29" s="191"/>
      <c r="K29" s="429"/>
      <c r="L29" s="191"/>
      <c r="M29" s="191"/>
      <c r="N29" s="191"/>
      <c r="O29" s="191"/>
      <c r="P29" s="191"/>
      <c r="Q29" s="191"/>
      <c r="R29" s="191"/>
      <c r="S29" s="191"/>
      <c r="T29" s="191"/>
      <c r="U29" s="191"/>
      <c r="V29" s="191"/>
      <c r="W29" s="191"/>
      <c r="X29" s="271"/>
      <c r="Y29" s="271"/>
      <c r="Z29" s="271"/>
      <c r="AA29" s="429"/>
      <c r="AB29" s="429"/>
      <c r="AC29" s="226"/>
      <c r="AD29" s="191"/>
      <c r="AE29" s="191"/>
      <c r="AF29" s="191"/>
      <c r="AG29" s="191"/>
      <c r="AH29" s="191"/>
      <c r="AI29" s="191"/>
      <c r="AJ29" s="191"/>
      <c r="AK29" s="191"/>
      <c r="AL29" s="191"/>
      <c r="AM29" s="191"/>
      <c r="AN29" s="191"/>
      <c r="AO29" s="429"/>
      <c r="AP29" s="191"/>
      <c r="AQ29" s="179">
        <f>SUM(E29:AP29)</f>
        <v>69268219.670000002</v>
      </c>
      <c r="AR29" s="271">
        <f>AQ29+D29</f>
        <v>0</v>
      </c>
      <c r="AS29" s="113">
        <f>D29</f>
        <v>-69268219.669999897</v>
      </c>
      <c r="AT29" s="191">
        <f>+AQ29</f>
        <v>69268219.670000002</v>
      </c>
      <c r="AU29" s="191">
        <f>SUM(AS29:AT29)</f>
        <v>0</v>
      </c>
      <c r="AV29" s="113"/>
      <c r="AW29" s="113">
        <f>SUM(AU29:AV29)</f>
        <v>0</v>
      </c>
      <c r="AX29" s="179"/>
      <c r="AZ29" s="846"/>
      <c r="BA29" s="842">
        <f>AV29-AZ29</f>
        <v>0</v>
      </c>
      <c r="BC29" s="181"/>
      <c r="BD29" s="181"/>
      <c r="BE29" s="181"/>
      <c r="BF29" s="181"/>
      <c r="BG29" s="181"/>
      <c r="BH29" s="181"/>
      <c r="BI29" s="181"/>
      <c r="BJ29" s="181"/>
      <c r="BK29" s="181"/>
      <c r="BL29" s="181"/>
      <c r="BM29" s="181"/>
      <c r="BN29" s="181"/>
      <c r="BO29" s="181"/>
    </row>
    <row r="30" spans="1:67" ht="13.5">
      <c r="A30" s="253">
        <f t="shared" si="0"/>
        <v>15</v>
      </c>
      <c r="B30" s="255" t="s">
        <v>275</v>
      </c>
      <c r="C30" s="255"/>
      <c r="D30" s="476">
        <f>SUM(D26:D29)</f>
        <v>811881319.41999912</v>
      </c>
      <c r="E30" s="476">
        <f>SUM(E26:E29)</f>
        <v>0</v>
      </c>
      <c r="F30" s="476">
        <f>SUM(F26:F29)</f>
        <v>0</v>
      </c>
      <c r="G30" s="476">
        <f>SUM(G25:G29)</f>
        <v>69268219.670000002</v>
      </c>
      <c r="H30" s="476">
        <f>SUM(H26:H29)</f>
        <v>0</v>
      </c>
      <c r="I30" s="476">
        <f>SUM(I26:I29)</f>
        <v>0</v>
      </c>
      <c r="J30" s="476">
        <f>SUM(J26:J29)</f>
        <v>0</v>
      </c>
      <c r="K30" s="476">
        <f>SUM(K26:K29)</f>
        <v>0</v>
      </c>
      <c r="L30" s="476">
        <f>SUM(L25:L29)</f>
        <v>0</v>
      </c>
      <c r="M30" s="476">
        <f>SUM(M26:M29)</f>
        <v>0</v>
      </c>
      <c r="N30" s="476">
        <f t="shared" ref="N30:AA30" si="4">SUM(N25:N29)</f>
        <v>10379.814252257231</v>
      </c>
      <c r="O30" s="476">
        <f t="shared" si="4"/>
        <v>0</v>
      </c>
      <c r="P30" s="476">
        <f t="shared" si="4"/>
        <v>0</v>
      </c>
      <c r="Q30" s="476">
        <f t="shared" si="4"/>
        <v>0</v>
      </c>
      <c r="R30" s="476">
        <f t="shared" si="4"/>
        <v>0</v>
      </c>
      <c r="S30" s="476">
        <f t="shared" si="4"/>
        <v>0</v>
      </c>
      <c r="T30" s="476">
        <f t="shared" si="4"/>
        <v>0</v>
      </c>
      <c r="U30" s="476">
        <f t="shared" si="4"/>
        <v>130546.64316428918</v>
      </c>
      <c r="V30" s="476">
        <f t="shared" si="4"/>
        <v>0</v>
      </c>
      <c r="W30" s="476">
        <f t="shared" si="4"/>
        <v>0</v>
      </c>
      <c r="X30" s="476">
        <f t="shared" si="4"/>
        <v>0</v>
      </c>
      <c r="Y30" s="476">
        <f t="shared" si="4"/>
        <v>0</v>
      </c>
      <c r="Z30" s="476">
        <f t="shared" si="4"/>
        <v>0</v>
      </c>
      <c r="AA30" s="476">
        <f t="shared" si="4"/>
        <v>0</v>
      </c>
      <c r="AB30" s="476">
        <f>SUM(AB25:AB29)</f>
        <v>0</v>
      </c>
      <c r="AC30" s="476"/>
      <c r="AD30" s="476">
        <f>SUM(AD26:AD29)</f>
        <v>-151264494.54693651</v>
      </c>
      <c r="AE30" s="476">
        <f>SUM(AE25:AE29)</f>
        <v>0</v>
      </c>
      <c r="AF30" s="476">
        <f>SUM(AF25:AF29)</f>
        <v>0</v>
      </c>
      <c r="AG30" s="476">
        <f>SUM(AG25:AG29)</f>
        <v>0</v>
      </c>
      <c r="AH30" s="476">
        <f>SUM(AH26:AH29)</f>
        <v>0</v>
      </c>
      <c r="AI30" s="476">
        <f t="shared" ref="AI30:AO30" si="5">SUM(AI25:AI29)</f>
        <v>0</v>
      </c>
      <c r="AJ30" s="476">
        <f t="shared" si="5"/>
        <v>0</v>
      </c>
      <c r="AK30" s="476">
        <f t="shared" si="5"/>
        <v>0</v>
      </c>
      <c r="AL30" s="476">
        <f t="shared" si="5"/>
        <v>0</v>
      </c>
      <c r="AM30" s="476">
        <f t="shared" si="5"/>
        <v>0</v>
      </c>
      <c r="AN30" s="476">
        <f t="shared" si="5"/>
        <v>0</v>
      </c>
      <c r="AO30" s="476">
        <f t="shared" si="5"/>
        <v>0</v>
      </c>
      <c r="AP30" s="476">
        <f>SUM(AP25:AP29)</f>
        <v>0</v>
      </c>
      <c r="AQ30" s="476">
        <f>SUM(AQ26:AQ29)</f>
        <v>-81855348.419519976</v>
      </c>
      <c r="AR30" s="476">
        <f>AQ30+D30</f>
        <v>730025971.0004791</v>
      </c>
      <c r="AS30" s="477">
        <f>SUM(AS26:AS29)</f>
        <v>811881319.41999912</v>
      </c>
      <c r="AT30" s="476">
        <f>SUM(AT26:AT29)</f>
        <v>-81855348.419519976</v>
      </c>
      <c r="AU30" s="476">
        <f>SUM(AU26:AU29)</f>
        <v>730025971.00047898</v>
      </c>
      <c r="AV30" s="477">
        <f>SUM(AV26:AV29)</f>
        <v>0</v>
      </c>
      <c r="AW30" s="476">
        <f>SUM(AW26:AW29)</f>
        <v>730025971.00047898</v>
      </c>
      <c r="AX30" s="226"/>
      <c r="AZ30" s="844"/>
      <c r="BA30" s="844">
        <f>SUM(BA26:BA29)</f>
        <v>0</v>
      </c>
      <c r="BC30" s="181"/>
      <c r="BD30" s="181"/>
      <c r="BE30" s="181"/>
      <c r="BF30" s="181"/>
      <c r="BG30" s="181"/>
      <c r="BH30" s="181"/>
      <c r="BI30" s="181"/>
      <c r="BJ30" s="181"/>
      <c r="BK30" s="181"/>
      <c r="BL30" s="181"/>
      <c r="BM30" s="181"/>
      <c r="BN30" s="181"/>
      <c r="BO30" s="181"/>
    </row>
    <row r="31" spans="1:67">
      <c r="A31" s="253">
        <f t="shared" si="0"/>
        <v>16</v>
      </c>
      <c r="B31" s="255"/>
      <c r="C31" s="255"/>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331"/>
      <c r="AT31" s="73"/>
      <c r="AU31" s="73"/>
      <c r="AV31" s="331"/>
      <c r="AW31" s="331"/>
      <c r="AX31" s="226"/>
      <c r="AZ31" s="845"/>
      <c r="BA31" s="845"/>
      <c r="BC31" s="181"/>
      <c r="BD31" s="181"/>
      <c r="BE31" s="181"/>
      <c r="BF31" s="181"/>
      <c r="BG31" s="181"/>
      <c r="BH31" s="181"/>
      <c r="BI31" s="181"/>
      <c r="BJ31" s="181"/>
      <c r="BK31" s="181"/>
      <c r="BL31" s="181"/>
      <c r="BM31" s="181"/>
      <c r="BN31" s="181"/>
      <c r="BO31" s="181"/>
    </row>
    <row r="32" spans="1:67" ht="13.5">
      <c r="A32" s="253">
        <f t="shared" si="0"/>
        <v>17</v>
      </c>
      <c r="B32" s="34" t="s">
        <v>230</v>
      </c>
      <c r="C32" s="34"/>
      <c r="D32" s="179">
        <f>[11]Allocated!$B24</f>
        <v>125897437.02</v>
      </c>
      <c r="E32" s="179">
        <v>0</v>
      </c>
      <c r="F32" s="179"/>
      <c r="G32" s="179">
        <v>0</v>
      </c>
      <c r="H32" s="179">
        <v>0</v>
      </c>
      <c r="I32" s="179">
        <v>0</v>
      </c>
      <c r="J32" s="179">
        <v>0</v>
      </c>
      <c r="K32" s="179"/>
      <c r="L32" s="179">
        <v>0</v>
      </c>
      <c r="M32" s="179">
        <v>0</v>
      </c>
      <c r="N32" s="179">
        <f>'MCC-2 page 7-30'!BB15</f>
        <v>25958.659866420552</v>
      </c>
      <c r="O32" s="179">
        <v>0</v>
      </c>
      <c r="P32" s="179">
        <v>0</v>
      </c>
      <c r="Q32" s="179">
        <v>0</v>
      </c>
      <c r="R32" s="179">
        <v>0</v>
      </c>
      <c r="S32" s="179">
        <v>0</v>
      </c>
      <c r="T32" s="179">
        <v>0</v>
      </c>
      <c r="U32" s="179">
        <f>'MCC-2 page 7-30'!CH15</f>
        <v>311867.36638930067</v>
      </c>
      <c r="V32" s="179">
        <v>0</v>
      </c>
      <c r="W32" s="179">
        <v>0</v>
      </c>
      <c r="X32" s="179"/>
      <c r="Y32" s="179"/>
      <c r="Z32" s="179"/>
      <c r="AA32" s="179"/>
      <c r="AB32" s="179"/>
      <c r="AC32" s="179"/>
      <c r="AD32" s="179">
        <f>+'MCC-2 page 31-45'!E22</f>
        <v>13108287.041461319</v>
      </c>
      <c r="AE32" s="179">
        <v>0</v>
      </c>
      <c r="AF32" s="179">
        <v>0</v>
      </c>
      <c r="AG32" s="179">
        <v>0</v>
      </c>
      <c r="AH32" s="179">
        <v>0</v>
      </c>
      <c r="AI32" s="179"/>
      <c r="AJ32" s="179">
        <v>0</v>
      </c>
      <c r="AK32" s="179">
        <v>0</v>
      </c>
      <c r="AL32" s="179">
        <v>0</v>
      </c>
      <c r="AM32" s="179">
        <v>0</v>
      </c>
      <c r="AN32" s="179">
        <v>0</v>
      </c>
      <c r="AO32" s="179"/>
      <c r="AP32" s="179">
        <f>+'MCC-2 page 31-45'!BL18</f>
        <v>0</v>
      </c>
      <c r="AQ32" s="179">
        <f t="shared" ref="AQ32:AQ46" si="6">SUM(E32:AP32)</f>
        <v>13446113.06771704</v>
      </c>
      <c r="AR32" s="179">
        <f t="shared" ref="AR32:AR46" si="7">AQ32+D32</f>
        <v>139343550.08771703</v>
      </c>
      <c r="AS32" s="331">
        <f t="shared" ref="AS32:AS46" si="8">D32</f>
        <v>125897437.02</v>
      </c>
      <c r="AT32" s="179">
        <f t="shared" ref="AT32:AT46" si="9">+AQ32</f>
        <v>13446113.06771704</v>
      </c>
      <c r="AU32" s="179">
        <f t="shared" ref="AU32:AU46" si="10">SUM(AS32:AT32)</f>
        <v>139343550.08771703</v>
      </c>
      <c r="AV32" s="331">
        <v>0</v>
      </c>
      <c r="AW32" s="331">
        <f t="shared" ref="AW32:AW46" si="11">SUM(AU32:AV32)</f>
        <v>139343550.08771703</v>
      </c>
      <c r="AX32" s="73"/>
      <c r="AZ32" s="841"/>
      <c r="BA32" s="842">
        <f t="shared" ref="BA32:BA46" si="12">AV32-AZ32</f>
        <v>0</v>
      </c>
      <c r="BC32" s="181"/>
      <c r="BD32" s="181"/>
      <c r="BE32" s="181"/>
      <c r="BF32" s="181"/>
      <c r="BG32" s="181"/>
      <c r="BH32" s="181"/>
      <c r="BI32" s="181"/>
      <c r="BJ32" s="181"/>
      <c r="BK32" s="181"/>
      <c r="BL32" s="181"/>
      <c r="BM32" s="181"/>
      <c r="BN32" s="181"/>
      <c r="BO32" s="181"/>
    </row>
    <row r="33" spans="1:67" s="252" customFormat="1" ht="13.5">
      <c r="A33" s="253">
        <f t="shared" si="0"/>
        <v>18</v>
      </c>
      <c r="B33" s="255" t="s">
        <v>276</v>
      </c>
      <c r="C33" s="255"/>
      <c r="D33" s="179">
        <f>[11]Allocated!$B25</f>
        <v>20270050.379999898</v>
      </c>
      <c r="E33" s="179"/>
      <c r="F33" s="179"/>
      <c r="G33" s="179"/>
      <c r="H33" s="179"/>
      <c r="I33" s="179"/>
      <c r="J33" s="179"/>
      <c r="K33" s="179"/>
      <c r="L33" s="179"/>
      <c r="M33" s="179">
        <v>0</v>
      </c>
      <c r="N33" s="179">
        <f>'MCC-2 page 7-30'!BB16</f>
        <v>17172.273207784747</v>
      </c>
      <c r="O33" s="179"/>
      <c r="P33" s="179"/>
      <c r="Q33" s="179"/>
      <c r="R33" s="179"/>
      <c r="S33" s="179"/>
      <c r="T33" s="179"/>
      <c r="U33" s="179">
        <f>+'MCC-2 page 7-30'!CH16</f>
        <v>213679.20856288634</v>
      </c>
      <c r="V33" s="179"/>
      <c r="W33" s="179"/>
      <c r="X33" s="179"/>
      <c r="Y33" s="179"/>
      <c r="Z33" s="179"/>
      <c r="AA33" s="179"/>
      <c r="AB33" s="179"/>
      <c r="AC33" s="179"/>
      <c r="AD33" s="179">
        <f>+'MCC-2 page 31-45'!E23</f>
        <v>0</v>
      </c>
      <c r="AE33" s="179"/>
      <c r="AF33" s="179"/>
      <c r="AG33" s="179"/>
      <c r="AH33" s="167">
        <f>'MCC-2 page 31-45'!W28</f>
        <v>153017.85844332149</v>
      </c>
      <c r="AI33" s="179"/>
      <c r="AJ33" s="167"/>
      <c r="AK33" s="167"/>
      <c r="AL33" s="167"/>
      <c r="AM33" s="167"/>
      <c r="AN33" s="167"/>
      <c r="AO33" s="167"/>
      <c r="AP33" s="179"/>
      <c r="AQ33" s="179">
        <f t="shared" si="6"/>
        <v>383869.34021399257</v>
      </c>
      <c r="AR33" s="179">
        <f t="shared" si="7"/>
        <v>20653919.72021389</v>
      </c>
      <c r="AS33" s="331">
        <f t="shared" si="8"/>
        <v>20270050.379999898</v>
      </c>
      <c r="AT33" s="226">
        <f t="shared" si="9"/>
        <v>383869.34021399257</v>
      </c>
      <c r="AU33" s="226">
        <f t="shared" si="10"/>
        <v>20653919.72021389</v>
      </c>
      <c r="AV33" s="331"/>
      <c r="AW33" s="226">
        <f t="shared" si="11"/>
        <v>20653919.72021389</v>
      </c>
      <c r="AX33" s="195"/>
      <c r="AY33" s="70"/>
      <c r="AZ33" s="847"/>
      <c r="BA33" s="842">
        <f t="shared" si="12"/>
        <v>0</v>
      </c>
      <c r="BC33" s="181"/>
      <c r="BD33" s="181"/>
      <c r="BE33" s="181"/>
      <c r="BF33" s="181"/>
      <c r="BG33" s="181"/>
      <c r="BH33" s="181"/>
      <c r="BI33" s="181"/>
      <c r="BJ33" s="181"/>
      <c r="BK33" s="181"/>
      <c r="BL33" s="181"/>
      <c r="BM33" s="181"/>
      <c r="BN33" s="181"/>
      <c r="BO33" s="181"/>
    </row>
    <row r="34" spans="1:67" s="252" customFormat="1" ht="13.5">
      <c r="A34" s="253">
        <f t="shared" si="0"/>
        <v>19</v>
      </c>
      <c r="B34" s="255" t="s">
        <v>277</v>
      </c>
      <c r="C34" s="255"/>
      <c r="D34" s="179">
        <f>[11]Allocated!$B26</f>
        <v>83356029.179999903</v>
      </c>
      <c r="E34" s="179"/>
      <c r="F34" s="179"/>
      <c r="G34" s="179"/>
      <c r="H34" s="179"/>
      <c r="I34" s="179"/>
      <c r="J34" s="179"/>
      <c r="K34" s="179"/>
      <c r="L34" s="179"/>
      <c r="M34" s="179">
        <v>0</v>
      </c>
      <c r="N34" s="179">
        <f>'MCC-2 page 7-30'!BB17</f>
        <v>28486.544004048221</v>
      </c>
      <c r="O34" s="179"/>
      <c r="P34" s="179"/>
      <c r="Q34" s="179"/>
      <c r="R34" s="179"/>
      <c r="S34" s="179"/>
      <c r="T34" s="179"/>
      <c r="U34" s="179">
        <f>+'MCC-2 page 7-30'!CH17</f>
        <v>340008.31331337243</v>
      </c>
      <c r="V34" s="179"/>
      <c r="W34" s="179"/>
      <c r="X34" s="179"/>
      <c r="Y34" s="179"/>
      <c r="Z34" s="179"/>
      <c r="AA34" s="179"/>
      <c r="AB34" s="179"/>
      <c r="AC34" s="179"/>
      <c r="AD34" s="179"/>
      <c r="AE34" s="179"/>
      <c r="AF34" s="179"/>
      <c r="AG34" s="179"/>
      <c r="AH34" s="179">
        <f>'MCC-2 page 31-45'!X28</f>
        <v>7556474.8265566733</v>
      </c>
      <c r="AI34" s="179"/>
      <c r="AJ34" s="179"/>
      <c r="AK34" s="179"/>
      <c r="AL34" s="179"/>
      <c r="AM34" s="179"/>
      <c r="AN34" s="179"/>
      <c r="AO34" s="179"/>
      <c r="AP34" s="179"/>
      <c r="AQ34" s="179">
        <f t="shared" si="6"/>
        <v>7924969.6838740939</v>
      </c>
      <c r="AR34" s="179">
        <f t="shared" si="7"/>
        <v>91280998.863874003</v>
      </c>
      <c r="AS34" s="331">
        <f t="shared" si="8"/>
        <v>83356029.179999903</v>
      </c>
      <c r="AT34" s="226">
        <f t="shared" si="9"/>
        <v>7924969.6838740939</v>
      </c>
      <c r="AU34" s="226">
        <f t="shared" si="10"/>
        <v>91280998.863874003</v>
      </c>
      <c r="AV34" s="331"/>
      <c r="AW34" s="226">
        <f t="shared" si="11"/>
        <v>91280998.863874003</v>
      </c>
      <c r="AX34" s="179"/>
      <c r="AY34" s="70"/>
      <c r="AZ34" s="847"/>
      <c r="BA34" s="842">
        <f t="shared" si="12"/>
        <v>0</v>
      </c>
      <c r="BC34" s="181"/>
      <c r="BD34" s="181"/>
      <c r="BE34" s="181"/>
      <c r="BF34" s="181"/>
      <c r="BG34" s="181"/>
      <c r="BH34" s="181"/>
      <c r="BI34" s="181"/>
      <c r="BJ34" s="181"/>
      <c r="BK34" s="181"/>
      <c r="BL34" s="181"/>
      <c r="BM34" s="181"/>
      <c r="BN34" s="181"/>
      <c r="BO34" s="181"/>
    </row>
    <row r="35" spans="1:67" ht="13.5">
      <c r="A35" s="253">
        <f t="shared" si="0"/>
        <v>20</v>
      </c>
      <c r="B35" s="255" t="s">
        <v>55</v>
      </c>
      <c r="C35" s="255"/>
      <c r="D35" s="179">
        <f>[11]Allocated!$B27</f>
        <v>47600166.421824999</v>
      </c>
      <c r="E35" s="179">
        <f>'MCC-2 page 7-30'!D40</f>
        <v>-206560.42365471341</v>
      </c>
      <c r="F35" s="195">
        <f>'MCC-2 page 7-30'!K43</f>
        <v>237669</v>
      </c>
      <c r="G35" s="179">
        <f>'MCC-2 page 7-30'!Q30</f>
        <v>-1378053.9992858302</v>
      </c>
      <c r="H35" s="179"/>
      <c r="I35" s="179"/>
      <c r="J35" s="179"/>
      <c r="K35" s="179"/>
      <c r="L35" s="179"/>
      <c r="M35" s="179">
        <f>'MCC-2 page 7-30'!AW26</f>
        <v>-1047792</v>
      </c>
      <c r="N35" s="179">
        <f>'MCC-2 page 7-30'!BB18</f>
        <v>10494.29780534911</v>
      </c>
      <c r="O35" s="179"/>
      <c r="P35" s="179">
        <f>'MCC-2 page 7-30'!BK13</f>
        <v>176605.63064400846</v>
      </c>
      <c r="Q35" s="179"/>
      <c r="R35" s="179"/>
      <c r="S35" s="179"/>
      <c r="T35" s="179"/>
      <c r="U35" s="179">
        <f>+'MCC-2 page 7-30'!CH18</f>
        <v>122230.25261568837</v>
      </c>
      <c r="V35" s="179"/>
      <c r="W35" s="179"/>
      <c r="X35" s="179"/>
      <c r="Y35" s="179">
        <f>'MCC-2 page 7-30'!DB15+'MCC-2 page 7-30'!DB21</f>
        <v>3092647.9339365205</v>
      </c>
      <c r="Z35" s="179"/>
      <c r="AA35" s="179"/>
      <c r="AB35" s="179"/>
      <c r="AC35" s="179"/>
      <c r="AD35" s="179"/>
      <c r="AE35" s="179"/>
      <c r="AF35" s="179"/>
      <c r="AG35" s="179"/>
      <c r="AH35" s="179"/>
      <c r="AI35" s="179"/>
      <c r="AJ35" s="179"/>
      <c r="AK35" s="179"/>
      <c r="AL35" s="179"/>
      <c r="AM35" s="179"/>
      <c r="AN35" s="179"/>
      <c r="AO35" s="179"/>
      <c r="AP35" s="179"/>
      <c r="AQ35" s="179">
        <f t="shared" si="6"/>
        <v>1007240.6920610229</v>
      </c>
      <c r="AR35" s="179">
        <f t="shared" si="7"/>
        <v>48607407.113886021</v>
      </c>
      <c r="AS35" s="331">
        <f t="shared" si="8"/>
        <v>47600166.421824999</v>
      </c>
      <c r="AT35" s="226">
        <f t="shared" si="9"/>
        <v>1007240.6920610229</v>
      </c>
      <c r="AU35" s="226">
        <f t="shared" si="10"/>
        <v>48607407.113886021</v>
      </c>
      <c r="AV35" s="1261">
        <f>+'EXHIBIT MCC-3'!D22*'EXHIBIT MCC-3'!P13</f>
        <v>369307.519631</v>
      </c>
      <c r="AW35" s="1256">
        <f>SUM(AU35:AV35)</f>
        <v>48976714.633517019</v>
      </c>
      <c r="AX35" s="179"/>
      <c r="AZ35" s="848">
        <f>'EXHIBIT MCC-6'!AV36</f>
        <v>541994.04185400007</v>
      </c>
      <c r="BA35" s="1258">
        <f t="shared" si="12"/>
        <v>-172686.52222300007</v>
      </c>
      <c r="BC35" s="181"/>
      <c r="BD35" s="181"/>
      <c r="BE35" s="181"/>
      <c r="BF35" s="181"/>
      <c r="BG35" s="181"/>
      <c r="BH35" s="181"/>
      <c r="BI35" s="181"/>
      <c r="BJ35" s="181"/>
      <c r="BK35" s="181"/>
      <c r="BL35" s="181"/>
      <c r="BM35" s="181"/>
      <c r="BN35" s="181"/>
      <c r="BO35" s="181"/>
    </row>
    <row r="36" spans="1:67" ht="13.5">
      <c r="A36" s="253">
        <f t="shared" si="0"/>
        <v>21</v>
      </c>
      <c r="B36" s="255" t="s">
        <v>238</v>
      </c>
      <c r="C36" s="255"/>
      <c r="D36" s="179">
        <f>[11]Allocated!$B28</f>
        <v>19829127.240927998</v>
      </c>
      <c r="E36" s="179"/>
      <c r="F36" s="179"/>
      <c r="G36" s="179">
        <f>'MCC-2 page 7-30'!Q39+'MCC-2 page 7-30'!Q42</f>
        <v>-17275568.259999998</v>
      </c>
      <c r="H36" s="179"/>
      <c r="I36" s="179"/>
      <c r="J36" s="179"/>
      <c r="K36" s="179"/>
      <c r="L36" s="179"/>
      <c r="M36" s="179"/>
      <c r="N36" s="179">
        <f>'MCC-2 page 7-30'!BB19+'MCC-2 page 7-30'!BB20</f>
        <v>3372.6260396867092</v>
      </c>
      <c r="O36" s="179"/>
      <c r="P36" s="179"/>
      <c r="Q36" s="179"/>
      <c r="R36" s="179"/>
      <c r="S36" s="179"/>
      <c r="T36" s="179"/>
      <c r="U36" s="179">
        <f>+'MCC-2 page 7-30'!CH19+'MCC-2 page 7-30'!CH20</f>
        <v>41683.28304620026</v>
      </c>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f t="shared" si="6"/>
        <v>-17230512.350914109</v>
      </c>
      <c r="AR36" s="179">
        <f t="shared" si="7"/>
        <v>2598614.8900138885</v>
      </c>
      <c r="AS36" s="331">
        <f t="shared" si="8"/>
        <v>19829127.240927998</v>
      </c>
      <c r="AT36" s="226">
        <f t="shared" si="9"/>
        <v>-17230512.350914109</v>
      </c>
      <c r="AU36" s="226">
        <f t="shared" si="10"/>
        <v>2598614.8900138885</v>
      </c>
      <c r="AV36" s="331"/>
      <c r="AW36" s="226">
        <f t="shared" si="11"/>
        <v>2598614.8900138885</v>
      </c>
      <c r="AX36" s="179"/>
      <c r="AZ36" s="848"/>
      <c r="BA36" s="842">
        <f t="shared" si="12"/>
        <v>0</v>
      </c>
      <c r="BC36" s="181"/>
      <c r="BD36" s="181"/>
      <c r="BE36" s="181"/>
      <c r="BF36" s="181"/>
      <c r="BG36" s="181"/>
      <c r="BH36" s="181"/>
      <c r="BI36" s="181"/>
      <c r="BJ36" s="181"/>
      <c r="BK36" s="181"/>
      <c r="BL36" s="181"/>
      <c r="BM36" s="181"/>
      <c r="BN36" s="181"/>
      <c r="BO36" s="181"/>
    </row>
    <row r="37" spans="1:67" ht="13.5">
      <c r="A37" s="253">
        <f t="shared" si="0"/>
        <v>22</v>
      </c>
      <c r="B37" s="255" t="s">
        <v>244</v>
      </c>
      <c r="C37" s="255"/>
      <c r="D37" s="179">
        <f>[11]Allocated!$B29</f>
        <v>97566974.959999993</v>
      </c>
      <c r="E37" s="179"/>
      <c r="F37" s="179"/>
      <c r="G37" s="179">
        <f>'MCC-2 page 7-30'!Q36</f>
        <v>-97540765.159999996</v>
      </c>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f t="shared" si="6"/>
        <v>-97540765.159999996</v>
      </c>
      <c r="AR37" s="179">
        <f t="shared" si="7"/>
        <v>26209.79999999702</v>
      </c>
      <c r="AS37" s="331">
        <f t="shared" si="8"/>
        <v>97566974.959999993</v>
      </c>
      <c r="AT37" s="226">
        <f t="shared" si="9"/>
        <v>-97540765.159999996</v>
      </c>
      <c r="AU37" s="226">
        <f t="shared" si="10"/>
        <v>26209.79999999702</v>
      </c>
      <c r="AV37" s="331"/>
      <c r="AW37" s="331">
        <f t="shared" si="11"/>
        <v>26209.79999999702</v>
      </c>
      <c r="AX37" s="179"/>
      <c r="AZ37" s="845"/>
      <c r="BA37" s="842">
        <f t="shared" si="12"/>
        <v>0</v>
      </c>
      <c r="BC37" s="181"/>
      <c r="BD37" s="181"/>
      <c r="BE37" s="181"/>
      <c r="BF37" s="181"/>
      <c r="BG37" s="181"/>
      <c r="BH37" s="181"/>
      <c r="BI37" s="181"/>
      <c r="BJ37" s="181"/>
      <c r="BK37" s="181"/>
      <c r="BL37" s="181"/>
      <c r="BM37" s="181"/>
      <c r="BN37" s="181"/>
      <c r="BO37" s="181"/>
    </row>
    <row r="38" spans="1:67" ht="13.5">
      <c r="A38" s="253">
        <f t="shared" si="0"/>
        <v>23</v>
      </c>
      <c r="B38" s="255" t="s">
        <v>245</v>
      </c>
      <c r="C38" s="255"/>
      <c r="D38" s="179">
        <f>[11]Allocated!$B30</f>
        <v>114599758.581515</v>
      </c>
      <c r="E38" s="179">
        <f>'MCC-2 page 7-30'!D41</f>
        <v>-57722.627820235684</v>
      </c>
      <c r="F38" s="179">
        <f>'MCC-2 page 7-30'!K44</f>
        <v>66416</v>
      </c>
      <c r="G38" s="179">
        <f>'MCC-2 page 7-30'!Q31+'MCC-2 page 7-30'!Q43</f>
        <v>-426522.21638000006</v>
      </c>
      <c r="H38" s="179"/>
      <c r="I38" s="179"/>
      <c r="J38" s="179" t="s">
        <v>253</v>
      </c>
      <c r="K38" s="179"/>
      <c r="L38" s="179">
        <f>'MCC-2 page 7-30'!AN17</f>
        <v>-106750.2786706667</v>
      </c>
      <c r="M38" s="179"/>
      <c r="N38" s="179">
        <f>'MCC-2 page 7-30'!BB21</f>
        <v>63226.904854136286</v>
      </c>
      <c r="O38" s="179">
        <f>'MCC-2 page 7-30'!BG13</f>
        <v>-24832.496714436435</v>
      </c>
      <c r="P38" s="179"/>
      <c r="Q38" s="184">
        <f>'MCC-2 page 7-30'!BO28</f>
        <v>0</v>
      </c>
      <c r="R38" s="179"/>
      <c r="S38" s="184">
        <f>'MCC-2 page 7-30'!BX15</f>
        <v>-101764.80083986348</v>
      </c>
      <c r="T38" s="184">
        <f>'MCC-2 page 7-30'!CC15</f>
        <v>1822992.9925739774</v>
      </c>
      <c r="U38" s="179">
        <f>+'MCC-2 page 7-30'!CH21</f>
        <v>795244.97081179544</v>
      </c>
      <c r="V38" s="179">
        <f>'MCC-2 page 7-30'!CM32</f>
        <v>148775.67639789265</v>
      </c>
      <c r="W38" s="179">
        <f>'MCC-2 page 7-30'!CR20</f>
        <v>187308.92923393101</v>
      </c>
      <c r="X38" s="179"/>
      <c r="Y38" s="179"/>
      <c r="Z38" s="179">
        <f>'MCC-2 page 7-30'!DG25</f>
        <v>-363750.12810969783</v>
      </c>
      <c r="AA38" s="179">
        <f>+'MCC-2 page 7-30'!DL14</f>
        <v>-51913.275359999388</v>
      </c>
      <c r="AB38" s="179"/>
      <c r="AC38" s="179">
        <f>'MCC-2 page 7-30'!DP14</f>
        <v>-485780</v>
      </c>
      <c r="AD38" s="179"/>
      <c r="AE38" s="179"/>
      <c r="AF38" s="179"/>
      <c r="AG38" s="179"/>
      <c r="AH38" s="179"/>
      <c r="AI38" s="179"/>
      <c r="AJ38" s="179"/>
      <c r="AK38" s="179"/>
      <c r="AL38" s="179"/>
      <c r="AM38" s="179"/>
      <c r="AN38" s="179"/>
      <c r="AO38" s="179"/>
      <c r="AP38" s="179">
        <f>SUM('MCC-2 page 31-45'!BL19:BL21)</f>
        <v>0</v>
      </c>
      <c r="AQ38" s="179">
        <f t="shared" si="6"/>
        <v>1464929.6499768333</v>
      </c>
      <c r="AR38" s="179">
        <f t="shared" si="7"/>
        <v>116064688.23149183</v>
      </c>
      <c r="AS38" s="331">
        <f t="shared" si="8"/>
        <v>114599758.581515</v>
      </c>
      <c r="AT38" s="226">
        <f t="shared" si="9"/>
        <v>1464929.6499768333</v>
      </c>
      <c r="AU38" s="226">
        <f t="shared" si="10"/>
        <v>116064688.23149183</v>
      </c>
      <c r="AV38" s="1261">
        <f>+'EXHIBIT MCC-3'!D22*('EXHIBIT MCC-3'!P14)</f>
        <v>103201.766</v>
      </c>
      <c r="AW38" s="1256">
        <f>SUM(AU38:AV38)</f>
        <v>116167889.99749184</v>
      </c>
      <c r="AX38" s="179"/>
      <c r="AZ38" s="848">
        <f>'EXHIBIT MCC-6'!AV39</f>
        <v>151458.44400000002</v>
      </c>
      <c r="BA38" s="1258">
        <f t="shared" si="12"/>
        <v>-48256.678000000014</v>
      </c>
      <c r="BC38" s="181"/>
      <c r="BD38" s="181"/>
      <c r="BE38" s="181"/>
      <c r="BF38" s="181"/>
      <c r="BG38" s="181"/>
      <c r="BH38" s="181"/>
      <c r="BI38" s="181"/>
      <c r="BJ38" s="181"/>
      <c r="BK38" s="181"/>
      <c r="BL38" s="181"/>
      <c r="BM38" s="181"/>
      <c r="BN38" s="181"/>
      <c r="BO38" s="181"/>
    </row>
    <row r="39" spans="1:67" ht="13.5">
      <c r="A39" s="253">
        <f t="shared" si="0"/>
        <v>24</v>
      </c>
      <c r="B39" s="255" t="s">
        <v>332</v>
      </c>
      <c r="C39" s="255"/>
      <c r="D39" s="179">
        <f>[11]Allocated!$B31</f>
        <v>268356984.80397999</v>
      </c>
      <c r="E39" s="179"/>
      <c r="F39" s="179"/>
      <c r="G39" s="179"/>
      <c r="H39" s="179"/>
      <c r="I39" s="179"/>
      <c r="J39" s="1206">
        <f>'MCC-2 page 7-30'!AD23+'MCC-2 page 7-30'!AD30</f>
        <v>33567497.1106176</v>
      </c>
      <c r="K39" s="179"/>
      <c r="L39" s="179"/>
      <c r="M39" s="179"/>
      <c r="N39" s="179"/>
      <c r="O39" s="179"/>
      <c r="P39" s="179"/>
      <c r="Q39" s="179"/>
      <c r="R39" s="179"/>
      <c r="S39" s="179"/>
      <c r="T39" s="179"/>
      <c r="U39" s="179"/>
      <c r="V39" s="179"/>
      <c r="W39" s="179"/>
      <c r="X39" s="179"/>
      <c r="Y39" s="179"/>
      <c r="Z39" s="179">
        <f>'MCC-2 page 7-30'!DG26+'MCC-2 page 7-30'!DG27+'MCC-2 page 7-30'!DG28</f>
        <v>-304013.62553715741</v>
      </c>
      <c r="AA39" s="179"/>
      <c r="AB39" s="179"/>
      <c r="AC39" s="179"/>
      <c r="AD39" s="179"/>
      <c r="AE39" s="179"/>
      <c r="AF39" s="179">
        <f>'MCC-2 page 31-45'!O25</f>
        <v>-212138.37865459672</v>
      </c>
      <c r="AG39" s="179"/>
      <c r="AH39" s="179"/>
      <c r="AI39" s="179"/>
      <c r="AJ39" s="179">
        <f>'MCC-2 page 31-45'!AI22+'MCC-2 page 31-45'!AI23</f>
        <v>223831.26558229775</v>
      </c>
      <c r="AK39" s="209"/>
      <c r="AL39" s="179">
        <f>'MCC-2 page 31-45'!AS34</f>
        <v>-3317.0689883994637</v>
      </c>
      <c r="AM39" s="179">
        <f>+'MCC-2 page 31-45'!AX21</f>
        <v>0</v>
      </c>
      <c r="AN39" s="179"/>
      <c r="AO39" s="179"/>
      <c r="AP39" s="179">
        <f>+'MCC-2 page 31-45'!BL25</f>
        <v>0</v>
      </c>
      <c r="AQ39" s="1206">
        <f t="shared" si="6"/>
        <v>33271859.303019747</v>
      </c>
      <c r="AR39" s="1206">
        <f t="shared" si="7"/>
        <v>301628844.10699975</v>
      </c>
      <c r="AS39" s="331">
        <f t="shared" si="8"/>
        <v>268356984.80397999</v>
      </c>
      <c r="AT39" s="1256">
        <f t="shared" si="9"/>
        <v>33271859.303019747</v>
      </c>
      <c r="AU39" s="1256">
        <f t="shared" si="10"/>
        <v>301628844.10699975</v>
      </c>
      <c r="AV39" s="331"/>
      <c r="AW39" s="1256">
        <f t="shared" si="11"/>
        <v>301628844.10699975</v>
      </c>
      <c r="AX39" s="179"/>
      <c r="AZ39" s="849"/>
      <c r="BA39" s="842">
        <f t="shared" si="12"/>
        <v>0</v>
      </c>
      <c r="BC39" s="181"/>
      <c r="BD39" s="181"/>
      <c r="BE39" s="181"/>
      <c r="BF39" s="181"/>
      <c r="BG39" s="181"/>
      <c r="BH39" s="181"/>
      <c r="BI39" s="181"/>
      <c r="BJ39" s="181"/>
      <c r="BK39" s="181"/>
      <c r="BL39" s="181"/>
      <c r="BM39" s="181"/>
      <c r="BN39" s="181"/>
      <c r="BO39" s="181"/>
    </row>
    <row r="40" spans="1:67" ht="13.5">
      <c r="A40" s="253">
        <f t="shared" si="0"/>
        <v>25</v>
      </c>
      <c r="B40" s="255" t="s">
        <v>90</v>
      </c>
      <c r="C40" s="255"/>
      <c r="D40" s="179">
        <f>[11]Allocated!$B32</f>
        <v>45684974.945897996</v>
      </c>
      <c r="E40" s="179"/>
      <c r="F40" s="179"/>
      <c r="G40" s="179"/>
      <c r="H40" s="179"/>
      <c r="I40" s="179"/>
      <c r="J40" s="1206">
        <f>'MCC-2 page 7-30'!AD28</f>
        <v>-758675.52946584253</v>
      </c>
      <c r="K40" s="179">
        <f>'MCC-2 page 7-30'!AI26</f>
        <v>7090529.6672114292</v>
      </c>
      <c r="L40" s="179"/>
      <c r="M40" s="179"/>
      <c r="N40" s="179"/>
      <c r="O40" s="179"/>
      <c r="P40" s="179"/>
      <c r="Q40" s="179"/>
      <c r="R40" s="179"/>
      <c r="S40" s="179"/>
      <c r="T40" s="179"/>
      <c r="U40" s="179"/>
      <c r="V40" s="179"/>
      <c r="W40" s="179"/>
      <c r="X40" s="179"/>
      <c r="Y40" s="179"/>
      <c r="Z40" s="179"/>
      <c r="AA40" s="179"/>
      <c r="AB40" s="179"/>
      <c r="AC40" s="179"/>
      <c r="AD40" s="179"/>
      <c r="AE40" s="179"/>
      <c r="AF40" s="179"/>
      <c r="AG40" s="179"/>
      <c r="AI40" s="179"/>
      <c r="AK40" s="179">
        <f>+'MCC-2 page 31-45'!AN21</f>
        <v>0</v>
      </c>
      <c r="AN40" s="209"/>
      <c r="AO40" s="198">
        <f>+'MCC-2 page 31-45'!BH19</f>
        <v>2417843.3333333335</v>
      </c>
      <c r="AP40" s="179">
        <f>'MCC-2 page 31-45'!BL27</f>
        <v>0</v>
      </c>
      <c r="AQ40" s="1206">
        <f t="shared" si="6"/>
        <v>8749697.4710789211</v>
      </c>
      <c r="AR40" s="1206">
        <f t="shared" si="7"/>
        <v>54434672.416976914</v>
      </c>
      <c r="AS40" s="331">
        <f t="shared" si="8"/>
        <v>45684974.945897996</v>
      </c>
      <c r="AT40" s="1256">
        <f t="shared" si="9"/>
        <v>8749697.4710789211</v>
      </c>
      <c r="AU40" s="1256">
        <f t="shared" si="10"/>
        <v>54434672.416976914</v>
      </c>
      <c r="AV40" s="331"/>
      <c r="AW40" s="1256">
        <f t="shared" si="11"/>
        <v>54434672.416976914</v>
      </c>
      <c r="AX40" s="179"/>
      <c r="AZ40" s="850"/>
      <c r="BA40" s="842">
        <f t="shared" si="12"/>
        <v>0</v>
      </c>
      <c r="BC40" s="181"/>
      <c r="BD40" s="181"/>
      <c r="BE40" s="181"/>
      <c r="BF40" s="181"/>
      <c r="BG40" s="181"/>
      <c r="BH40" s="181"/>
      <c r="BI40" s="181"/>
      <c r="BJ40" s="181"/>
      <c r="BK40" s="181"/>
      <c r="BL40" s="181"/>
      <c r="BM40" s="181"/>
      <c r="BN40" s="181"/>
      <c r="BO40" s="181"/>
    </row>
    <row r="41" spans="1:67" ht="13.5">
      <c r="A41" s="253">
        <f t="shared" si="0"/>
        <v>26</v>
      </c>
      <c r="B41" s="34" t="s">
        <v>316</v>
      </c>
      <c r="C41" s="34"/>
      <c r="D41" s="179">
        <f>[11]Allocated!$B33</f>
        <v>20604866.16</v>
      </c>
      <c r="E41" s="179"/>
      <c r="F41" s="179"/>
      <c r="G41" s="179"/>
      <c r="H41" s="179"/>
      <c r="I41" s="179"/>
      <c r="J41" s="179"/>
      <c r="K41" s="179"/>
      <c r="L41" s="179"/>
      <c r="M41" s="179"/>
      <c r="N41" s="179"/>
      <c r="O41" s="179"/>
      <c r="P41" s="179"/>
      <c r="Q41" s="179"/>
      <c r="R41" s="179" t="s">
        <v>253</v>
      </c>
      <c r="S41" s="179"/>
      <c r="T41" s="179"/>
      <c r="U41" s="179"/>
      <c r="V41" s="179"/>
      <c r="W41" s="179"/>
      <c r="X41" s="179"/>
      <c r="Y41" s="179"/>
      <c r="Z41" s="179"/>
      <c r="AA41" s="179"/>
      <c r="AB41" s="179"/>
      <c r="AC41" s="179"/>
      <c r="AD41" s="179"/>
      <c r="AE41" s="179"/>
      <c r="AF41" s="179"/>
      <c r="AG41" s="179"/>
      <c r="AH41" s="179">
        <f>'MCC-2 page 31-45'!Y62</f>
        <v>-6728424.5</v>
      </c>
      <c r="AI41" s="179">
        <f>'MCC-2 page 31-45'!AD43</f>
        <v>-241268.10200000007</v>
      </c>
      <c r="AJ41" s="179"/>
      <c r="AK41" s="179"/>
      <c r="AL41" s="179"/>
      <c r="AM41" s="179"/>
      <c r="AN41" s="208">
        <f>'MCC-2 page 31-45'!BC23</f>
        <v>0</v>
      </c>
      <c r="AO41" s="209"/>
      <c r="AP41" s="179">
        <f>'MCC-2 page 31-45'!BL39+'MCC-2 page 31-45'!BL36</f>
        <v>0</v>
      </c>
      <c r="AQ41" s="179">
        <f t="shared" si="6"/>
        <v>-6969692.602</v>
      </c>
      <c r="AR41" s="179">
        <f t="shared" si="7"/>
        <v>13635173.558</v>
      </c>
      <c r="AS41" s="331">
        <f t="shared" si="8"/>
        <v>20604866.16</v>
      </c>
      <c r="AT41" s="226">
        <f t="shared" si="9"/>
        <v>-6969692.602</v>
      </c>
      <c r="AU41" s="226">
        <f t="shared" si="10"/>
        <v>13635173.558</v>
      </c>
      <c r="AV41" s="331"/>
      <c r="AW41" s="226">
        <f t="shared" si="11"/>
        <v>13635173.558</v>
      </c>
      <c r="AX41" s="179"/>
      <c r="AZ41" s="847"/>
      <c r="BA41" s="842">
        <f t="shared" si="12"/>
        <v>0</v>
      </c>
      <c r="BC41" s="181"/>
      <c r="BD41" s="181"/>
      <c r="BE41" s="181"/>
      <c r="BF41" s="181"/>
      <c r="BG41" s="181"/>
      <c r="BH41" s="181"/>
      <c r="BI41" s="181"/>
      <c r="BJ41" s="181"/>
      <c r="BK41" s="181"/>
      <c r="BL41" s="181"/>
      <c r="BM41" s="181"/>
      <c r="BN41" s="181"/>
      <c r="BO41" s="181"/>
    </row>
    <row r="42" spans="1:67" ht="13.5">
      <c r="A42" s="253">
        <f t="shared" si="0"/>
        <v>27</v>
      </c>
      <c r="B42" s="255" t="s">
        <v>246</v>
      </c>
      <c r="C42" s="255"/>
      <c r="D42" s="179">
        <f>[11]Allocated!$B34</f>
        <v>-9997193.5551139992</v>
      </c>
      <c r="E42" s="179">
        <f>+'MCC-2 page 7-30'!E39</f>
        <v>17342294.120000005</v>
      </c>
      <c r="F42" s="179"/>
      <c r="G42" s="179">
        <f>'MCC-2 page 7-30'!Q41+'MCC-2 page 7-30'!Q45</f>
        <v>365334.82</v>
      </c>
      <c r="H42" s="179"/>
      <c r="I42" s="179"/>
      <c r="J42" s="179"/>
      <c r="K42" s="179"/>
      <c r="L42" s="179"/>
      <c r="M42" s="179"/>
      <c r="N42" s="179"/>
      <c r="O42" s="179"/>
      <c r="P42" s="179"/>
      <c r="Q42" s="179"/>
      <c r="R42" s="179">
        <f>'MCC-2 page 7-30'!BS27</f>
        <v>-263384.27666666743</v>
      </c>
      <c r="S42" s="179"/>
      <c r="T42" s="179"/>
      <c r="U42" s="179"/>
      <c r="V42" s="179"/>
      <c r="W42" s="179"/>
      <c r="X42" s="179">
        <f>'MCC-2 page 7-30'!CW18</f>
        <v>850440.58200000005</v>
      </c>
      <c r="Y42" s="179"/>
      <c r="Z42" s="179"/>
      <c r="AA42" s="179"/>
      <c r="AB42" s="179"/>
      <c r="AC42" s="179"/>
      <c r="AD42" s="179"/>
      <c r="AE42" s="179"/>
      <c r="AF42" s="179"/>
      <c r="AG42" s="179"/>
      <c r="AH42" s="179"/>
      <c r="AI42" s="179">
        <f>'MCC-2 page 31-45'!AD53-AI41</f>
        <v>-2429827.2079230589</v>
      </c>
      <c r="AJ42" s="179"/>
      <c r="AK42" s="179"/>
      <c r="AL42" s="179"/>
      <c r="AM42" s="179"/>
      <c r="AN42" s="179"/>
      <c r="AP42" s="179">
        <f>SUM('MCC-2 page 31-45'!BL37,'MCC-2 page 31-45'!BL38,'MCC-2 page 31-45'!BL40,'MCC-2 page 31-45'!BL42,'MCC-2 page 31-45'!BL43,'MCC-2 page 31-45'!BL44,'MCC-2 page 31-45'!BL46)</f>
        <v>0</v>
      </c>
      <c r="AQ42" s="179">
        <f t="shared" si="6"/>
        <v>15864858.037410278</v>
      </c>
      <c r="AR42" s="179">
        <f t="shared" si="7"/>
        <v>5867664.4822962787</v>
      </c>
      <c r="AS42" s="331">
        <f t="shared" si="8"/>
        <v>-9997193.5551139992</v>
      </c>
      <c r="AT42" s="226">
        <f t="shared" si="9"/>
        <v>15864858.037410278</v>
      </c>
      <c r="AU42" s="226">
        <f t="shared" si="10"/>
        <v>5867664.4822962787</v>
      </c>
      <c r="AV42" s="331"/>
      <c r="AW42" s="226">
        <f t="shared" si="11"/>
        <v>5867664.4822962787</v>
      </c>
      <c r="AX42" s="179"/>
      <c r="AZ42" s="850"/>
      <c r="BA42" s="842">
        <f t="shared" si="12"/>
        <v>0</v>
      </c>
      <c r="BC42" s="181"/>
      <c r="BD42" s="181"/>
      <c r="BE42" s="181"/>
      <c r="BF42" s="181"/>
      <c r="BG42" s="181"/>
      <c r="BH42" s="181"/>
      <c r="BI42" s="181"/>
      <c r="BJ42" s="181"/>
      <c r="BK42" s="181"/>
      <c r="BL42" s="181"/>
      <c r="BM42" s="181"/>
      <c r="BN42" s="181"/>
      <c r="BO42" s="181"/>
    </row>
    <row r="43" spans="1:67" ht="13.5">
      <c r="A43" s="253">
        <f t="shared" si="0"/>
        <v>28</v>
      </c>
      <c r="B43" s="252" t="s">
        <v>70</v>
      </c>
      <c r="D43" s="179">
        <f>[11]Allocated!$B35</f>
        <v>-64111667.629999898</v>
      </c>
      <c r="AA43" s="208"/>
      <c r="AG43" s="198">
        <f>'MCC-2 page 31-45'!T13</f>
        <v>64111667.629999898</v>
      </c>
      <c r="AQ43" s="179">
        <f t="shared" si="6"/>
        <v>64111667.629999898</v>
      </c>
      <c r="AR43" s="179">
        <f t="shared" si="7"/>
        <v>0</v>
      </c>
      <c r="AS43" s="331">
        <f t="shared" si="8"/>
        <v>-64111667.629999898</v>
      </c>
      <c r="AT43" s="226">
        <f t="shared" si="9"/>
        <v>64111667.629999898</v>
      </c>
      <c r="AU43" s="226">
        <f t="shared" si="10"/>
        <v>0</v>
      </c>
      <c r="AV43" s="331"/>
      <c r="AW43" s="226">
        <f t="shared" si="11"/>
        <v>0</v>
      </c>
      <c r="AX43" s="179"/>
      <c r="AZ43" s="850"/>
      <c r="BA43" s="842">
        <f t="shared" si="12"/>
        <v>0</v>
      </c>
      <c r="BC43" s="181"/>
      <c r="BD43" s="181"/>
      <c r="BE43" s="181"/>
      <c r="BF43" s="181"/>
      <c r="BG43" s="181"/>
      <c r="BH43" s="181"/>
      <c r="BI43" s="181"/>
      <c r="BJ43" s="181"/>
      <c r="BK43" s="181"/>
      <c r="BL43" s="181"/>
      <c r="BM43" s="181"/>
      <c r="BN43" s="181"/>
      <c r="BO43" s="181"/>
    </row>
    <row r="44" spans="1:67" ht="13.5">
      <c r="A44" s="253">
        <f t="shared" si="0"/>
        <v>29</v>
      </c>
      <c r="B44" s="255" t="s">
        <v>263</v>
      </c>
      <c r="C44" s="255"/>
      <c r="D44" s="179">
        <f>[11]Allocated!$B36</f>
        <v>230800256.78218898</v>
      </c>
      <c r="E44" s="179">
        <f>+'MCC-2 page 7-30'!D42</f>
        <v>-1109919.5490414018</v>
      </c>
      <c r="F44" s="179">
        <f>'MCC-2 page 7-30'!K47</f>
        <v>1277076</v>
      </c>
      <c r="G44" s="331">
        <f>'MCC-2 page 7-30'!Q32+'MCC-2 page 7-30'!Q38+'MCC-2 page 7-30'!Q37+'MCC-2 page 7-30'!Q44</f>
        <v>-144297723.10863283</v>
      </c>
      <c r="H44" s="179"/>
      <c r="I44" s="179"/>
      <c r="J44" s="179"/>
      <c r="K44" s="179"/>
      <c r="L44" s="179"/>
      <c r="M44" s="179"/>
      <c r="N44" s="331">
        <f>'MCC-2 page 7-30'!BB24</f>
        <v>9990.7095914349775</v>
      </c>
      <c r="O44" s="179"/>
      <c r="P44" s="179"/>
      <c r="Q44" s="179"/>
      <c r="R44" s="179"/>
      <c r="S44" s="179"/>
      <c r="T44" s="179"/>
      <c r="U44" s="179">
        <f>+'MCC-2 page 7-30'!CH24</f>
        <v>133533.17603166337</v>
      </c>
      <c r="V44" s="179"/>
      <c r="W44" s="179"/>
      <c r="X44" s="179"/>
      <c r="Y44" s="179"/>
      <c r="Z44" s="179"/>
      <c r="AA44" s="208">
        <f>+'MCC-2 page 7-30'!DL13</f>
        <v>36124.958262011409</v>
      </c>
      <c r="AB44" s="331"/>
      <c r="AC44" s="331"/>
      <c r="AD44" s="179">
        <f>-'MCC-2 page 31-45'!E30</f>
        <v>66449.327085792553</v>
      </c>
      <c r="AE44" s="179">
        <f>-'MCC-2 page 31-45'!J23</f>
        <v>-94051.271335334284</v>
      </c>
      <c r="AF44" s="179"/>
      <c r="AG44" s="179"/>
      <c r="AH44" s="179"/>
      <c r="AI44" s="331"/>
      <c r="AJ44" s="179"/>
      <c r="AK44" s="179"/>
      <c r="AL44" s="179"/>
      <c r="AM44" s="179"/>
      <c r="AN44" s="179"/>
      <c r="AO44" s="179"/>
      <c r="AP44" s="331">
        <f>+'MCC-2 page 31-45'!BL32</f>
        <v>0</v>
      </c>
      <c r="AQ44" s="179">
        <f t="shared" si="6"/>
        <v>-143978519.75803867</v>
      </c>
      <c r="AR44" s="179">
        <f t="shared" si="7"/>
        <v>86821737.024150312</v>
      </c>
      <c r="AS44" s="331">
        <f t="shared" si="8"/>
        <v>230800256.78218898</v>
      </c>
      <c r="AT44" s="226">
        <f t="shared" si="9"/>
        <v>-143978519.75803867</v>
      </c>
      <c r="AU44" s="226">
        <f t="shared" si="10"/>
        <v>86821737.024150312</v>
      </c>
      <c r="AV44" s="1261">
        <f>+'EXHIBIT MCC-3'!D22*'EXHIBIT MCC-3'!P15</f>
        <v>1984415.157531</v>
      </c>
      <c r="AW44" s="226">
        <f>SUM(AU44:AV44)</f>
        <v>88806152.181681305</v>
      </c>
      <c r="AX44" s="179"/>
      <c r="AZ44" s="848">
        <f>'EXHIBIT MCC-6'!AV45</f>
        <v>2912318.6904539997</v>
      </c>
      <c r="BA44" s="1258">
        <f t="shared" si="12"/>
        <v>-927903.5329229997</v>
      </c>
      <c r="BC44" s="181"/>
      <c r="BD44" s="181"/>
      <c r="BE44" s="181"/>
      <c r="BF44" s="181"/>
      <c r="BG44" s="181"/>
      <c r="BH44" s="181"/>
      <c r="BI44" s="181"/>
      <c r="BJ44" s="181"/>
      <c r="BK44" s="181"/>
      <c r="BL44" s="181"/>
      <c r="BM44" s="181"/>
      <c r="BN44" s="181"/>
      <c r="BO44" s="181"/>
    </row>
    <row r="45" spans="1:67" ht="13.5">
      <c r="A45" s="253">
        <f t="shared" si="0"/>
        <v>30</v>
      </c>
      <c r="B45" s="255" t="s">
        <v>264</v>
      </c>
      <c r="C45" s="255"/>
      <c r="D45" s="179">
        <f>[11]Allocated!$B37</f>
        <v>800</v>
      </c>
      <c r="E45" s="179">
        <f>'MCC-2 page 7-30'!E48</f>
        <v>-15690291.900360523</v>
      </c>
      <c r="F45" s="179">
        <f>'MCC-2 page 7-30'!L52</f>
        <v>11069360</v>
      </c>
      <c r="G45" s="179">
        <f>'MCC-2 page 7-30'!Q49</f>
        <v>-538752.47499545664</v>
      </c>
      <c r="H45" s="179">
        <f>+'MCC-2 page 7-30'!U30</f>
        <v>144836215.65657258</v>
      </c>
      <c r="I45" s="1206">
        <f>+'MCC-2 page 7-30'!Y22</f>
        <v>-52406954.009995006</v>
      </c>
      <c r="J45" s="1206">
        <f>+'MCC-2 page 7-30'!AD34</f>
        <v>-11483087.553403113</v>
      </c>
      <c r="K45" s="179">
        <f>'MCC-2 page 7-30'!AI28</f>
        <v>-2481685.3835240002</v>
      </c>
      <c r="L45" s="179">
        <f>'MCC-2 page 7-30'!AN18</f>
        <v>37363</v>
      </c>
      <c r="M45" s="179">
        <f>'MCC-2 page 7-30'!AW28</f>
        <v>366727</v>
      </c>
      <c r="N45" s="179">
        <f>'MCC-2 page 7-30'!BB29</f>
        <v>-59178.640367391366</v>
      </c>
      <c r="O45" s="179">
        <f>'MCC-2 page 7-30'!BG17</f>
        <v>8691.3738500527506</v>
      </c>
      <c r="P45" s="179"/>
      <c r="Q45" s="195">
        <f>'MCC-2 page 7-30'!BO30</f>
        <v>0</v>
      </c>
      <c r="R45" s="179">
        <f>'MCC-2 page 7-30'!BS29</f>
        <v>92184.4968333336</v>
      </c>
      <c r="S45" s="179">
        <f>'MCC-2 page 7-30'!BX19</f>
        <v>35617.680293952217</v>
      </c>
      <c r="T45" s="179">
        <f>'MCC-2 page 7-30'!CC17</f>
        <v>-638047.54740089201</v>
      </c>
      <c r="U45" s="179">
        <f>+'MCC-2 page 7-30'!CH28</f>
        <v>-731077.62487731851</v>
      </c>
      <c r="V45" s="179">
        <f>'MCC-2 page 7-30'!CM34</f>
        <v>-52071</v>
      </c>
      <c r="W45" s="179">
        <f>'MCC-2 page 7-30'!CR22</f>
        <v>-65558</v>
      </c>
      <c r="X45" s="179">
        <f>'MCC-2 page 7-30'!CW20</f>
        <v>-297654</v>
      </c>
      <c r="Y45" s="179">
        <f>'MCC-2 page 7-30'!DB25</f>
        <v>-1082426.7768777821</v>
      </c>
      <c r="Z45" s="179">
        <f>'MCC-2 page 7-30'!DG32</f>
        <v>233717.31377639933</v>
      </c>
      <c r="AA45" s="179">
        <f>'MCC-2 page 7-30'!DL18</f>
        <v>5526</v>
      </c>
      <c r="AB45" s="179"/>
      <c r="AC45" s="179">
        <f>'MCC-2 page 7-30'!DP16</f>
        <v>170023</v>
      </c>
      <c r="AD45" s="179">
        <f>+'MCC-2 page 31-45'!E32</f>
        <v>-1523507.9277772233</v>
      </c>
      <c r="AE45" s="179">
        <f>+'MCC-2 page 31-45'!J25</f>
        <v>32918</v>
      </c>
      <c r="AF45" s="179">
        <f>'MCC-2 page 31-45'!O27</f>
        <v>74248</v>
      </c>
      <c r="AG45" s="179"/>
      <c r="AH45" s="179">
        <f>'MCC-2 page 31-45'!Y66</f>
        <v>-343373.8647499982</v>
      </c>
      <c r="AI45" s="179">
        <f>'MCC-2 page 31-45'!AD59</f>
        <v>934883.35847307055</v>
      </c>
      <c r="AJ45" s="179">
        <f>'MCC-2 page 31-45'!AI28</f>
        <v>-78340.942953804202</v>
      </c>
      <c r="AK45" s="179">
        <f>+'MCC-2 page 31-45'!AN28</f>
        <v>0</v>
      </c>
      <c r="AL45" s="179">
        <f>'MCC-2 page 31-45'!AS38</f>
        <v>1160.9741459398122</v>
      </c>
      <c r="AM45" s="179">
        <f>+'MCC-2 page 31-45'!AX27</f>
        <v>0</v>
      </c>
      <c r="AN45" s="179">
        <f>'MCC-2 page 31-45'!BC28</f>
        <v>0</v>
      </c>
      <c r="AO45" s="179">
        <f>+'MCC-2 page 31-45'!BH22</f>
        <v>-846245.16666666663</v>
      </c>
      <c r="AP45" s="179">
        <f>'MCC-2 page 31-45'!BM49+'MCC-2 page 31-45'!BL31</f>
        <v>-34156.472365063768</v>
      </c>
      <c r="AQ45" s="1206">
        <f t="shared" si="6"/>
        <v>69546226.567631081</v>
      </c>
      <c r="AR45" s="1206">
        <f t="shared" si="7"/>
        <v>69547026.567631081</v>
      </c>
      <c r="AS45" s="331">
        <f t="shared" si="8"/>
        <v>800</v>
      </c>
      <c r="AT45" s="1256">
        <f t="shared" si="9"/>
        <v>69546226.567631081</v>
      </c>
      <c r="AU45" s="1256">
        <f t="shared" si="10"/>
        <v>69547026.567631081</v>
      </c>
      <c r="AV45" s="1261">
        <f>+'EXHIBIT MCC-3'!D22*'EXHIBIT MCC-3'!P20</f>
        <v>17200380.334805001</v>
      </c>
      <c r="AW45" s="1256">
        <f>SUM(AU45:AV45)</f>
        <v>86747406.902436078</v>
      </c>
      <c r="AX45" s="179"/>
      <c r="AZ45" s="848">
        <f>'EXHIBIT MCC-6'!AV46</f>
        <v>25243200.215369999</v>
      </c>
      <c r="BA45" s="1258">
        <f t="shared" si="12"/>
        <v>-8042819.8805649988</v>
      </c>
      <c r="BC45" s="1257"/>
      <c r="BD45" s="181"/>
      <c r="BE45" s="181"/>
      <c r="BF45" s="181"/>
      <c r="BG45" s="181"/>
      <c r="BH45" s="181"/>
      <c r="BI45" s="181"/>
      <c r="BJ45" s="181"/>
      <c r="BK45" s="181"/>
      <c r="BL45" s="181"/>
      <c r="BM45" s="181"/>
      <c r="BN45" s="181"/>
      <c r="BO45" s="181"/>
    </row>
    <row r="46" spans="1:67" ht="13.5">
      <c r="A46" s="253">
        <f t="shared" si="0"/>
        <v>31</v>
      </c>
      <c r="B46" s="252" t="s">
        <v>247</v>
      </c>
      <c r="D46" s="191">
        <f>[11]Allocated!$B38</f>
        <v>181996914.66999999</v>
      </c>
      <c r="E46" s="191"/>
      <c r="F46" s="191"/>
      <c r="G46" s="226"/>
      <c r="H46" s="179">
        <f>'MCC-2 page 7-30'!U31</f>
        <v>-117812976.8499999</v>
      </c>
      <c r="I46" s="179"/>
      <c r="J46" s="191"/>
      <c r="K46" s="226"/>
      <c r="L46" s="226"/>
      <c r="M46" s="191"/>
      <c r="N46" s="226"/>
      <c r="O46" s="191"/>
      <c r="P46" s="191"/>
      <c r="Q46" s="191"/>
      <c r="R46" s="191"/>
      <c r="S46" s="191"/>
      <c r="T46" s="191"/>
      <c r="U46" s="191"/>
      <c r="V46" s="191"/>
      <c r="W46" s="191"/>
      <c r="X46" s="271"/>
      <c r="Y46" s="271"/>
      <c r="Z46" s="271"/>
      <c r="AA46" s="429"/>
      <c r="AB46" s="226"/>
      <c r="AC46" s="226"/>
      <c r="AD46" s="191"/>
      <c r="AE46" s="191"/>
      <c r="AF46" s="226"/>
      <c r="AG46" s="179">
        <f>'MCC-2 page 31-45'!T19</f>
        <v>-22439083.670499962</v>
      </c>
      <c r="AH46" s="191"/>
      <c r="AI46" s="226"/>
      <c r="AJ46" s="191"/>
      <c r="AK46" s="191"/>
      <c r="AL46" s="191"/>
      <c r="AM46" s="191"/>
      <c r="AN46" s="191"/>
      <c r="AO46" s="226"/>
      <c r="AP46" s="226"/>
      <c r="AQ46" s="179">
        <f t="shared" si="6"/>
        <v>-140252060.52049986</v>
      </c>
      <c r="AR46" s="179">
        <f t="shared" si="7"/>
        <v>41744854.149500132</v>
      </c>
      <c r="AS46" s="331">
        <f t="shared" si="8"/>
        <v>181996914.66999999</v>
      </c>
      <c r="AT46" s="191">
        <f t="shared" si="9"/>
        <v>-140252060.52049986</v>
      </c>
      <c r="AU46" s="191">
        <f t="shared" si="10"/>
        <v>41744854.149500132</v>
      </c>
      <c r="AV46" s="331"/>
      <c r="AW46" s="191">
        <f t="shared" si="11"/>
        <v>41744854.149500132</v>
      </c>
      <c r="AX46" s="179"/>
      <c r="AZ46" s="851"/>
      <c r="BA46" s="842">
        <f t="shared" si="12"/>
        <v>0</v>
      </c>
      <c r="BC46" s="181"/>
      <c r="BD46" s="181"/>
      <c r="BE46" s="181"/>
      <c r="BF46" s="181"/>
      <c r="BG46" s="181"/>
      <c r="BH46" s="181"/>
      <c r="BI46" s="181"/>
      <c r="BJ46" s="181"/>
      <c r="BK46" s="181"/>
      <c r="BL46" s="181"/>
      <c r="BM46" s="181"/>
      <c r="BN46" s="181"/>
      <c r="BO46" s="181"/>
    </row>
    <row r="47" spans="1:67" ht="13.5">
      <c r="A47" s="253">
        <f t="shared" si="0"/>
        <v>32</v>
      </c>
      <c r="B47" s="255" t="s">
        <v>248</v>
      </c>
      <c r="C47" s="255"/>
      <c r="D47" s="476">
        <f>SUM(D30:D46)</f>
        <v>1994336799.3812201</v>
      </c>
      <c r="E47" s="476">
        <f t="shared" ref="E47:AW47" si="13">SUM(E30:E46)</f>
        <v>277799.6191231329</v>
      </c>
      <c r="F47" s="476">
        <f t="shared" si="13"/>
        <v>12650521</v>
      </c>
      <c r="G47" s="476">
        <f t="shared" si="13"/>
        <v>-191823830.72929412</v>
      </c>
      <c r="H47" s="476">
        <f t="shared" si="13"/>
        <v>27023238.806572676</v>
      </c>
      <c r="I47" s="1207">
        <f t="shared" si="13"/>
        <v>-52406954.009995006</v>
      </c>
      <c r="J47" s="1207">
        <f t="shared" si="13"/>
        <v>21325734.027748644</v>
      </c>
      <c r="K47" s="476">
        <f>SUM(K30:K46)</f>
        <v>4608844.2836874295</v>
      </c>
      <c r="L47" s="476">
        <f t="shared" si="13"/>
        <v>-69387.278670666696</v>
      </c>
      <c r="M47" s="476">
        <f t="shared" si="13"/>
        <v>-681065</v>
      </c>
      <c r="N47" s="476">
        <f t="shared" si="13"/>
        <v>109903.18925372648</v>
      </c>
      <c r="O47" s="476">
        <f t="shared" si="13"/>
        <v>-16141.122864383684</v>
      </c>
      <c r="P47" s="476">
        <f t="shared" si="13"/>
        <v>176605.63064400846</v>
      </c>
      <c r="Q47" s="476">
        <f t="shared" si="13"/>
        <v>0</v>
      </c>
      <c r="R47" s="476">
        <f t="shared" si="13"/>
        <v>-171199.77983333383</v>
      </c>
      <c r="S47" s="476">
        <f t="shared" si="13"/>
        <v>-66147.120545911268</v>
      </c>
      <c r="T47" s="476">
        <f t="shared" si="13"/>
        <v>1184945.4451730854</v>
      </c>
      <c r="U47" s="476">
        <f t="shared" si="13"/>
        <v>1357715.5890578774</v>
      </c>
      <c r="V47" s="476">
        <f t="shared" si="13"/>
        <v>96704.676397892646</v>
      </c>
      <c r="W47" s="476">
        <f t="shared" si="13"/>
        <v>121750.92923393101</v>
      </c>
      <c r="X47" s="476">
        <f t="shared" si="13"/>
        <v>552786.58200000005</v>
      </c>
      <c r="Y47" s="476">
        <f t="shared" si="13"/>
        <v>2010221.1570587384</v>
      </c>
      <c r="Z47" s="476">
        <f>SUM(Z30:Z46)</f>
        <v>-434046.43987045588</v>
      </c>
      <c r="AA47" s="476">
        <f>SUM(AA30:AA46)</f>
        <v>-10262.31709798798</v>
      </c>
      <c r="AB47" s="476">
        <f>SUM(AB30:AB46)</f>
        <v>0</v>
      </c>
      <c r="AC47" s="476">
        <f t="shared" ref="AC47" si="14">SUM(AC30:AC46)</f>
        <v>-315757</v>
      </c>
      <c r="AD47" s="476">
        <f t="shared" si="13"/>
        <v>-139613266.10616663</v>
      </c>
      <c r="AE47" s="476">
        <f t="shared" si="13"/>
        <v>-61133.271335334284</v>
      </c>
      <c r="AF47" s="476">
        <f t="shared" si="13"/>
        <v>-137890.37865459672</v>
      </c>
      <c r="AG47" s="476">
        <f t="shared" si="13"/>
        <v>41672583.95949994</v>
      </c>
      <c r="AH47" s="476">
        <f t="shared" si="13"/>
        <v>637694.32024999673</v>
      </c>
      <c r="AI47" s="476">
        <f t="shared" si="13"/>
        <v>-1736211.9514499884</v>
      </c>
      <c r="AJ47" s="476">
        <f t="shared" si="13"/>
        <v>145490.32262849354</v>
      </c>
      <c r="AK47" s="476">
        <f t="shared" si="13"/>
        <v>0</v>
      </c>
      <c r="AL47" s="476">
        <f t="shared" si="13"/>
        <v>-2156.0948424596518</v>
      </c>
      <c r="AM47" s="476">
        <f t="shared" si="13"/>
        <v>0</v>
      </c>
      <c r="AN47" s="476">
        <f t="shared" ref="AN47:AS47" si="15">SUM(AN30:AN46)</f>
        <v>0</v>
      </c>
      <c r="AO47" s="476">
        <f t="shared" si="15"/>
        <v>1571598.166666667</v>
      </c>
      <c r="AP47" s="476">
        <f t="shared" si="15"/>
        <v>-34156.472365063768</v>
      </c>
      <c r="AQ47" s="1207">
        <f>SUM(AQ30:AQ46)</f>
        <v>-272055467.36798978</v>
      </c>
      <c r="AR47" s="1207">
        <f t="shared" si="15"/>
        <v>1722281332.0132301</v>
      </c>
      <c r="AS47" s="477">
        <f t="shared" si="15"/>
        <v>1994336799.3812201</v>
      </c>
      <c r="AT47" s="1207">
        <f t="shared" si="13"/>
        <v>-272055467.36798978</v>
      </c>
      <c r="AU47" s="1207">
        <f t="shared" si="13"/>
        <v>1722281332.0132301</v>
      </c>
      <c r="AV47" s="1262">
        <f t="shared" si="13"/>
        <v>19657304.777966999</v>
      </c>
      <c r="AW47" s="1207">
        <f t="shared" si="13"/>
        <v>1741938636.7911973</v>
      </c>
      <c r="AX47" s="199"/>
      <c r="AY47" s="988"/>
      <c r="AZ47" s="844">
        <f>SUM(AZ30:AZ46)</f>
        <v>28848971.391677998</v>
      </c>
      <c r="BA47" s="1259">
        <f>SUM(BA30:BA46)</f>
        <v>-9191666.6137109995</v>
      </c>
      <c r="BC47" s="1257"/>
      <c r="BD47" s="181"/>
      <c r="BE47" s="181"/>
      <c r="BF47" s="181"/>
      <c r="BG47" s="181"/>
      <c r="BH47" s="181"/>
      <c r="BI47" s="181"/>
      <c r="BJ47" s="181"/>
      <c r="BK47" s="181"/>
      <c r="BL47" s="181"/>
      <c r="BM47" s="181"/>
      <c r="BN47" s="181"/>
      <c r="BO47" s="181"/>
    </row>
    <row r="48" spans="1:67">
      <c r="A48" s="253">
        <f t="shared" si="0"/>
        <v>33</v>
      </c>
      <c r="D48" s="198"/>
      <c r="E48" s="198" t="s">
        <v>253</v>
      </c>
      <c r="F48" s="198" t="s">
        <v>253</v>
      </c>
      <c r="G48" s="198"/>
      <c r="H48" s="198" t="s">
        <v>253</v>
      </c>
      <c r="I48" s="198" t="s">
        <v>253</v>
      </c>
      <c r="J48" s="198"/>
      <c r="K48" s="198"/>
      <c r="L48" s="198"/>
      <c r="M48" s="198" t="s">
        <v>253</v>
      </c>
      <c r="N48" s="198"/>
      <c r="O48" s="198" t="s">
        <v>253</v>
      </c>
      <c r="P48" s="198" t="s">
        <v>253</v>
      </c>
      <c r="Q48" s="198" t="s">
        <v>253</v>
      </c>
      <c r="R48" s="198" t="s">
        <v>253</v>
      </c>
      <c r="S48" s="198"/>
      <c r="T48" s="198"/>
      <c r="U48" s="198" t="s">
        <v>253</v>
      </c>
      <c r="V48" s="198" t="s">
        <v>253</v>
      </c>
      <c r="W48" s="198" t="s">
        <v>253</v>
      </c>
      <c r="X48" s="198" t="s">
        <v>253</v>
      </c>
      <c r="Y48" s="198"/>
      <c r="Z48" s="198"/>
      <c r="AA48" s="198"/>
      <c r="AB48" s="198"/>
      <c r="AC48" s="198"/>
      <c r="AD48" s="198" t="s">
        <v>253</v>
      </c>
      <c r="AE48" s="198" t="s">
        <v>253</v>
      </c>
      <c r="AF48" s="198"/>
      <c r="AG48" s="198"/>
      <c r="AH48" s="198" t="s">
        <v>253</v>
      </c>
      <c r="AI48" s="198"/>
      <c r="AJ48" s="198"/>
      <c r="AK48" s="198"/>
      <c r="AL48" s="198"/>
      <c r="AM48" s="198"/>
      <c r="AN48" s="198"/>
      <c r="AO48" s="198"/>
      <c r="AP48" s="198"/>
      <c r="AQ48" s="198"/>
      <c r="AR48" s="198"/>
      <c r="AS48" s="331"/>
      <c r="AT48" s="198"/>
      <c r="AU48" s="198"/>
      <c r="AV48" s="331"/>
      <c r="AW48" s="198"/>
      <c r="AX48" s="198"/>
      <c r="AZ48" s="852"/>
      <c r="BA48" s="852"/>
      <c r="BC48" s="181"/>
      <c r="BD48" s="181"/>
      <c r="BE48" s="181"/>
      <c r="BF48" s="181"/>
      <c r="BG48" s="181"/>
      <c r="BH48" s="181"/>
      <c r="BI48" s="181"/>
      <c r="BJ48" s="181"/>
      <c r="BK48" s="181"/>
      <c r="BL48" s="181"/>
      <c r="BM48" s="181"/>
      <c r="BN48" s="181"/>
      <c r="BO48" s="181"/>
    </row>
    <row r="49" spans="1:67" s="182" customFormat="1" ht="13.5">
      <c r="A49" s="970">
        <f t="shared" si="0"/>
        <v>34</v>
      </c>
      <c r="B49" s="55" t="s">
        <v>249</v>
      </c>
      <c r="C49" s="55"/>
      <c r="D49" s="635">
        <f t="shared" ref="D49:AT49" si="16">D21-D47</f>
        <v>401002971.69877887</v>
      </c>
      <c r="E49" s="635">
        <f t="shared" si="16"/>
        <v>-29139113.529240973</v>
      </c>
      <c r="F49" s="635">
        <f t="shared" si="16"/>
        <v>20557383.659274291</v>
      </c>
      <c r="G49" s="635">
        <f t="shared" si="16"/>
        <v>-1000540.3107059002</v>
      </c>
      <c r="H49" s="635">
        <f t="shared" si="16"/>
        <v>-27023238.806572676</v>
      </c>
      <c r="I49" s="1208">
        <f t="shared" si="16"/>
        <v>52406954.009995006</v>
      </c>
      <c r="J49" s="1208">
        <f t="shared" si="16"/>
        <v>-21325734.027748644</v>
      </c>
      <c r="K49" s="635">
        <f t="shared" si="16"/>
        <v>-4608844.2836874295</v>
      </c>
      <c r="L49" s="635">
        <f t="shared" si="16"/>
        <v>69387.278670666696</v>
      </c>
      <c r="M49" s="635">
        <f t="shared" si="16"/>
        <v>681065</v>
      </c>
      <c r="N49" s="635">
        <f t="shared" si="16"/>
        <v>-109903.18925372648</v>
      </c>
      <c r="O49" s="635">
        <f t="shared" si="16"/>
        <v>16141.122864383684</v>
      </c>
      <c r="P49" s="635">
        <f t="shared" si="16"/>
        <v>-176605.63064400846</v>
      </c>
      <c r="Q49" s="635">
        <f t="shared" si="16"/>
        <v>0</v>
      </c>
      <c r="R49" s="635">
        <f t="shared" si="16"/>
        <v>171199.77983333383</v>
      </c>
      <c r="S49" s="635">
        <f t="shared" si="16"/>
        <v>66147.120545911268</v>
      </c>
      <c r="T49" s="635">
        <f t="shared" si="16"/>
        <v>-1184945.4451730854</v>
      </c>
      <c r="U49" s="635">
        <f t="shared" si="16"/>
        <v>-1357715.5890578774</v>
      </c>
      <c r="V49" s="635">
        <f t="shared" si="16"/>
        <v>-96704.676397892646</v>
      </c>
      <c r="W49" s="635">
        <f t="shared" si="16"/>
        <v>-121750.92923393101</v>
      </c>
      <c r="X49" s="635">
        <f t="shared" si="16"/>
        <v>-552786.58200000005</v>
      </c>
      <c r="Y49" s="635">
        <f t="shared" si="16"/>
        <v>-2010221.1570587384</v>
      </c>
      <c r="Z49" s="635">
        <f t="shared" si="16"/>
        <v>434046.43987045588</v>
      </c>
      <c r="AA49" s="635">
        <f t="shared" ref="AA49" si="17">AA21-AA47</f>
        <v>10262.31709798798</v>
      </c>
      <c r="AB49" s="635">
        <f>AB21-AB47</f>
        <v>0</v>
      </c>
      <c r="AC49" s="635">
        <f>AC21-AC47</f>
        <v>315757</v>
      </c>
      <c r="AD49" s="635">
        <f t="shared" si="16"/>
        <v>-2829371.8658719659</v>
      </c>
      <c r="AE49" s="635">
        <f t="shared" si="16"/>
        <v>61133.271335334284</v>
      </c>
      <c r="AF49" s="635">
        <f t="shared" si="16"/>
        <v>137890.37865459672</v>
      </c>
      <c r="AG49" s="635">
        <f t="shared" si="16"/>
        <v>-41672583.95949994</v>
      </c>
      <c r="AH49" s="635">
        <f t="shared" si="16"/>
        <v>-637694.32024999673</v>
      </c>
      <c r="AI49" s="635">
        <f t="shared" si="16"/>
        <v>1736211.9514499884</v>
      </c>
      <c r="AJ49" s="635">
        <f t="shared" si="16"/>
        <v>-145490.32262849354</v>
      </c>
      <c r="AK49" s="635">
        <f t="shared" si="16"/>
        <v>0</v>
      </c>
      <c r="AL49" s="635">
        <f t="shared" si="16"/>
        <v>2156.0948424596518</v>
      </c>
      <c r="AM49" s="635">
        <f t="shared" si="16"/>
        <v>0</v>
      </c>
      <c r="AN49" s="635">
        <f t="shared" si="16"/>
        <v>0</v>
      </c>
      <c r="AO49" s="635">
        <f t="shared" si="16"/>
        <v>-1571598.166666667</v>
      </c>
      <c r="AP49" s="635">
        <f t="shared" si="16"/>
        <v>34156.472365063768</v>
      </c>
      <c r="AQ49" s="1208">
        <f>AQ21-AQ47</f>
        <v>-58864950.894892335</v>
      </c>
      <c r="AR49" s="1208">
        <f>AR21-AR47</f>
        <v>342138020.80388665</v>
      </c>
      <c r="AS49" s="635">
        <f>AS21-AS47</f>
        <v>401002971.69877887</v>
      </c>
      <c r="AT49" s="1208">
        <f t="shared" si="16"/>
        <v>-58864950.894892335</v>
      </c>
      <c r="AU49" s="1208">
        <f t="shared" ref="AU49:AW49" si="18">AU21-AU47</f>
        <v>342138020.80388689</v>
      </c>
      <c r="AV49" s="1208">
        <f t="shared" si="18"/>
        <v>31943578.222033001</v>
      </c>
      <c r="AW49" s="1208">
        <f t="shared" si="18"/>
        <v>374081599.02591968</v>
      </c>
      <c r="AX49" s="636"/>
      <c r="AY49" s="1106"/>
      <c r="AZ49" s="853">
        <f>AZ21-AZ47</f>
        <v>57359250.608322002</v>
      </c>
      <c r="BA49" s="1260">
        <f>BA21-BA47</f>
        <v>-25415672.386289001</v>
      </c>
      <c r="BC49" s="181"/>
      <c r="BD49" s="181"/>
      <c r="BE49" s="181"/>
      <c r="BF49" s="181"/>
      <c r="BG49" s="181"/>
      <c r="BH49" s="181"/>
      <c r="BI49" s="181"/>
      <c r="BJ49" s="181"/>
      <c r="BK49" s="181"/>
      <c r="BL49" s="181"/>
      <c r="BM49" s="181"/>
      <c r="BN49" s="181"/>
      <c r="BO49" s="181"/>
    </row>
    <row r="50" spans="1:67">
      <c r="A50" s="253">
        <f t="shared" si="0"/>
        <v>35</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t="s">
        <v>253</v>
      </c>
      <c r="AV50" s="20"/>
      <c r="AW50" s="20" t="s">
        <v>253</v>
      </c>
      <c r="AX50" s="20"/>
      <c r="AY50" s="1107"/>
      <c r="AZ50" s="20"/>
      <c r="BA50" s="20"/>
      <c r="BC50" s="181"/>
      <c r="BD50" s="181"/>
      <c r="BE50" s="181"/>
      <c r="BF50" s="181"/>
      <c r="BG50" s="181"/>
      <c r="BH50" s="181"/>
      <c r="BI50" s="181"/>
      <c r="BJ50" s="181"/>
      <c r="BK50" s="181"/>
      <c r="BL50" s="181"/>
      <c r="BM50" s="181"/>
      <c r="BN50" s="181"/>
      <c r="BO50" s="181"/>
    </row>
    <row r="51" spans="1:67" s="182" customFormat="1">
      <c r="A51" s="970">
        <f t="shared" si="0"/>
        <v>36</v>
      </c>
      <c r="B51" s="55" t="s">
        <v>250</v>
      </c>
      <c r="C51" s="55"/>
      <c r="D51" s="635">
        <f>D62</f>
        <v>5153204461.5858841</v>
      </c>
      <c r="E51" s="635">
        <v>0</v>
      </c>
      <c r="F51" s="637">
        <v>0</v>
      </c>
      <c r="G51" s="637">
        <v>0</v>
      </c>
      <c r="H51" s="637">
        <f>H62</f>
        <v>0</v>
      </c>
      <c r="I51" s="637">
        <v>0</v>
      </c>
      <c r="J51" s="1208">
        <f>J62</f>
        <v>-10662867.013874311</v>
      </c>
      <c r="K51" s="635">
        <f>K62</f>
        <v>-127629534.00980572</v>
      </c>
      <c r="L51" s="635">
        <v>0</v>
      </c>
      <c r="M51" s="635">
        <v>0</v>
      </c>
      <c r="N51" s="635">
        <v>0</v>
      </c>
      <c r="O51" s="635">
        <f>'MCC-2 page 7-30'!BJ20</f>
        <v>0</v>
      </c>
      <c r="P51" s="635">
        <f>'MCC-2 page 7-30'!BK20</f>
        <v>0</v>
      </c>
      <c r="Q51" s="635">
        <v>0</v>
      </c>
      <c r="R51" s="635">
        <v>0</v>
      </c>
      <c r="S51" s="635">
        <v>0</v>
      </c>
      <c r="T51" s="635">
        <v>0</v>
      </c>
      <c r="U51" s="635">
        <v>0</v>
      </c>
      <c r="V51" s="635">
        <v>0</v>
      </c>
      <c r="W51" s="635">
        <v>0</v>
      </c>
      <c r="X51" s="635">
        <f>X62</f>
        <v>-552786.58200000005</v>
      </c>
      <c r="Y51" s="635">
        <v>0</v>
      </c>
      <c r="Z51" s="635">
        <f>Z62</f>
        <v>15915060.097866783</v>
      </c>
      <c r="AA51" s="635">
        <f>AA62</f>
        <v>0</v>
      </c>
      <c r="AB51" s="1208">
        <f>AB62</f>
        <v>15990937.271673262</v>
      </c>
      <c r="AC51" s="635">
        <f>AC62</f>
        <v>0</v>
      </c>
      <c r="AD51" s="635">
        <v>0</v>
      </c>
      <c r="AE51" s="635">
        <v>0</v>
      </c>
      <c r="AF51" s="635">
        <f>'MCC-2 page 31-45'!O20</f>
        <v>-1969341.3363122563</v>
      </c>
      <c r="AG51" s="635">
        <v>0</v>
      </c>
      <c r="AH51" s="635">
        <f>AH62</f>
        <v>-31639936.25</v>
      </c>
      <c r="AI51" s="635">
        <f>AI62</f>
        <v>-44085326.485419184</v>
      </c>
      <c r="AJ51" s="635">
        <f t="shared" ref="AJ51:AM51" si="19">AJ62</f>
        <v>2842787.0613208562</v>
      </c>
      <c r="AK51" s="635">
        <f t="shared" si="19"/>
        <v>0</v>
      </c>
      <c r="AL51" s="635">
        <f t="shared" si="19"/>
        <v>18140954.4063752</v>
      </c>
      <c r="AM51" s="635">
        <f t="shared" si="19"/>
        <v>19004590.008907948</v>
      </c>
      <c r="AN51" s="635">
        <f>AN62</f>
        <v>-2464569.1828912995</v>
      </c>
      <c r="AO51" s="635">
        <f t="shared" ref="AO51" si="20">AO62</f>
        <v>69639614.979849741</v>
      </c>
      <c r="AP51" s="635">
        <f>+'MCC-2 page 31-45'!BL96</f>
        <v>0</v>
      </c>
      <c r="AQ51" s="1208">
        <f>AQ62</f>
        <v>-77470417.034308985</v>
      </c>
      <c r="AR51" s="1208">
        <f>+AQ51+D51</f>
        <v>5075734044.5515747</v>
      </c>
      <c r="AS51" s="638">
        <f>D51</f>
        <v>5153204461.5858841</v>
      </c>
      <c r="AT51" s="1263">
        <f>AQ51</f>
        <v>-77470417.034308985</v>
      </c>
      <c r="AU51" s="1263">
        <f>AR51</f>
        <v>5075734044.5515747</v>
      </c>
      <c r="AV51" s="638">
        <v>0</v>
      </c>
      <c r="AW51" s="1264">
        <f>SUM(AU51:AV51)</f>
        <v>5075734044.5515747</v>
      </c>
      <c r="AX51" s="639"/>
      <c r="AY51" s="1108"/>
      <c r="AZ51" s="838"/>
      <c r="BA51" s="838"/>
      <c r="BC51" s="181"/>
      <c r="BD51" s="181"/>
      <c r="BE51" s="181"/>
      <c r="BF51" s="181"/>
      <c r="BG51" s="181"/>
      <c r="BH51" s="181"/>
      <c r="BI51" s="181"/>
      <c r="BJ51" s="181"/>
      <c r="BK51" s="181"/>
      <c r="BL51" s="181"/>
      <c r="BM51" s="181"/>
      <c r="BN51" s="181"/>
      <c r="BO51" s="181"/>
    </row>
    <row r="52" spans="1:67">
      <c r="A52" s="253">
        <f t="shared" si="0"/>
        <v>37</v>
      </c>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Z52" s="235"/>
      <c r="BA52" s="235"/>
      <c r="BC52" s="181"/>
      <c r="BD52" s="181"/>
      <c r="BE52" s="181"/>
      <c r="BF52" s="181"/>
      <c r="BG52" s="181"/>
      <c r="BH52" s="181"/>
      <c r="BI52" s="181"/>
      <c r="BJ52" s="181"/>
      <c r="BK52" s="181"/>
      <c r="BL52" s="181"/>
      <c r="BM52" s="181"/>
      <c r="BN52" s="181"/>
      <c r="BO52" s="181"/>
    </row>
    <row r="53" spans="1:67">
      <c r="A53" s="253">
        <f t="shared" si="0"/>
        <v>38</v>
      </c>
      <c r="B53" s="255" t="s">
        <v>251</v>
      </c>
      <c r="C53" s="255"/>
      <c r="D53" s="246">
        <f>D49/D51</f>
        <v>7.7816235448839796E-2</v>
      </c>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265">
        <f>AR49/AR51</f>
        <v>6.740660913294827E-2</v>
      </c>
      <c r="AS53" s="246">
        <f>AS49/AS51</f>
        <v>7.7816235448839796E-2</v>
      </c>
      <c r="AT53" s="179"/>
      <c r="AU53" s="1265">
        <f>AU49/AU51</f>
        <v>6.7406609132948325E-2</v>
      </c>
      <c r="AV53" s="179"/>
      <c r="AW53" s="246">
        <f>AW49/AW51</f>
        <v>7.3699999988665402E-2</v>
      </c>
      <c r="AX53" s="91"/>
      <c r="AZ53" s="854"/>
      <c r="BA53" s="855"/>
      <c r="BC53" s="181"/>
      <c r="BD53" s="181"/>
      <c r="BE53" s="181"/>
      <c r="BF53" s="181"/>
      <c r="BG53" s="181"/>
      <c r="BH53" s="181"/>
      <c r="BI53" s="181"/>
      <c r="BJ53" s="181"/>
      <c r="BK53" s="181"/>
      <c r="BL53" s="181"/>
      <c r="BM53" s="181"/>
      <c r="BN53" s="181"/>
      <c r="BO53" s="181"/>
    </row>
    <row r="54" spans="1:67">
      <c r="A54" s="253">
        <f t="shared" si="0"/>
        <v>39</v>
      </c>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t="s">
        <v>253</v>
      </c>
      <c r="AW54" s="195"/>
      <c r="AZ54" s="235"/>
      <c r="BA54" s="235"/>
      <c r="BC54" s="181"/>
      <c r="BD54" s="181"/>
      <c r="BE54" s="181"/>
      <c r="BF54" s="181"/>
      <c r="BG54" s="181"/>
      <c r="BH54" s="181"/>
      <c r="BI54" s="181"/>
      <c r="BJ54" s="181"/>
      <c r="BK54" s="181"/>
      <c r="BL54" s="181"/>
      <c r="BM54" s="181"/>
      <c r="BN54" s="181"/>
      <c r="BO54" s="181"/>
    </row>
    <row r="55" spans="1:67">
      <c r="A55" s="253">
        <f t="shared" si="0"/>
        <v>40</v>
      </c>
      <c r="B55" s="252" t="s">
        <v>232</v>
      </c>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t="s">
        <v>253</v>
      </c>
      <c r="AW55" s="195"/>
      <c r="AZ55" s="235"/>
      <c r="BA55" s="235"/>
      <c r="BC55" s="181"/>
      <c r="BD55" s="181"/>
      <c r="BE55" s="181"/>
      <c r="BF55" s="181"/>
      <c r="BG55" s="181"/>
      <c r="BH55" s="181"/>
      <c r="BI55" s="181"/>
      <c r="BJ55" s="181"/>
      <c r="BK55" s="181"/>
      <c r="BL55" s="181"/>
      <c r="BM55" s="181"/>
      <c r="BN55" s="181"/>
      <c r="BO55" s="181"/>
    </row>
    <row r="56" spans="1:67">
      <c r="A56" s="253">
        <f t="shared" si="0"/>
        <v>41</v>
      </c>
      <c r="B56" s="646" t="s">
        <v>313</v>
      </c>
      <c r="C56" s="646"/>
      <c r="D56" s="531">
        <f>[12]ERB!$D$91</f>
        <v>9760401506.5440865</v>
      </c>
      <c r="E56" s="531">
        <v>0</v>
      </c>
      <c r="F56" s="179">
        <v>0</v>
      </c>
      <c r="G56" s="179">
        <v>0</v>
      </c>
      <c r="H56" s="179">
        <v>0</v>
      </c>
      <c r="I56" s="179">
        <v>0</v>
      </c>
      <c r="J56" s="531">
        <v>0</v>
      </c>
      <c r="K56" s="531">
        <v>0</v>
      </c>
      <c r="L56" s="531">
        <v>0</v>
      </c>
      <c r="M56" s="531">
        <v>0</v>
      </c>
      <c r="N56" s="531">
        <v>0</v>
      </c>
      <c r="O56" s="531">
        <v>0</v>
      </c>
      <c r="P56" s="531">
        <v>0</v>
      </c>
      <c r="Q56" s="531">
        <v>0</v>
      </c>
      <c r="R56" s="531">
        <f>+R51</f>
        <v>0</v>
      </c>
      <c r="S56" s="531">
        <v>0</v>
      </c>
      <c r="T56" s="531">
        <v>0</v>
      </c>
      <c r="U56" s="531">
        <v>0</v>
      </c>
      <c r="V56" s="531">
        <v>0</v>
      </c>
      <c r="W56" s="531">
        <v>0</v>
      </c>
      <c r="X56" s="531">
        <v>0</v>
      </c>
      <c r="Y56" s="531">
        <v>0</v>
      </c>
      <c r="Z56" s="531">
        <f>'MCC-2 page 7-30'!DG15+'MCC-2 page 7-30'!DG16</f>
        <v>15741420.734608332</v>
      </c>
      <c r="AA56" s="531"/>
      <c r="AB56" s="1242"/>
      <c r="AC56" s="531"/>
      <c r="AD56" s="531">
        <v>0</v>
      </c>
      <c r="AE56" s="531">
        <v>0</v>
      </c>
      <c r="AF56" s="531">
        <f>'MCC-2 page 31-45'!O15</f>
        <v>-4539303</v>
      </c>
      <c r="AG56" s="531">
        <v>0</v>
      </c>
      <c r="AH56" s="531">
        <v>0</v>
      </c>
      <c r="AI56" s="531"/>
      <c r="AJ56" s="531">
        <f>'MCC-2 page 31-45'!AI14</f>
        <v>5283142.6882666685</v>
      </c>
      <c r="AK56" s="531">
        <f>+'MCC-2 page 31-45'!AN15</f>
        <v>0</v>
      </c>
      <c r="AL56" s="531">
        <f>'MCC-2 page 31-45'!AS14+'MCC-2 page 31-45'!AS22</f>
        <v>-46656.627500012517</v>
      </c>
      <c r="AM56" s="531">
        <f>+'MCC-2 page 31-45'!AX15</f>
        <v>24765516.030000001</v>
      </c>
      <c r="AN56" s="531">
        <f>'MCC-2 page 31-45'!BC15+'MCC-2 page 31-45'!BC16</f>
        <v>45432.020000000004</v>
      </c>
      <c r="AO56" s="531"/>
      <c r="AP56" s="531">
        <f>AP51-AP59-AP58-AP57</f>
        <v>0</v>
      </c>
      <c r="AQ56" s="1242">
        <f t="shared" ref="AQ56:AQ62" si="21">SUM(E56:AP56)</f>
        <v>41249551.845374994</v>
      </c>
      <c r="AR56" s="1206">
        <f t="shared" ref="AR56:AR61" si="22">+AQ56+D56</f>
        <v>9801651058.3894615</v>
      </c>
      <c r="AS56" s="331">
        <f t="shared" ref="AS56:AS61" si="23">D56</f>
        <v>9760401506.5440865</v>
      </c>
      <c r="AT56" s="1206">
        <f t="shared" ref="AT56:AT61" si="24">+AQ56</f>
        <v>41249551.845374994</v>
      </c>
      <c r="AU56" s="1206">
        <f t="shared" ref="AU56:AU61" si="25">+AT56+AS56</f>
        <v>9801651058.3894615</v>
      </c>
      <c r="AV56" s="331"/>
      <c r="AW56" s="1261">
        <f t="shared" ref="AW56:AW61" si="26">SUM(AU56:AV56)</f>
        <v>9801651058.3894615</v>
      </c>
      <c r="AX56" s="198"/>
      <c r="AZ56" s="196"/>
      <c r="BA56" s="196"/>
      <c r="BC56" s="181"/>
      <c r="BD56" s="181"/>
      <c r="BE56" s="181"/>
      <c r="BF56" s="181"/>
      <c r="BG56" s="181"/>
      <c r="BH56" s="181"/>
      <c r="BI56" s="181"/>
      <c r="BJ56" s="181"/>
      <c r="BK56" s="181"/>
      <c r="BL56" s="181"/>
      <c r="BM56" s="181"/>
      <c r="BN56" s="181"/>
      <c r="BO56" s="181"/>
    </row>
    <row r="57" spans="1:67">
      <c r="A57" s="253">
        <f t="shared" si="0"/>
        <v>42</v>
      </c>
      <c r="B57" s="646" t="s">
        <v>314</v>
      </c>
      <c r="C57" s="646"/>
      <c r="D57" s="226">
        <f>[12]ERB!$D$92</f>
        <v>-3743804806.4787149</v>
      </c>
      <c r="E57" s="179"/>
      <c r="F57" s="179"/>
      <c r="G57" s="179"/>
      <c r="H57" s="179"/>
      <c r="I57" s="179"/>
      <c r="J57" s="1206">
        <f>+'MCC-2 page 7-30'!AD39</f>
        <v>-16404410.790575877</v>
      </c>
      <c r="K57" s="179">
        <f>'MCC-2 page 7-30'!AI18</f>
        <v>-127629534.00980572</v>
      </c>
      <c r="L57" s="179"/>
      <c r="M57" s="179"/>
      <c r="N57" s="179"/>
      <c r="O57" s="179"/>
      <c r="P57" s="179"/>
      <c r="Q57" s="179"/>
      <c r="R57" s="179"/>
      <c r="S57" s="179"/>
      <c r="T57" s="179"/>
      <c r="U57" s="179"/>
      <c r="V57" s="179"/>
      <c r="W57" s="179"/>
      <c r="X57" s="179"/>
      <c r="Y57" s="179"/>
      <c r="Z57" s="179">
        <f>'MCC-2 page 7-30'!DG17+'MCC-2 page 7-30'!DG19+'MCC-2 page 7-30'!DG18</f>
        <v>-101363.37640134411</v>
      </c>
      <c r="AA57" s="179"/>
      <c r="AB57" s="179"/>
      <c r="AC57" s="179"/>
      <c r="AD57" s="179"/>
      <c r="AE57" s="179"/>
      <c r="AF57" s="179">
        <f>'MCC-2 page 31-45'!O16+'MCC-2 page 31-45'!O17</f>
        <v>1590015.6893272984</v>
      </c>
      <c r="AG57" s="179"/>
      <c r="AH57" s="179"/>
      <c r="AI57" s="179"/>
      <c r="AJ57" s="179">
        <f>'MCC-2 page 31-45'!AI15+'MCC-2 page 31-45'!AI16</f>
        <v>-723725.33830972295</v>
      </c>
      <c r="AK57" s="179">
        <f>+'MCC-2 page 31-45'!AN16</f>
        <v>0</v>
      </c>
      <c r="AL57" s="179">
        <f>'MCC-2 page 31-45'!AS15+'MCC-2 page 31-45'!AS16+'MCC-2 page 31-45'!AS23+'MCC-2 page 31-45'!AS24</f>
        <v>21111912.982080221</v>
      </c>
      <c r="AM57" s="179">
        <f>+'MCC-2 page 31-45'!AX16</f>
        <v>-1572187.2608600797</v>
      </c>
      <c r="AN57" s="179"/>
      <c r="AO57" s="179"/>
      <c r="AP57" s="179">
        <f>+'MCC-2 page 31-45'!BL56+'MCC-2 page 31-45'!BL58+'MCC-2 page 31-45'!BL62</f>
        <v>0</v>
      </c>
      <c r="AQ57" s="1266">
        <f t="shared" si="21"/>
        <v>-123729292.10454524</v>
      </c>
      <c r="AR57" s="1206">
        <f t="shared" si="22"/>
        <v>-3867534098.5832601</v>
      </c>
      <c r="AS57" s="179">
        <f t="shared" si="23"/>
        <v>-3743804806.4787149</v>
      </c>
      <c r="AT57" s="1206">
        <f t="shared" si="24"/>
        <v>-123729292.10454524</v>
      </c>
      <c r="AU57" s="1206">
        <f t="shared" si="25"/>
        <v>-3867534098.5832601</v>
      </c>
      <c r="AV57" s="179"/>
      <c r="AW57" s="1206">
        <f t="shared" si="26"/>
        <v>-3867534098.5832601</v>
      </c>
      <c r="AX57" s="198"/>
      <c r="AZ57" s="226"/>
      <c r="BA57" s="226"/>
      <c r="BC57" s="181"/>
      <c r="BD57" s="181"/>
      <c r="BE57" s="181"/>
      <c r="BF57" s="181"/>
      <c r="BG57" s="181"/>
      <c r="BH57" s="181"/>
      <c r="BI57" s="181"/>
      <c r="BJ57" s="181"/>
      <c r="BK57" s="181"/>
      <c r="BL57" s="181"/>
      <c r="BM57" s="181"/>
      <c r="BN57" s="181"/>
      <c r="BO57" s="181"/>
    </row>
    <row r="58" spans="1:67">
      <c r="A58" s="253">
        <f t="shared" si="0"/>
        <v>43</v>
      </c>
      <c r="B58" s="252" t="s">
        <v>279</v>
      </c>
      <c r="D58" s="226">
        <f>[12]ERB!$D$93</f>
        <v>253258620.21125004</v>
      </c>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637"/>
      <c r="AC58" s="637"/>
      <c r="AD58" s="179"/>
      <c r="AE58" s="179"/>
      <c r="AF58" s="179"/>
      <c r="AG58" s="179"/>
      <c r="AH58" s="179"/>
      <c r="AI58" s="179">
        <f>'[13]Lead E'!C64</f>
        <v>-58945766.064063393</v>
      </c>
      <c r="AJ58" s="179"/>
      <c r="AK58" s="179"/>
      <c r="AL58" s="179"/>
      <c r="AM58" s="179"/>
      <c r="AN58" s="637">
        <f>'MCC-2 page 31-45'!BC14+'MCC-2 page 31-45'!BC18</f>
        <v>-3861540.5625764728</v>
      </c>
      <c r="AO58" s="179">
        <f>+'MCC-2 page 31-45'!BH14</f>
        <v>69639614.979849741</v>
      </c>
      <c r="AP58" s="637">
        <f>+'MCC-2 page 31-45'!BL94+'MCC-2 page 31-45'!BL59+'MCC-2 page 31-45'!BL60+'[13]RB-IS by FERC'!$J$98</f>
        <v>0</v>
      </c>
      <c r="AQ58" s="964">
        <f t="shared" si="21"/>
        <v>6832308.3532098755</v>
      </c>
      <c r="AR58" s="179">
        <f t="shared" si="22"/>
        <v>260090928.56445992</v>
      </c>
      <c r="AS58" s="179">
        <f t="shared" si="23"/>
        <v>253258620.21125004</v>
      </c>
      <c r="AT58" s="179">
        <f t="shared" si="24"/>
        <v>6832308.3532098755</v>
      </c>
      <c r="AU58" s="179">
        <f t="shared" si="25"/>
        <v>260090928.56445992</v>
      </c>
      <c r="AV58" s="179"/>
      <c r="AW58" s="179">
        <f t="shared" si="26"/>
        <v>260090928.56445992</v>
      </c>
      <c r="AX58" s="198"/>
      <c r="AZ58" s="837"/>
      <c r="BA58" s="837"/>
      <c r="BC58" s="181"/>
      <c r="BD58" s="181"/>
      <c r="BE58" s="181"/>
      <c r="BF58" s="181"/>
      <c r="BG58" s="181"/>
      <c r="BH58" s="181"/>
      <c r="BI58" s="181"/>
      <c r="BJ58" s="181"/>
      <c r="BK58" s="181"/>
      <c r="BL58" s="181"/>
      <c r="BM58" s="181"/>
      <c r="BN58" s="181"/>
      <c r="BO58" s="181"/>
    </row>
    <row r="59" spans="1:67">
      <c r="A59" s="253">
        <f t="shared" si="0"/>
        <v>44</v>
      </c>
      <c r="B59" s="252" t="s">
        <v>142</v>
      </c>
      <c r="D59" s="226">
        <f>[12]ERB!$D$94</f>
        <v>-1263932467.6059232</v>
      </c>
      <c r="E59" s="179"/>
      <c r="F59" s="179"/>
      <c r="G59" s="179"/>
      <c r="H59" s="179">
        <f>'MCC-2 page 7-30'!U35</f>
        <v>0</v>
      </c>
      <c r="I59" s="179"/>
      <c r="J59" s="1206">
        <f>'MCC-2 page 7-30'!AD40+'MCC-2 page 7-30'!AD41</f>
        <v>5741543.7767015649</v>
      </c>
      <c r="K59" s="179"/>
      <c r="L59" s="179"/>
      <c r="M59" s="179"/>
      <c r="N59" s="179"/>
      <c r="O59" s="179"/>
      <c r="P59" s="179"/>
      <c r="Q59" s="179"/>
      <c r="R59" s="179"/>
      <c r="S59" s="179"/>
      <c r="T59" s="179"/>
      <c r="U59" s="179"/>
      <c r="V59" s="179"/>
      <c r="W59" s="179"/>
      <c r="X59" s="179"/>
      <c r="Y59" s="179"/>
      <c r="Z59" s="179">
        <f>'MCC-2 page 7-30'!DG20+'MCC-2 page 7-30'!DG21</f>
        <v>275002.73965979565</v>
      </c>
      <c r="AA59" s="179"/>
      <c r="AB59" s="179"/>
      <c r="AC59" s="179"/>
      <c r="AD59" s="179"/>
      <c r="AE59" s="179"/>
      <c r="AF59" s="179">
        <f>'MCC-2 page 31-45'!O18+'MCC-2 page 31-45'!O19</f>
        <v>979945.97436044563</v>
      </c>
      <c r="AG59" s="179"/>
      <c r="AH59" s="179">
        <f>'MCC-2 page 31-45'!W39</f>
        <v>17036888.75</v>
      </c>
      <c r="AI59" s="179">
        <f>'[13]Lead E'!C65</f>
        <v>14860439.578644209</v>
      </c>
      <c r="AJ59" s="179">
        <f>'MCC-2 page 31-45'!AI17+'MCC-2 page 31-45'!AI18</f>
        <v>-1716630.2886360891</v>
      </c>
      <c r="AK59" s="179">
        <f>+'MCC-2 page 31-45'!AN17</f>
        <v>0</v>
      </c>
      <c r="AL59" s="179">
        <f>'MCC-2 page 31-45'!AS17+'MCC-2 page 31-45'!AS18+'MCC-2 page 31-45'!AS25+'MCC-2 page 31-45'!AS26</f>
        <v>-2924301.9482050105</v>
      </c>
      <c r="AM59" s="179">
        <f>+'MCC-2 page 31-45'!AX17</f>
        <v>-4188738.7602319769</v>
      </c>
      <c r="AN59" s="637">
        <f>'MCC-2 page 31-45'!BC19</f>
        <v>1351539.3596851733</v>
      </c>
      <c r="AO59" s="179"/>
      <c r="AP59" s="179">
        <f>+'MCC-2 page 31-45'!BL71-'[13]RB-IS by FERC'!$J$98</f>
        <v>0</v>
      </c>
      <c r="AQ59" s="1266">
        <f t="shared" si="21"/>
        <v>31415689.181978114</v>
      </c>
      <c r="AR59" s="1206">
        <f t="shared" si="22"/>
        <v>-1232516778.423945</v>
      </c>
      <c r="AS59" s="179">
        <f t="shared" si="23"/>
        <v>-1263932467.6059232</v>
      </c>
      <c r="AT59" s="1206">
        <f t="shared" si="24"/>
        <v>31415689.181978114</v>
      </c>
      <c r="AU59" s="1206">
        <f t="shared" si="25"/>
        <v>-1232516778.423945</v>
      </c>
      <c r="AV59" s="179"/>
      <c r="AW59" s="1206">
        <f t="shared" si="26"/>
        <v>-1232516778.423945</v>
      </c>
      <c r="AX59" s="198"/>
      <c r="AZ59" s="837"/>
      <c r="BA59" s="837"/>
      <c r="BC59" s="181"/>
      <c r="BD59" s="181"/>
      <c r="BE59" s="181"/>
      <c r="BF59" s="181"/>
      <c r="BG59" s="181"/>
      <c r="BH59" s="181"/>
      <c r="BI59" s="181"/>
      <c r="BJ59" s="181"/>
      <c r="BK59" s="181"/>
      <c r="BL59" s="181"/>
      <c r="BM59" s="181"/>
      <c r="BN59" s="181"/>
      <c r="BO59" s="181"/>
    </row>
    <row r="60" spans="1:67">
      <c r="A60" s="253">
        <f t="shared" si="0"/>
        <v>45</v>
      </c>
      <c r="B60" s="252" t="s">
        <v>144</v>
      </c>
      <c r="D60" s="226">
        <f>[12]ERB!$D$95</f>
        <v>227005241.70228952</v>
      </c>
      <c r="E60" s="179"/>
      <c r="F60" s="179"/>
      <c r="G60" s="179"/>
      <c r="H60" s="179"/>
      <c r="I60" s="179"/>
      <c r="J60" s="179"/>
      <c r="K60" s="179"/>
      <c r="L60" s="179"/>
      <c r="M60" s="179"/>
      <c r="N60" s="179"/>
      <c r="O60" s="179">
        <f>'MCC-2 page 7-30'!BJ20</f>
        <v>0</v>
      </c>
      <c r="P60" s="179">
        <f>'MCC-2 page 7-30'!BK20</f>
        <v>0</v>
      </c>
      <c r="Q60" s="179"/>
      <c r="R60" s="179"/>
      <c r="S60" s="179"/>
      <c r="T60" s="179"/>
      <c r="U60" s="179"/>
      <c r="V60" s="179"/>
      <c r="W60" s="179"/>
      <c r="X60" s="179">
        <f>X49</f>
        <v>-552786.58200000005</v>
      </c>
      <c r="Y60" s="179"/>
      <c r="Z60" s="179"/>
      <c r="AA60" s="179"/>
      <c r="AB60" s="1206">
        <f>'EXHIBIT MCC-5'!D39</f>
        <v>15990937.271673262</v>
      </c>
      <c r="AC60" s="179"/>
      <c r="AD60" s="179"/>
      <c r="AE60" s="179"/>
      <c r="AF60" s="179"/>
      <c r="AG60" s="179"/>
      <c r="AH60" s="179">
        <f>'MCC-2 page 31-45'!W38</f>
        <v>-48676825</v>
      </c>
      <c r="AI60" s="179"/>
      <c r="AJ60" s="179"/>
      <c r="AK60" s="179"/>
      <c r="AL60" s="179"/>
      <c r="AM60" s="179"/>
      <c r="AN60" s="179"/>
      <c r="AO60" s="179"/>
      <c r="AP60" s="179"/>
      <c r="AQ60" s="1266">
        <f t="shared" si="21"/>
        <v>-33238674.31032674</v>
      </c>
      <c r="AR60" s="1206">
        <f t="shared" si="22"/>
        <v>193766567.39196277</v>
      </c>
      <c r="AS60" s="179">
        <f t="shared" si="23"/>
        <v>227005241.70228952</v>
      </c>
      <c r="AT60" s="1206">
        <f t="shared" si="24"/>
        <v>-33238674.31032674</v>
      </c>
      <c r="AU60" s="1206">
        <f t="shared" si="25"/>
        <v>193766567.39196277</v>
      </c>
      <c r="AV60" s="179"/>
      <c r="AW60" s="1206">
        <f t="shared" si="26"/>
        <v>193766567.39196277</v>
      </c>
      <c r="AX60" s="198"/>
      <c r="AZ60" s="226"/>
      <c r="BA60" s="226"/>
      <c r="BC60" s="181"/>
      <c r="BD60" s="181"/>
      <c r="BE60" s="181"/>
      <c r="BF60" s="181"/>
      <c r="BG60" s="181"/>
      <c r="BH60" s="181"/>
      <c r="BI60" s="181"/>
      <c r="BJ60" s="181"/>
      <c r="BK60" s="181"/>
      <c r="BL60" s="181"/>
      <c r="BM60" s="181"/>
      <c r="BN60" s="181"/>
      <c r="BO60" s="181"/>
    </row>
    <row r="61" spans="1:67">
      <c r="A61" s="253">
        <f t="shared" si="0"/>
        <v>46</v>
      </c>
      <c r="B61" s="252" t="s">
        <v>143</v>
      </c>
      <c r="D61" s="226">
        <f>[12]ERB!$D$96</f>
        <v>-79723632.787103415</v>
      </c>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964">
        <f t="shared" si="21"/>
        <v>0</v>
      </c>
      <c r="AR61" s="179">
        <f t="shared" si="22"/>
        <v>-79723632.787103415</v>
      </c>
      <c r="AS61" s="179">
        <f t="shared" si="23"/>
        <v>-79723632.787103415</v>
      </c>
      <c r="AT61" s="179">
        <f t="shared" si="24"/>
        <v>0</v>
      </c>
      <c r="AU61" s="179">
        <f t="shared" si="25"/>
        <v>-79723632.787103415</v>
      </c>
      <c r="AV61" s="179"/>
      <c r="AW61" s="179">
        <f t="shared" si="26"/>
        <v>-79723632.787103415</v>
      </c>
      <c r="AX61" s="198"/>
      <c r="AZ61" s="226"/>
      <c r="BA61" s="226"/>
      <c r="BC61" s="181"/>
      <c r="BD61" s="181"/>
      <c r="BE61" s="181"/>
      <c r="BF61" s="181"/>
      <c r="BG61" s="181"/>
      <c r="BH61" s="181"/>
      <c r="BI61" s="181"/>
      <c r="BJ61" s="181"/>
      <c r="BK61" s="181"/>
      <c r="BL61" s="181"/>
      <c r="BM61" s="181"/>
      <c r="BN61" s="181"/>
      <c r="BO61" s="181"/>
    </row>
    <row r="62" spans="1:67" ht="32.25" customHeight="1" thickBot="1">
      <c r="A62" s="253">
        <f t="shared" si="0"/>
        <v>47</v>
      </c>
      <c r="B62" s="252" t="s">
        <v>308</v>
      </c>
      <c r="D62" s="214">
        <f t="shared" ref="D62:AM62" si="27">SUM(D56:D61)</f>
        <v>5153204461.5858841</v>
      </c>
      <c r="E62" s="214">
        <f t="shared" si="27"/>
        <v>0</v>
      </c>
      <c r="F62" s="214">
        <f t="shared" si="27"/>
        <v>0</v>
      </c>
      <c r="G62" s="214">
        <f t="shared" si="27"/>
        <v>0</v>
      </c>
      <c r="H62" s="214">
        <f t="shared" si="27"/>
        <v>0</v>
      </c>
      <c r="I62" s="214">
        <f t="shared" si="27"/>
        <v>0</v>
      </c>
      <c r="J62" s="1209">
        <f t="shared" si="27"/>
        <v>-10662867.013874311</v>
      </c>
      <c r="K62" s="214">
        <f>SUM(K56:K61)</f>
        <v>-127629534.00980572</v>
      </c>
      <c r="L62" s="214">
        <f t="shared" si="27"/>
        <v>0</v>
      </c>
      <c r="M62" s="214">
        <f t="shared" si="27"/>
        <v>0</v>
      </c>
      <c r="N62" s="214">
        <f t="shared" si="27"/>
        <v>0</v>
      </c>
      <c r="O62" s="214">
        <f t="shared" si="27"/>
        <v>0</v>
      </c>
      <c r="P62" s="214">
        <f t="shared" si="27"/>
        <v>0</v>
      </c>
      <c r="Q62" s="214">
        <f t="shared" si="27"/>
        <v>0</v>
      </c>
      <c r="R62" s="214">
        <f t="shared" si="27"/>
        <v>0</v>
      </c>
      <c r="S62" s="214">
        <f t="shared" si="27"/>
        <v>0</v>
      </c>
      <c r="T62" s="214">
        <f t="shared" si="27"/>
        <v>0</v>
      </c>
      <c r="U62" s="214">
        <f t="shared" si="27"/>
        <v>0</v>
      </c>
      <c r="V62" s="214">
        <f t="shared" si="27"/>
        <v>0</v>
      </c>
      <c r="W62" s="214">
        <f t="shared" si="27"/>
        <v>0</v>
      </c>
      <c r="X62" s="214">
        <f t="shared" si="27"/>
        <v>-552786.58200000005</v>
      </c>
      <c r="Y62" s="214">
        <f t="shared" si="27"/>
        <v>0</v>
      </c>
      <c r="Z62" s="214">
        <f>SUM(Z56:Z61)</f>
        <v>15915060.097866783</v>
      </c>
      <c r="AA62" s="214">
        <f>SUM(AA56:AA61)</f>
        <v>0</v>
      </c>
      <c r="AB62" s="1243">
        <f>SUM(AB56:AB61)</f>
        <v>15990937.271673262</v>
      </c>
      <c r="AC62" s="833">
        <f>SUM(AC56:AC61)</f>
        <v>0</v>
      </c>
      <c r="AD62" s="214">
        <f t="shared" si="27"/>
        <v>0</v>
      </c>
      <c r="AE62" s="214">
        <f t="shared" si="27"/>
        <v>0</v>
      </c>
      <c r="AF62" s="214">
        <f t="shared" si="27"/>
        <v>-1969341.3363122558</v>
      </c>
      <c r="AG62" s="214">
        <f t="shared" si="27"/>
        <v>0</v>
      </c>
      <c r="AH62" s="214">
        <f>SUM(AH56:AH61)</f>
        <v>-31639936.25</v>
      </c>
      <c r="AI62" s="214">
        <f t="shared" si="27"/>
        <v>-44085326.485419184</v>
      </c>
      <c r="AJ62" s="214">
        <f t="shared" si="27"/>
        <v>2842787.0613208562</v>
      </c>
      <c r="AK62" s="214">
        <f t="shared" si="27"/>
        <v>0</v>
      </c>
      <c r="AL62" s="214">
        <f t="shared" si="27"/>
        <v>18140954.4063752</v>
      </c>
      <c r="AM62" s="214">
        <f t="shared" si="27"/>
        <v>19004590.008907948</v>
      </c>
      <c r="AN62" s="833">
        <f>SUM(AN56:AN61)</f>
        <v>-2464569.1828912995</v>
      </c>
      <c r="AO62" s="214">
        <f>SUM(AO56:AO61)</f>
        <v>69639614.979849741</v>
      </c>
      <c r="AP62" s="833">
        <f>SUM(AP56:AP61)</f>
        <v>0</v>
      </c>
      <c r="AQ62" s="1209">
        <f t="shared" si="21"/>
        <v>-77470417.034308985</v>
      </c>
      <c r="AR62" s="1243">
        <f>SUM(AR56:AR61)</f>
        <v>5075734044.5515757</v>
      </c>
      <c r="AS62" s="214">
        <f>SUM(AS56:AS61)</f>
        <v>5153204461.5858841</v>
      </c>
      <c r="AT62" s="1243">
        <f>SUM(AT56:AT61)</f>
        <v>-77470417.03430897</v>
      </c>
      <c r="AU62" s="1243">
        <f>SUM(AU56:AU61)</f>
        <v>5075734044.5515757</v>
      </c>
      <c r="AV62" s="235"/>
      <c r="AW62" s="1243">
        <f>SUM(AW56:AW61)</f>
        <v>5075734044.5515757</v>
      </c>
      <c r="AX62" s="198"/>
      <c r="AZ62" s="856"/>
      <c r="BA62" s="856"/>
      <c r="BC62" s="181"/>
      <c r="BD62" s="181"/>
      <c r="BE62" s="181"/>
      <c r="BF62" s="181"/>
      <c r="BG62" s="181"/>
      <c r="BH62" s="181"/>
      <c r="BI62" s="181"/>
      <c r="BJ62" s="181"/>
      <c r="BK62" s="181"/>
      <c r="BL62" s="181"/>
      <c r="BM62" s="181"/>
      <c r="BN62" s="181"/>
      <c r="BO62" s="181"/>
    </row>
    <row r="63" spans="1:67" ht="20.25" customHeight="1" thickTop="1">
      <c r="A63" s="253">
        <v>48</v>
      </c>
      <c r="B63" s="250" t="s">
        <v>885</v>
      </c>
      <c r="C63" s="624">
        <f>'EXHIBIT MCC-3'!K16</f>
        <v>7.3700000000000002E-2</v>
      </c>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097"/>
      <c r="AR63" s="188"/>
      <c r="AS63" s="836"/>
      <c r="AT63" s="188"/>
      <c r="AU63" s="188"/>
      <c r="AW63" s="28"/>
      <c r="AX63" s="28"/>
      <c r="AZ63" s="187"/>
      <c r="BA63" s="187"/>
      <c r="BC63" s="181"/>
      <c r="BD63" s="181"/>
      <c r="BE63" s="181"/>
      <c r="BF63" s="181"/>
      <c r="BG63" s="181"/>
      <c r="BH63" s="181"/>
      <c r="BI63" s="181"/>
      <c r="BJ63" s="181"/>
      <c r="BK63" s="181"/>
      <c r="BL63" s="181"/>
      <c r="BM63" s="181"/>
      <c r="BN63" s="181"/>
      <c r="BO63" s="181"/>
    </row>
    <row r="64" spans="1:67" ht="20.25" customHeight="1">
      <c r="A64" s="253">
        <v>49</v>
      </c>
      <c r="B64" s="250" t="s">
        <v>886</v>
      </c>
      <c r="C64" s="624">
        <f>'EXHIBIT MCC-3'!P21</f>
        <v>0.61905100000000002</v>
      </c>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836"/>
      <c r="AT64" s="188"/>
      <c r="AU64" s="188"/>
      <c r="AW64" s="28"/>
      <c r="AX64" s="28"/>
      <c r="AZ64" s="857"/>
      <c r="BA64" s="857"/>
      <c r="BC64" s="181"/>
      <c r="BD64" s="181"/>
      <c r="BE64" s="181"/>
      <c r="BF64" s="181"/>
      <c r="BG64" s="181"/>
      <c r="BH64" s="181"/>
      <c r="BI64" s="181"/>
      <c r="BJ64" s="181"/>
      <c r="BK64" s="181"/>
      <c r="BL64" s="181"/>
      <c r="BM64" s="181"/>
      <c r="BN64" s="181"/>
      <c r="BO64" s="181"/>
    </row>
    <row r="65" spans="1:67" s="182" customFormat="1" ht="20.25" customHeight="1">
      <c r="A65" s="970">
        <v>50</v>
      </c>
      <c r="B65" s="250" t="s">
        <v>880</v>
      </c>
      <c r="C65" s="1108"/>
      <c r="D65" s="649">
        <f>D70/$C$64</f>
        <v>-34265032.896965198</v>
      </c>
      <c r="E65" s="649">
        <f>E70/$C$64</f>
        <v>47070618.623087555</v>
      </c>
      <c r="F65" s="649">
        <f t="shared" ref="F65:AW65" si="28">F70/$C$64</f>
        <v>-33207899.929528084</v>
      </c>
      <c r="G65" s="649">
        <f t="shared" si="28"/>
        <v>1616248.5977825739</v>
      </c>
      <c r="H65" s="649">
        <f t="shared" si="28"/>
        <v>43652685.815179482</v>
      </c>
      <c r="I65" s="1208">
        <f t="shared" si="28"/>
        <v>-84656924.889863685</v>
      </c>
      <c r="J65" s="1208">
        <f t="shared" si="28"/>
        <v>33179626.119376447</v>
      </c>
      <c r="K65" s="649">
        <f t="shared" ref="K65" si="29">K70/$C$64</f>
        <v>-7749688.4308970543</v>
      </c>
      <c r="L65" s="649">
        <f t="shared" si="28"/>
        <v>-112086.53030310378</v>
      </c>
      <c r="M65" s="649">
        <f t="shared" si="28"/>
        <v>-1100175.914423852</v>
      </c>
      <c r="N65" s="649">
        <f t="shared" si="28"/>
        <v>177534.95148820771</v>
      </c>
      <c r="O65" s="649">
        <f t="shared" si="28"/>
        <v>-26073.979146118305</v>
      </c>
      <c r="P65" s="649">
        <f t="shared" si="28"/>
        <v>285284.46064057475</v>
      </c>
      <c r="Q65" s="649">
        <f t="shared" si="28"/>
        <v>0</v>
      </c>
      <c r="R65" s="649">
        <f t="shared" si="28"/>
        <v>-276551.98010072485</v>
      </c>
      <c r="S65" s="649">
        <f t="shared" si="28"/>
        <v>-106852.45730305139</v>
      </c>
      <c r="T65" s="649">
        <f t="shared" si="28"/>
        <v>1914132.1880961107</v>
      </c>
      <c r="U65" s="649">
        <f t="shared" si="28"/>
        <v>2193220.8962716763</v>
      </c>
      <c r="V65" s="649">
        <f t="shared" si="28"/>
        <v>156214.39331798616</v>
      </c>
      <c r="W65" s="649">
        <f t="shared" si="28"/>
        <v>196673.5038533675</v>
      </c>
      <c r="X65" s="649">
        <f t="shared" si="28"/>
        <v>827147.05396905914</v>
      </c>
      <c r="Y65" s="649">
        <f t="shared" si="28"/>
        <v>3247262.5955837863</v>
      </c>
      <c r="Z65" s="649">
        <f t="shared" si="28"/>
        <v>1193590.6562501732</v>
      </c>
      <c r="AA65" s="649">
        <f t="shared" si="28"/>
        <v>-16577.498619641967</v>
      </c>
      <c r="AB65" s="1208">
        <f>AB70/$C$64</f>
        <v>1903772.1882725644</v>
      </c>
      <c r="AC65" s="649">
        <f>AC70/$C$64</f>
        <v>-510066.2142537529</v>
      </c>
      <c r="AD65" s="649">
        <f t="shared" si="28"/>
        <v>4570498.821376536</v>
      </c>
      <c r="AE65" s="649">
        <f t="shared" si="28"/>
        <v>-98753.206658795942</v>
      </c>
      <c r="AF65" s="649">
        <f t="shared" si="28"/>
        <v>-457201.15974420524</v>
      </c>
      <c r="AG65" s="649">
        <f t="shared" si="28"/>
        <v>67316883.357752338</v>
      </c>
      <c r="AH65" s="649">
        <f t="shared" si="28"/>
        <v>-2736719.5616758605</v>
      </c>
      <c r="AI65" s="649">
        <f t="shared" si="28"/>
        <v>-8053133.7699565655</v>
      </c>
      <c r="AJ65" s="649">
        <f t="shared" si="28"/>
        <v>573464.43031000777</v>
      </c>
      <c r="AK65" s="649">
        <f t="shared" si="28"/>
        <v>0</v>
      </c>
      <c r="AL65" s="649">
        <f t="shared" si="28"/>
        <v>2156255.6960692941</v>
      </c>
      <c r="AM65" s="649">
        <f>AM70/$C$64</f>
        <v>2262557.1780943992</v>
      </c>
      <c r="AN65" s="649">
        <f t="shared" si="28"/>
        <v>-293414.83783902903</v>
      </c>
      <c r="AO65" s="649">
        <f t="shared" si="28"/>
        <v>10829540.362072904</v>
      </c>
      <c r="AP65" s="649">
        <f t="shared" si="28"/>
        <v>-55175.53863100741</v>
      </c>
      <c r="AQ65" s="1208">
        <f>AQ70/$C$64</f>
        <v>85865915.989900291</v>
      </c>
      <c r="AR65" s="1208">
        <f>AR70/$C$64</f>
        <v>51600883.092934988</v>
      </c>
      <c r="AS65" s="649">
        <f t="shared" ref="AS65" si="30">AS70/$C$64</f>
        <v>-34265032.896965198</v>
      </c>
      <c r="AT65" s="1208">
        <f t="shared" ref="AT65" si="31">AT70/$C$64</f>
        <v>85865915.989900291</v>
      </c>
      <c r="AU65" s="1267">
        <f>SUM(D65:AP65)</f>
        <v>51600883.092935309</v>
      </c>
      <c r="AV65" s="1208">
        <f t="shared" si="28"/>
        <v>-51600883</v>
      </c>
      <c r="AW65" s="649">
        <f t="shared" si="28"/>
        <v>9.293495369656618E-2</v>
      </c>
      <c r="AX65" s="651"/>
      <c r="AY65" s="1108"/>
      <c r="AZ65" s="187"/>
      <c r="BA65" s="187"/>
      <c r="BC65" s="181"/>
      <c r="BD65" s="181"/>
      <c r="BE65" s="181"/>
      <c r="BF65" s="181"/>
      <c r="BG65" s="181"/>
      <c r="BH65" s="181"/>
      <c r="BI65" s="181"/>
      <c r="BJ65" s="181"/>
      <c r="BK65" s="181"/>
      <c r="BL65" s="181"/>
      <c r="BM65" s="181"/>
      <c r="BN65" s="181"/>
      <c r="BO65" s="181"/>
    </row>
    <row r="66" spans="1:67">
      <c r="A66" s="253">
        <f t="shared" ref="A66:A70" si="32">A65+1</f>
        <v>51</v>
      </c>
      <c r="B66" s="182"/>
      <c r="C66" s="209"/>
      <c r="D66" s="198" t="str">
        <f>IF(D62=D51,"OK","ERROR")</f>
        <v>OK</v>
      </c>
      <c r="E66" s="198" t="str">
        <f t="shared" ref="E66:AP66" si="33">IF(E62=E51,"OK","ERROR")</f>
        <v>OK</v>
      </c>
      <c r="F66" s="198" t="str">
        <f>IF(F62=F51,"OK","ERROR")</f>
        <v>OK</v>
      </c>
      <c r="G66" s="198" t="str">
        <f t="shared" si="33"/>
        <v>OK</v>
      </c>
      <c r="H66" s="198" t="str">
        <f t="shared" si="33"/>
        <v>OK</v>
      </c>
      <c r="I66" s="198" t="str">
        <f t="shared" si="33"/>
        <v>OK</v>
      </c>
      <c r="J66" s="198" t="str">
        <f t="shared" si="33"/>
        <v>OK</v>
      </c>
      <c r="K66" s="198" t="str">
        <f t="shared" ref="K66" si="34">IF(K62=K51,"OK","ERROR")</f>
        <v>OK</v>
      </c>
      <c r="L66" s="198" t="str">
        <f t="shared" si="33"/>
        <v>OK</v>
      </c>
      <c r="M66" s="198" t="str">
        <f t="shared" si="33"/>
        <v>OK</v>
      </c>
      <c r="N66" s="198" t="str">
        <f t="shared" si="33"/>
        <v>OK</v>
      </c>
      <c r="O66" s="198" t="str">
        <f t="shared" si="33"/>
        <v>OK</v>
      </c>
      <c r="P66" s="198" t="str">
        <f t="shared" si="33"/>
        <v>OK</v>
      </c>
      <c r="Q66" s="198" t="str">
        <f t="shared" si="33"/>
        <v>OK</v>
      </c>
      <c r="R66" s="198" t="str">
        <f t="shared" si="33"/>
        <v>OK</v>
      </c>
      <c r="S66" s="198" t="str">
        <f t="shared" si="33"/>
        <v>OK</v>
      </c>
      <c r="T66" s="198" t="str">
        <f t="shared" si="33"/>
        <v>OK</v>
      </c>
      <c r="U66" s="198" t="str">
        <f t="shared" si="33"/>
        <v>OK</v>
      </c>
      <c r="V66" s="198" t="str">
        <f t="shared" si="33"/>
        <v>OK</v>
      </c>
      <c r="W66" s="198" t="str">
        <f t="shared" si="33"/>
        <v>OK</v>
      </c>
      <c r="X66" s="198" t="str">
        <f t="shared" si="33"/>
        <v>OK</v>
      </c>
      <c r="Y66" s="198" t="str">
        <f t="shared" si="33"/>
        <v>OK</v>
      </c>
      <c r="Z66" s="198" t="str">
        <f>IF(Z62=Z51,"OK","ERROR")</f>
        <v>OK</v>
      </c>
      <c r="AA66" s="198" t="str">
        <f>IF(AA62=AA51,"OK","ERROR")</f>
        <v>OK</v>
      </c>
      <c r="AB66" s="198" t="str">
        <f>IF(AB62=AB51,"OK","ERROR")</f>
        <v>OK</v>
      </c>
      <c r="AC66" s="198" t="str">
        <f>IF(AC62=AC51,"OK","ERROR")</f>
        <v>OK</v>
      </c>
      <c r="AD66" s="198" t="str">
        <f t="shared" si="33"/>
        <v>OK</v>
      </c>
      <c r="AE66" s="198" t="str">
        <f t="shared" si="33"/>
        <v>OK</v>
      </c>
      <c r="AF66" s="198" t="str">
        <f t="shared" si="33"/>
        <v>OK</v>
      </c>
      <c r="AG66" s="198" t="str">
        <f t="shared" si="33"/>
        <v>OK</v>
      </c>
      <c r="AH66" s="198" t="str">
        <f t="shared" si="33"/>
        <v>OK</v>
      </c>
      <c r="AI66" s="198" t="str">
        <f t="shared" si="33"/>
        <v>OK</v>
      </c>
      <c r="AJ66" s="198" t="str">
        <f t="shared" si="33"/>
        <v>OK</v>
      </c>
      <c r="AK66" s="198" t="str">
        <f t="shared" si="33"/>
        <v>OK</v>
      </c>
      <c r="AL66" s="198" t="str">
        <f t="shared" si="33"/>
        <v>OK</v>
      </c>
      <c r="AM66" s="198" t="str">
        <f t="shared" si="33"/>
        <v>OK</v>
      </c>
      <c r="AN66" s="198" t="str">
        <f t="shared" si="33"/>
        <v>OK</v>
      </c>
      <c r="AO66" s="198" t="str">
        <f t="shared" si="33"/>
        <v>OK</v>
      </c>
      <c r="AP66" s="198" t="str">
        <f t="shared" si="33"/>
        <v>OK</v>
      </c>
      <c r="AQ66" s="198" t="str">
        <f t="shared" ref="AQ66" si="35">IF(AQ62=AQ51,"OK","ERROR")</f>
        <v>OK</v>
      </c>
      <c r="AR66" s="198" t="str">
        <f>IF(ROUND(AR62,0)=ROUND(AR51,0),"OK","ERROR")</f>
        <v>OK</v>
      </c>
      <c r="AS66" s="198" t="str">
        <f>IF(ROUND(AS62,0)=ROUND(AS51,0),"OK","ERROR")</f>
        <v>OK</v>
      </c>
      <c r="AT66" s="198" t="str">
        <f>IF(ROUND(AT62,0)=ROUND(AT51,0),"OK","ERROR")</f>
        <v>OK</v>
      </c>
      <c r="AU66" s="198" t="str">
        <f>IF(ROUND(AU62,0)=ROUND(AU51,0),"OK","ERROR")</f>
        <v>OK</v>
      </c>
      <c r="AW66" s="98"/>
      <c r="AZ66" s="1029"/>
      <c r="BA66" s="1029"/>
    </row>
    <row r="67" spans="1:67" s="188" customFormat="1">
      <c r="A67" s="253">
        <v>52</v>
      </c>
      <c r="B67" s="8" t="s">
        <v>889</v>
      </c>
      <c r="C67" s="252"/>
      <c r="AU67" s="626" t="str">
        <f>IF(ROUND(AU65,0)=ROUND(AV21,0),"MATCH",AU65-AV21)</f>
        <v>MATCH</v>
      </c>
    </row>
    <row r="68" spans="1:67" s="188" customFormat="1" outlineLevel="1">
      <c r="A68" s="253">
        <v>53</v>
      </c>
      <c r="B68" s="1108"/>
    </row>
    <row r="69" spans="1:67" s="188" customFormat="1" outlineLevel="1">
      <c r="A69" s="253">
        <v>54</v>
      </c>
      <c r="B69" s="1108"/>
    </row>
    <row r="70" spans="1:67" s="188" customFormat="1" outlineLevel="1">
      <c r="A70" s="253">
        <f t="shared" si="32"/>
        <v>55</v>
      </c>
      <c r="B70" s="1108" t="s">
        <v>887</v>
      </c>
      <c r="D70" s="625">
        <f>(D62*$C$63)-D49</f>
        <v>-21211802.879899204</v>
      </c>
      <c r="E70" s="625">
        <f>(E62*$C$63)-E49</f>
        <v>29139113.529240973</v>
      </c>
      <c r="F70" s="625">
        <f t="shared" ref="F70:AW70" si="36">(F62*$C$63)-F49</f>
        <v>-20557383.659274291</v>
      </c>
      <c r="G70" s="625">
        <f t="shared" si="36"/>
        <v>1000540.3107059002</v>
      </c>
      <c r="H70" s="625">
        <f t="shared" si="36"/>
        <v>27023238.806572676</v>
      </c>
      <c r="I70" s="625">
        <f t="shared" si="36"/>
        <v>-52406954.009995006</v>
      </c>
      <c r="J70" s="625">
        <f t="shared" si="36"/>
        <v>20539880.728826109</v>
      </c>
      <c r="K70" s="625">
        <f t="shared" si="36"/>
        <v>-4797452.3728352524</v>
      </c>
      <c r="L70" s="625">
        <f t="shared" si="36"/>
        <v>-69387.278670666696</v>
      </c>
      <c r="M70" s="625">
        <f t="shared" si="36"/>
        <v>-681065</v>
      </c>
      <c r="N70" s="625">
        <f t="shared" si="36"/>
        <v>109903.18925372648</v>
      </c>
      <c r="O70" s="625">
        <f t="shared" si="36"/>
        <v>-16141.122864383684</v>
      </c>
      <c r="P70" s="625">
        <f t="shared" si="36"/>
        <v>176605.63064400846</v>
      </c>
      <c r="Q70" s="625">
        <f t="shared" si="36"/>
        <v>0</v>
      </c>
      <c r="R70" s="625">
        <f t="shared" si="36"/>
        <v>-171199.77983333383</v>
      </c>
      <c r="S70" s="625">
        <f t="shared" si="36"/>
        <v>-66147.120545911268</v>
      </c>
      <c r="T70" s="625">
        <f t="shared" si="36"/>
        <v>1184945.4451730854</v>
      </c>
      <c r="U70" s="625">
        <f t="shared" si="36"/>
        <v>1357715.5890578774</v>
      </c>
      <c r="V70" s="625">
        <f t="shared" si="36"/>
        <v>96704.676397892646</v>
      </c>
      <c r="W70" s="625">
        <f t="shared" si="36"/>
        <v>121750.92923393101</v>
      </c>
      <c r="X70" s="625">
        <f t="shared" si="36"/>
        <v>512046.21090660006</v>
      </c>
      <c r="Y70" s="625">
        <f t="shared" si="36"/>
        <v>2010221.1570587384</v>
      </c>
      <c r="Z70" s="625">
        <f t="shared" si="36"/>
        <v>738893.48934232595</v>
      </c>
      <c r="AA70" s="625">
        <f t="shared" si="36"/>
        <v>-10262.31709798798</v>
      </c>
      <c r="AB70" s="625">
        <f>(AB62*$C$63)-AB49</f>
        <v>1178532.0769223194</v>
      </c>
      <c r="AC70" s="625">
        <f>(AC62*$C$63)-AC49</f>
        <v>-315757</v>
      </c>
      <c r="AD70" s="625">
        <f t="shared" si="36"/>
        <v>2829371.8658719659</v>
      </c>
      <c r="AE70" s="625">
        <f t="shared" si="36"/>
        <v>-61133.271335334284</v>
      </c>
      <c r="AF70" s="625">
        <f t="shared" si="36"/>
        <v>-283030.83514081</v>
      </c>
      <c r="AG70" s="625">
        <f t="shared" si="36"/>
        <v>41672583.95949994</v>
      </c>
      <c r="AH70" s="625">
        <f t="shared" si="36"/>
        <v>-1694168.9813750032</v>
      </c>
      <c r="AI70" s="625">
        <f t="shared" si="36"/>
        <v>-4985300.5134253819</v>
      </c>
      <c r="AJ70" s="625">
        <f t="shared" si="36"/>
        <v>355003.72904784064</v>
      </c>
      <c r="AK70" s="625">
        <f t="shared" si="36"/>
        <v>0</v>
      </c>
      <c r="AL70" s="625">
        <f t="shared" si="36"/>
        <v>1334832.2449073927</v>
      </c>
      <c r="AM70" s="625">
        <f>(AM62*$C$63)-AM49</f>
        <v>1400638.2836565159</v>
      </c>
      <c r="AN70" s="625">
        <f t="shared" si="36"/>
        <v>-181638.74877908878</v>
      </c>
      <c r="AO70" s="625">
        <f t="shared" si="36"/>
        <v>6704037.7906815931</v>
      </c>
      <c r="AP70" s="625">
        <f t="shared" si="36"/>
        <v>-34156.472365063768</v>
      </c>
      <c r="AQ70" s="625">
        <f t="shared" ref="AQ70" si="37">(AQ62*$C$63)-AQ49</f>
        <v>53155381.159463763</v>
      </c>
      <c r="AR70" s="625">
        <f>(AR62*$C$63)-AR49</f>
        <v>31943578.2795645</v>
      </c>
      <c r="AS70" s="625">
        <f t="shared" ref="AS70" si="38">(AS62*$C$63)-AS49</f>
        <v>-21211802.879899204</v>
      </c>
      <c r="AT70" s="625">
        <f t="shared" ref="AT70" si="39">(AT62*$C$63)-AT49</f>
        <v>53155381.159463763</v>
      </c>
      <c r="AU70" s="650">
        <f>SUM(D70:AP70)</f>
        <v>31943578.279564697</v>
      </c>
      <c r="AV70" s="625">
        <f t="shared" si="36"/>
        <v>-31943578.222033001</v>
      </c>
      <c r="AW70" s="625">
        <f t="shared" si="36"/>
        <v>5.7531476020812988E-2</v>
      </c>
    </row>
    <row r="71" spans="1:67" s="188" customFormat="1" outlineLevel="1">
      <c r="A71" s="253">
        <v>56</v>
      </c>
      <c r="B71" s="8" t="s">
        <v>889</v>
      </c>
      <c r="AU71" s="626" t="str">
        <f>IF(ROUND(AU70,0)=ROUND(AV49,0),"MATCH",AU70-AV49)</f>
        <v>MATCH</v>
      </c>
    </row>
    <row r="72" spans="1:67" s="188" customFormat="1" outlineLevel="1">
      <c r="A72" s="253">
        <v>57</v>
      </c>
      <c r="B72" s="8"/>
      <c r="AQ72" s="628"/>
    </row>
    <row r="73" spans="1:67" s="188" customFormat="1" outlineLevel="1">
      <c r="A73" s="253">
        <v>58</v>
      </c>
      <c r="B73" s="8"/>
      <c r="AQ73" s="628"/>
    </row>
    <row r="74" spans="1:67" s="188" customFormat="1" outlineLevel="1">
      <c r="A74" s="253">
        <v>59</v>
      </c>
      <c r="B74" s="1001" t="s">
        <v>926</v>
      </c>
      <c r="D74" s="1097">
        <v>-3464894.4465503655</v>
      </c>
      <c r="E74" s="1097">
        <v>47070618.623087555</v>
      </c>
      <c r="F74" s="1097">
        <v>-28313247.212265223</v>
      </c>
      <c r="G74" s="1097">
        <v>1616248.5977825739</v>
      </c>
      <c r="H74" s="1097">
        <v>43652685.815179482</v>
      </c>
      <c r="I74" s="1097">
        <v>-86176955.400119856</v>
      </c>
      <c r="J74" s="1097">
        <v>53745459.37840499</v>
      </c>
      <c r="K74" s="1097"/>
      <c r="L74" s="1097">
        <v>-112086.53030310378</v>
      </c>
      <c r="M74" s="1097">
        <v>-1100175.914423852</v>
      </c>
      <c r="N74" s="1097">
        <v>177534.95148820771</v>
      </c>
      <c r="O74" s="1097">
        <v>-26073.979146118305</v>
      </c>
      <c r="P74" s="1097">
        <v>285284.46064057475</v>
      </c>
      <c r="Q74" s="1097">
        <v>427920.42461994244</v>
      </c>
      <c r="R74" s="1097">
        <v>-276551.98010072485</v>
      </c>
      <c r="S74" s="1097">
        <v>-106852.45730305139</v>
      </c>
      <c r="T74" s="1097">
        <v>1914132.1880961107</v>
      </c>
      <c r="U74" s="1097">
        <v>2193220.8962716763</v>
      </c>
      <c r="V74" s="1097">
        <v>156214.39331798616</v>
      </c>
      <c r="W74" s="1097">
        <v>196673.5038533675</v>
      </c>
      <c r="X74" s="1097">
        <v>1493697.6910951799</v>
      </c>
      <c r="Y74" s="1097">
        <v>4987474.8171887295</v>
      </c>
      <c r="Z74" s="1097">
        <v>1288713.2267041537</v>
      </c>
      <c r="AA74" s="1097">
        <v>-16577.498619641967</v>
      </c>
      <c r="AB74" s="1097"/>
      <c r="AC74" s="1097"/>
      <c r="AD74" s="1097">
        <v>23863154.545452703</v>
      </c>
      <c r="AE74" s="1097">
        <v>-98753.206658795942</v>
      </c>
      <c r="AF74" s="1097">
        <v>-468971.6971383057</v>
      </c>
      <c r="AG74" s="1097">
        <v>67316883.357752338</v>
      </c>
      <c r="AH74" s="1097">
        <v>13551416.09529479</v>
      </c>
      <c r="AI74" s="1097">
        <v>-8316626.9361028951</v>
      </c>
      <c r="AJ74" s="1097">
        <v>590455.45710244845</v>
      </c>
      <c r="AK74" s="1097">
        <v>6283688.3522106046</v>
      </c>
      <c r="AL74" s="1097">
        <v>2264682.1929226848</v>
      </c>
      <c r="AM74" s="1097">
        <v>2376145.530318948</v>
      </c>
      <c r="AN74" s="1097">
        <v>4798142.6038320558</v>
      </c>
      <c r="AO74" s="1097">
        <v>4161374.7510302039</v>
      </c>
      <c r="AP74" s="1097">
        <v>-11901989.12361888</v>
      </c>
      <c r="AQ74" s="1097">
        <v>147496959.9178468</v>
      </c>
      <c r="AR74" s="1097">
        <v>144032065.47129652</v>
      </c>
      <c r="AS74" s="1097">
        <v>-3464894.4465503655</v>
      </c>
      <c r="AT74" s="1097">
        <v>147496959.9178468</v>
      </c>
      <c r="AU74" s="1097">
        <v>144032065.47129613</v>
      </c>
      <c r="AV74" s="1097">
        <v>-144032066</v>
      </c>
      <c r="AW74" s="1097">
        <v>-0.52870433246510851</v>
      </c>
    </row>
    <row r="75" spans="1:67" s="188" customFormat="1" outlineLevel="1">
      <c r="A75" s="253">
        <v>60</v>
      </c>
      <c r="B75" s="1001" t="s">
        <v>888</v>
      </c>
      <c r="D75" s="997">
        <f>D65-D74</f>
        <v>-30800138.450414833</v>
      </c>
      <c r="E75" s="997">
        <f t="shared" ref="E75:AW75" si="40">E65-E74</f>
        <v>0</v>
      </c>
      <c r="F75" s="997">
        <f t="shared" si="40"/>
        <v>-4894652.7172628604</v>
      </c>
      <c r="G75" s="997">
        <f t="shared" si="40"/>
        <v>0</v>
      </c>
      <c r="H75" s="997">
        <f t="shared" si="40"/>
        <v>0</v>
      </c>
      <c r="I75" s="997">
        <f t="shared" si="40"/>
        <v>1520030.5102561712</v>
      </c>
      <c r="J75" s="997">
        <f t="shared" si="40"/>
        <v>-20565833.259028543</v>
      </c>
      <c r="K75" s="997"/>
      <c r="L75" s="997">
        <f t="shared" si="40"/>
        <v>0</v>
      </c>
      <c r="M75" s="997">
        <f t="shared" si="40"/>
        <v>0</v>
      </c>
      <c r="N75" s="997">
        <f t="shared" si="40"/>
        <v>0</v>
      </c>
      <c r="O75" s="997">
        <f t="shared" si="40"/>
        <v>0</v>
      </c>
      <c r="P75" s="997">
        <f t="shared" si="40"/>
        <v>0</v>
      </c>
      <c r="Q75" s="997">
        <f t="shared" si="40"/>
        <v>-427920.42461994244</v>
      </c>
      <c r="R75" s="997">
        <f t="shared" si="40"/>
        <v>0</v>
      </c>
      <c r="S75" s="997">
        <f t="shared" si="40"/>
        <v>0</v>
      </c>
      <c r="T75" s="997">
        <f t="shared" si="40"/>
        <v>0</v>
      </c>
      <c r="U75" s="997">
        <f t="shared" si="40"/>
        <v>0</v>
      </c>
      <c r="V75" s="997">
        <f t="shared" si="40"/>
        <v>0</v>
      </c>
      <c r="W75" s="997">
        <f t="shared" si="40"/>
        <v>0</v>
      </c>
      <c r="X75" s="997">
        <f t="shared" si="40"/>
        <v>-666550.63712612074</v>
      </c>
      <c r="Y75" s="997">
        <f t="shared" si="40"/>
        <v>-1740212.2216049433</v>
      </c>
      <c r="Z75" s="997">
        <f t="shared" si="40"/>
        <v>-95122.570453980472</v>
      </c>
      <c r="AA75" s="997">
        <f t="shared" si="40"/>
        <v>0</v>
      </c>
      <c r="AB75" s="997"/>
      <c r="AC75" s="997"/>
      <c r="AD75" s="997">
        <f t="shared" si="40"/>
        <v>-19292655.724076167</v>
      </c>
      <c r="AE75" s="997">
        <f t="shared" si="40"/>
        <v>0</v>
      </c>
      <c r="AF75" s="997">
        <f t="shared" si="40"/>
        <v>11770.537394100451</v>
      </c>
      <c r="AG75" s="997">
        <f t="shared" si="40"/>
        <v>0</v>
      </c>
      <c r="AH75" s="997">
        <f t="shared" si="40"/>
        <v>-16288135.65697065</v>
      </c>
      <c r="AI75" s="997">
        <f t="shared" si="40"/>
        <v>263493.1661463296</v>
      </c>
      <c r="AJ75" s="997">
        <f t="shared" si="40"/>
        <v>-16991.02679244068</v>
      </c>
      <c r="AK75" s="997">
        <f t="shared" si="40"/>
        <v>-6283688.3522106046</v>
      </c>
      <c r="AL75" s="997">
        <f t="shared" si="40"/>
        <v>-108426.49685339071</v>
      </c>
      <c r="AM75" s="997">
        <f t="shared" si="40"/>
        <v>-113588.35222454881</v>
      </c>
      <c r="AN75" s="997">
        <f t="shared" si="40"/>
        <v>-5091557.4416710846</v>
      </c>
      <c r="AO75" s="997">
        <f t="shared" si="40"/>
        <v>6668165.6110426998</v>
      </c>
      <c r="AP75" s="997">
        <f t="shared" si="40"/>
        <v>11846813.584987873</v>
      </c>
      <c r="AQ75" s="997">
        <f t="shared" si="40"/>
        <v>-61631043.927946508</v>
      </c>
      <c r="AR75" s="997">
        <f t="shared" si="40"/>
        <v>-92431182.378361523</v>
      </c>
      <c r="AS75" s="997">
        <f t="shared" si="40"/>
        <v>-30800138.450414833</v>
      </c>
      <c r="AT75" s="997">
        <f t="shared" si="40"/>
        <v>-61631043.927946508</v>
      </c>
      <c r="AU75" s="997">
        <f t="shared" si="40"/>
        <v>-92431182.378360823</v>
      </c>
      <c r="AV75" s="997">
        <f t="shared" si="40"/>
        <v>92431183</v>
      </c>
      <c r="AW75" s="997">
        <f t="shared" si="40"/>
        <v>0.62163928616167463</v>
      </c>
    </row>
    <row r="76" spans="1:67" s="188" customFormat="1" outlineLevel="1">
      <c r="A76" s="253">
        <v>61</v>
      </c>
      <c r="B76" s="1001" t="s">
        <v>927</v>
      </c>
      <c r="D76" s="1097">
        <v>-2144946.3720314503</v>
      </c>
      <c r="E76" s="1097">
        <v>29139113.529240973</v>
      </c>
      <c r="F76" s="1097">
        <v>-17527344</v>
      </c>
      <c r="G76" s="1097">
        <v>1000540.3107059002</v>
      </c>
      <c r="H76" s="1097">
        <v>27023238.806572676</v>
      </c>
      <c r="I76" s="1097">
        <v>-53347930.4173996</v>
      </c>
      <c r="J76" s="1097">
        <v>33271180.373660989</v>
      </c>
      <c r="K76" s="1097"/>
      <c r="L76" s="1097">
        <v>-69387.278670666696</v>
      </c>
      <c r="M76" s="1097">
        <v>-681065</v>
      </c>
      <c r="N76" s="1097">
        <v>109903.18925372648</v>
      </c>
      <c r="O76" s="1097">
        <v>-16141.122864383684</v>
      </c>
      <c r="P76" s="1097">
        <v>176605.63064400846</v>
      </c>
      <c r="Q76" s="1097">
        <v>264904.5667814</v>
      </c>
      <c r="R76" s="1097">
        <v>-171199.77983333383</v>
      </c>
      <c r="S76" s="1097">
        <v>-66147.120545911268</v>
      </c>
      <c r="T76" s="1097">
        <v>1184945.4451730854</v>
      </c>
      <c r="U76" s="1097">
        <v>1357715.5890578774</v>
      </c>
      <c r="V76" s="1097">
        <v>96704.676397892646</v>
      </c>
      <c r="W76" s="1097">
        <v>121750.92923393101</v>
      </c>
      <c r="X76" s="1097">
        <v>924675.04937016219</v>
      </c>
      <c r="Y76" s="1097">
        <v>3087501.2730555004</v>
      </c>
      <c r="Z76" s="1097">
        <v>797779.21170443308</v>
      </c>
      <c r="AA76" s="1097">
        <v>-10262.31709798798</v>
      </c>
      <c r="AB76" s="1097"/>
      <c r="AC76" s="1097"/>
      <c r="AD76" s="1097">
        <v>14772509.684517041</v>
      </c>
      <c r="AE76" s="1097">
        <v>-61133.271335334284</v>
      </c>
      <c r="AF76" s="1097">
        <v>-290317.3980851653</v>
      </c>
      <c r="AG76" s="1097">
        <v>41672583.95949994</v>
      </c>
      <c r="AH76" s="1097">
        <v>8389017.6852083355</v>
      </c>
      <c r="AI76" s="1097">
        <v>-5148416.2214214336</v>
      </c>
      <c r="AJ76" s="1097">
        <v>365522.04117472784</v>
      </c>
      <c r="AK76" s="1097">
        <v>3889923.5581243271</v>
      </c>
      <c r="AL76" s="1097">
        <v>1401953.776210981</v>
      </c>
      <c r="AM76" s="1097">
        <v>1470955.2666894752</v>
      </c>
      <c r="AN76" s="1097">
        <v>2970294.977044838</v>
      </c>
      <c r="AO76" s="1097">
        <v>2576103.200999999</v>
      </c>
      <c r="AP76" s="1097">
        <v>-7367938.2689653914</v>
      </c>
      <c r="AQ76" s="1097">
        <v>91308140.534102976</v>
      </c>
      <c r="AR76" s="1097">
        <v>89163194.162071586</v>
      </c>
      <c r="AS76" s="1097">
        <v>-2144946.3720314503</v>
      </c>
      <c r="AT76" s="1097">
        <v>91308140.534102976</v>
      </c>
      <c r="AU76" s="1097">
        <v>89163194.162071347</v>
      </c>
      <c r="AV76" s="1097">
        <v>-89163194.489365995</v>
      </c>
      <c r="AW76" s="1097">
        <v>-0.32729494571685791</v>
      </c>
    </row>
    <row r="77" spans="1:67" s="188" customFormat="1" outlineLevel="1">
      <c r="A77" s="253">
        <v>62</v>
      </c>
      <c r="B77" s="1001" t="s">
        <v>888</v>
      </c>
      <c r="D77" s="991">
        <f>D70-D76</f>
        <v>-19066856.507867754</v>
      </c>
      <c r="E77" s="991">
        <f t="shared" ref="E77:AW77" si="41">E70-E76</f>
        <v>0</v>
      </c>
      <c r="F77" s="991">
        <f t="shared" si="41"/>
        <v>-3030039.6592742912</v>
      </c>
      <c r="G77" s="991">
        <f t="shared" si="41"/>
        <v>0</v>
      </c>
      <c r="H77" s="991">
        <f t="shared" si="41"/>
        <v>0</v>
      </c>
      <c r="I77" s="991">
        <f t="shared" si="41"/>
        <v>940976.40740459412</v>
      </c>
      <c r="J77" s="991">
        <f t="shared" si="41"/>
        <v>-12731299.64483488</v>
      </c>
      <c r="K77" s="991"/>
      <c r="L77" s="991">
        <f t="shared" si="41"/>
        <v>0</v>
      </c>
      <c r="M77" s="991">
        <f t="shared" si="41"/>
        <v>0</v>
      </c>
      <c r="N77" s="991">
        <f t="shared" si="41"/>
        <v>0</v>
      </c>
      <c r="O77" s="991">
        <f t="shared" si="41"/>
        <v>0</v>
      </c>
      <c r="P77" s="991">
        <f t="shared" si="41"/>
        <v>0</v>
      </c>
      <c r="Q77" s="991">
        <f t="shared" si="41"/>
        <v>-264904.5667814</v>
      </c>
      <c r="R77" s="991">
        <f t="shared" si="41"/>
        <v>0</v>
      </c>
      <c r="S77" s="991">
        <f t="shared" si="41"/>
        <v>0</v>
      </c>
      <c r="T77" s="991">
        <f t="shared" si="41"/>
        <v>0</v>
      </c>
      <c r="U77" s="991">
        <f t="shared" si="41"/>
        <v>0</v>
      </c>
      <c r="V77" s="991">
        <f t="shared" si="41"/>
        <v>0</v>
      </c>
      <c r="W77" s="991">
        <f t="shared" si="41"/>
        <v>0</v>
      </c>
      <c r="X77" s="991">
        <f t="shared" si="41"/>
        <v>-412628.83846356213</v>
      </c>
      <c r="Y77" s="991">
        <f t="shared" si="41"/>
        <v>-1077280.1159967619</v>
      </c>
      <c r="Z77" s="991">
        <f t="shared" si="41"/>
        <v>-58885.722362107132</v>
      </c>
      <c r="AA77" s="991">
        <f t="shared" si="41"/>
        <v>0</v>
      </c>
      <c r="AB77" s="991"/>
      <c r="AC77" s="991"/>
      <c r="AD77" s="991">
        <f t="shared" si="41"/>
        <v>-11943137.818645075</v>
      </c>
      <c r="AE77" s="991">
        <f t="shared" si="41"/>
        <v>0</v>
      </c>
      <c r="AF77" s="991">
        <f t="shared" si="41"/>
        <v>7286.5629443553044</v>
      </c>
      <c r="AG77" s="991">
        <f t="shared" si="41"/>
        <v>0</v>
      </c>
      <c r="AH77" s="991">
        <f t="shared" si="41"/>
        <v>-10083186.666583339</v>
      </c>
      <c r="AI77" s="991">
        <f t="shared" si="41"/>
        <v>163115.70799605176</v>
      </c>
      <c r="AJ77" s="991">
        <f t="shared" si="41"/>
        <v>-10518.312126887206</v>
      </c>
      <c r="AK77" s="991">
        <f t="shared" si="41"/>
        <v>-3889923.5581243271</v>
      </c>
      <c r="AL77" s="991">
        <f t="shared" si="41"/>
        <v>-67121.531303588301</v>
      </c>
      <c r="AM77" s="991">
        <f t="shared" si="41"/>
        <v>-70316.983032959281</v>
      </c>
      <c r="AN77" s="991">
        <f t="shared" si="41"/>
        <v>-3151933.7258239267</v>
      </c>
      <c r="AO77" s="991">
        <f t="shared" si="41"/>
        <v>4127934.5896815942</v>
      </c>
      <c r="AP77" s="991">
        <f t="shared" si="41"/>
        <v>7333781.7966003278</v>
      </c>
      <c r="AQ77" s="991">
        <f t="shared" si="41"/>
        <v>-38152759.374639213</v>
      </c>
      <c r="AR77" s="991">
        <f t="shared" si="41"/>
        <v>-57219615.882507086</v>
      </c>
      <c r="AS77" s="991">
        <f t="shared" si="41"/>
        <v>-19066856.507867754</v>
      </c>
      <c r="AT77" s="991">
        <f t="shared" si="41"/>
        <v>-38152759.374639213</v>
      </c>
      <c r="AU77" s="991">
        <f t="shared" si="41"/>
        <v>-57219615.882506654</v>
      </c>
      <c r="AV77" s="991">
        <f t="shared" si="41"/>
        <v>57219616.267332993</v>
      </c>
      <c r="AW77" s="991">
        <f t="shared" si="41"/>
        <v>0.3848264217376709</v>
      </c>
    </row>
    <row r="78" spans="1:67" s="188" customFormat="1" ht="11.25"/>
    <row r="79" spans="1:67" s="188" customFormat="1" ht="11.25"/>
    <row r="80" spans="1:67" s="188" customFormat="1" ht="11.25">
      <c r="AD80" s="1097"/>
    </row>
    <row r="81" spans="43:53" s="188" customFormat="1" ht="11.25"/>
    <row r="82" spans="43:53" s="188" customFormat="1" ht="11.25"/>
    <row r="83" spans="43:53" s="188" customFormat="1" ht="11.25"/>
    <row r="84" spans="43:53" s="188" customFormat="1" ht="11.25"/>
    <row r="85" spans="43:53" s="188" customFormat="1" ht="11.25"/>
    <row r="86" spans="43:53" s="188" customFormat="1" ht="11.25"/>
    <row r="87" spans="43:53" s="188" customFormat="1" ht="11.25"/>
    <row r="88" spans="43:53" s="188" customFormat="1" ht="11.25"/>
    <row r="89" spans="43:53" s="188" customFormat="1" ht="11.25"/>
    <row r="90" spans="43:53" s="188" customFormat="1" ht="11.25"/>
    <row r="91" spans="43:53" s="188" customFormat="1" ht="11.25"/>
    <row r="92" spans="43:53" s="188" customFormat="1" ht="11.25"/>
    <row r="93" spans="43:53" s="188" customFormat="1" ht="11.25"/>
    <row r="94" spans="43:53" s="188" customFormat="1" ht="11.25"/>
    <row r="95" spans="43:53" s="188" customFormat="1">
      <c r="AZ95" s="209"/>
      <c r="BA95" s="209"/>
    </row>
    <row r="96" spans="43:53" s="209" customFormat="1">
      <c r="AQ96" s="252"/>
      <c r="AR96" s="252"/>
      <c r="AS96" s="252"/>
      <c r="AT96" s="252"/>
      <c r="AU96" s="252"/>
      <c r="AV96" s="252"/>
      <c r="AW96" s="251"/>
      <c r="AX96" s="252"/>
    </row>
    <row r="97" spans="51:51">
      <c r="AY97" s="209"/>
    </row>
    <row r="98" spans="51:51">
      <c r="AY98" s="209"/>
    </row>
  </sheetData>
  <mergeCells count="17">
    <mergeCell ref="AZ5:BB5"/>
    <mergeCell ref="AD6:AK6"/>
    <mergeCell ref="AD7:AK7"/>
    <mergeCell ref="AD8:AK8"/>
    <mergeCell ref="AL5:AR5"/>
    <mergeCell ref="AL6:AR6"/>
    <mergeCell ref="AL7:AR7"/>
    <mergeCell ref="AL8:AR8"/>
    <mergeCell ref="AD5:AK5"/>
    <mergeCell ref="L5:S5"/>
    <mergeCell ref="L6:S6"/>
    <mergeCell ref="L7:S7"/>
    <mergeCell ref="L8:S8"/>
    <mergeCell ref="T5:AA5"/>
    <mergeCell ref="T6:AA6"/>
    <mergeCell ref="T7:AA7"/>
    <mergeCell ref="T8:AA8"/>
  </mergeCells>
  <phoneticPr fontId="14" type="noConversion"/>
  <conditionalFormatting sqref="AL66 AN66:AT66 D66:AI66">
    <cfRule type="cellIs" dxfId="9" priority="26" stopIfTrue="1" operator="equal">
      <formula>"OK"</formula>
    </cfRule>
    <cfRule type="cellIs" dxfId="8" priority="27" stopIfTrue="1" operator="equal">
      <formula>"ERROR"</formula>
    </cfRule>
  </conditionalFormatting>
  <conditionalFormatting sqref="AM66">
    <cfRule type="cellIs" dxfId="7" priority="14" stopIfTrue="1" operator="equal">
      <formula>"OK"</formula>
    </cfRule>
    <cfRule type="cellIs" dxfId="6" priority="15" stopIfTrue="1" operator="equal">
      <formula>"ERROR"</formula>
    </cfRule>
  </conditionalFormatting>
  <conditionalFormatting sqref="AJ66">
    <cfRule type="cellIs" dxfId="5" priority="12" stopIfTrue="1" operator="equal">
      <formula>"OK"</formula>
    </cfRule>
    <cfRule type="cellIs" dxfId="4" priority="13" stopIfTrue="1" operator="equal">
      <formula>"ERROR"</formula>
    </cfRule>
  </conditionalFormatting>
  <conditionalFormatting sqref="AK66">
    <cfRule type="cellIs" dxfId="3" priority="10" stopIfTrue="1" operator="equal">
      <formula>"OK"</formula>
    </cfRule>
    <cfRule type="cellIs" dxfId="2" priority="11" stopIfTrue="1" operator="equal">
      <formula>"ERROR"</formula>
    </cfRule>
  </conditionalFormatting>
  <conditionalFormatting sqref="AU66">
    <cfRule type="cellIs" dxfId="1" priority="1" stopIfTrue="1" operator="equal">
      <formula>"OK"</formula>
    </cfRule>
    <cfRule type="cellIs" dxfId="0" priority="2" stopIfTrue="1" operator="equal">
      <formula>"ERROR"</formula>
    </cfRule>
  </conditionalFormatting>
  <pageMargins left="1.5" right="0.46" top="1" bottom="0.57999999999999996" header="0.24" footer="0.31"/>
  <pageSetup scale="55" fitToHeight="0" orientation="landscape" r:id="rId1"/>
  <headerFooter alignWithMargins="0"/>
  <colBreaks count="5" manualBreakCount="5">
    <brk id="9" max="64" man="1"/>
    <brk id="18" max="64" man="1"/>
    <brk id="27" max="64" man="1"/>
    <brk id="36" max="64" man="1"/>
    <brk id="44" max="64" man="1"/>
  </colBreaks>
  <ignoredErrors>
    <ignoredError sqref="N33:N34 U33:U34 AD33 AQ33:AR33 AT33:AU33 AW33:AW34 BA33:BA34 D34 AH34 AQ34:AR34 AT34:AU3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pageSetUpPr fitToPage="1"/>
  </sheetPr>
  <dimension ref="A1:DP108"/>
  <sheetViews>
    <sheetView view="pageBreakPreview" topLeftCell="R1" zoomScale="90" zoomScaleNormal="100" zoomScaleSheetLayoutView="90" workbookViewId="0">
      <pane ySplit="11" topLeftCell="A12" activePane="bottomLeft" state="frozen"/>
      <selection activeCell="BB16" sqref="BB16"/>
      <selection pane="bottomLeft" activeCell="V3" sqref="V3:X3"/>
    </sheetView>
  </sheetViews>
  <sheetFormatPr defaultRowHeight="12.75" outlineLevelRow="1" outlineLevelCol="1"/>
  <cols>
    <col min="1" max="1" width="6.1640625" style="213" customWidth="1"/>
    <col min="2" max="2" width="57.5" style="213" customWidth="1"/>
    <col min="3" max="3" width="25.33203125" style="213" customWidth="1"/>
    <col min="4" max="4" width="17.5" style="213" bestFit="1" customWidth="1"/>
    <col min="5" max="5" width="26.33203125" style="213" bestFit="1" customWidth="1"/>
    <col min="6" max="6" width="9.5" style="213" customWidth="1"/>
    <col min="7" max="7" width="26.5" style="213" customWidth="1"/>
    <col min="8" max="8" width="19.6640625" style="213" customWidth="1"/>
    <col min="9" max="9" width="18.83203125" style="213" customWidth="1"/>
    <col min="10" max="10" width="17.1640625" style="213" customWidth="1"/>
    <col min="11" max="11" width="18.5" style="213" customWidth="1"/>
    <col min="12" max="12" width="15.5" style="213" customWidth="1"/>
    <col min="13" max="13" width="6.5" style="213" customWidth="1"/>
    <col min="14" max="14" width="74.6640625" style="213" customWidth="1"/>
    <col min="15" max="15" width="9.33203125" style="213"/>
    <col min="16" max="16" width="13.33203125" style="213" customWidth="1"/>
    <col min="17" max="17" width="17.83203125" style="213" customWidth="1"/>
    <col min="18" max="18" width="6.5" style="213" customWidth="1"/>
    <col min="19" max="19" width="74.33203125" style="213" customWidth="1"/>
    <col min="20" max="20" width="7.6640625" style="213" customWidth="1"/>
    <col min="21" max="21" width="18.83203125" style="213" customWidth="1"/>
    <col min="22" max="22" width="5.83203125" style="213" bestFit="1" customWidth="1"/>
    <col min="23" max="23" width="57.5" style="213" customWidth="1"/>
    <col min="24" max="24" width="24.1640625" style="213" customWidth="1"/>
    <col min="25" max="25" width="21.1640625" style="213" customWidth="1"/>
    <col min="26" max="26" width="5.83203125" style="252" bestFit="1" customWidth="1"/>
    <col min="27" max="27" width="70.33203125" style="252" customWidth="1"/>
    <col min="28" max="28" width="16.6640625" style="252" customWidth="1"/>
    <col min="29" max="29" width="17.6640625" style="252" customWidth="1"/>
    <col min="30" max="30" width="18.5" style="252" customWidth="1"/>
    <col min="31" max="31" width="6.6640625" style="252" customWidth="1"/>
    <col min="32" max="32" width="44.1640625" style="252" customWidth="1"/>
    <col min="33" max="35" width="16.6640625" style="252" customWidth="1"/>
    <col min="36" max="36" width="6.83203125" style="213" customWidth="1"/>
    <col min="37" max="37" width="68.33203125" style="213" customWidth="1"/>
    <col min="38" max="38" width="13.6640625" style="213" customWidth="1"/>
    <col min="39" max="39" width="15.5" style="213" customWidth="1"/>
    <col min="40" max="40" width="19.1640625" style="213" customWidth="1"/>
    <col min="41" max="41" width="7.5" style="213" customWidth="1"/>
    <col min="42" max="42" width="44.5" style="213" customWidth="1"/>
    <col min="43" max="43" width="17.5" style="213" customWidth="1"/>
    <col min="44" max="44" width="21" style="213" customWidth="1" outlineLevel="1"/>
    <col min="45" max="45" width="18.33203125" style="213" customWidth="1" outlineLevel="1"/>
    <col min="46" max="46" width="22.6640625" style="213" customWidth="1" outlineLevel="1"/>
    <col min="47" max="47" width="15.5" style="213" customWidth="1" outlineLevel="1"/>
    <col min="48" max="48" width="19.5" style="213" customWidth="1"/>
    <col min="49" max="49" width="18.1640625" style="213" customWidth="1"/>
    <col min="50" max="50" width="6.83203125" style="252" customWidth="1"/>
    <col min="51" max="51" width="52" style="213" bestFit="1" customWidth="1"/>
    <col min="52" max="52" width="19.1640625" style="213" customWidth="1"/>
    <col min="53" max="53" width="18.33203125" style="213" customWidth="1"/>
    <col min="54" max="54" width="19.6640625" style="213" customWidth="1"/>
    <col min="55" max="55" width="5.83203125" style="213" bestFit="1" customWidth="1"/>
    <col min="56" max="56" width="47.83203125" style="213" customWidth="1"/>
    <col min="57" max="57" width="14.6640625" style="213" customWidth="1"/>
    <col min="58" max="58" width="14.83203125" style="213" customWidth="1"/>
    <col min="59" max="59" width="16.5" style="213" customWidth="1"/>
    <col min="60" max="60" width="6.83203125" style="252" customWidth="1"/>
    <col min="61" max="61" width="53.5" style="252" customWidth="1"/>
    <col min="62" max="62" width="7.1640625" style="252" customWidth="1"/>
    <col min="63" max="63" width="18.33203125" style="252" customWidth="1"/>
    <col min="64" max="64" width="5.83203125" style="252" customWidth="1"/>
    <col min="65" max="65" width="62.1640625" style="252" bestFit="1" customWidth="1"/>
    <col min="66" max="66" width="20.83203125" style="252" customWidth="1"/>
    <col min="67" max="67" width="17.1640625" style="252" customWidth="1"/>
    <col min="68" max="68" width="5" style="252" customWidth="1"/>
    <col min="69" max="69" width="71.33203125" style="252" customWidth="1"/>
    <col min="70" max="70" width="20" style="252" customWidth="1"/>
    <col min="71" max="71" width="15" style="252" customWidth="1"/>
    <col min="72" max="72" width="5.83203125" style="252" customWidth="1"/>
    <col min="73" max="73" width="40.5" style="252" customWidth="1"/>
    <col min="74" max="74" width="16.83203125" style="252" customWidth="1"/>
    <col min="75" max="75" width="14.83203125" style="252" customWidth="1"/>
    <col min="76" max="76" width="15.83203125" style="252" customWidth="1"/>
    <col min="77" max="77" width="5.83203125" style="252" customWidth="1"/>
    <col min="78" max="78" width="35.33203125" style="252" customWidth="1"/>
    <col min="79" max="79" width="18.6640625" style="252" customWidth="1"/>
    <col min="80" max="80" width="16.5" style="252" customWidth="1"/>
    <col min="81" max="81" width="16.6640625" style="252" customWidth="1"/>
    <col min="82" max="82" width="6.83203125" style="252" customWidth="1"/>
    <col min="83" max="83" width="53" style="252" bestFit="1" customWidth="1"/>
    <col min="84" max="84" width="15.83203125" style="252" bestFit="1" customWidth="1"/>
    <col min="85" max="85" width="20.5" style="252" customWidth="1"/>
    <col min="86" max="86" width="16" style="252" customWidth="1"/>
    <col min="87" max="87" width="5.83203125" style="252" customWidth="1"/>
    <col min="88" max="88" width="58.83203125" style="252" customWidth="1"/>
    <col min="89" max="89" width="10" style="252" customWidth="1"/>
    <col min="90" max="90" width="14.33203125" style="252" customWidth="1"/>
    <col min="91" max="91" width="17" style="252" customWidth="1"/>
    <col min="92" max="92" width="6.83203125" style="252" customWidth="1"/>
    <col min="93" max="93" width="38" style="252" customWidth="1"/>
    <col min="94" max="94" width="8.83203125" style="252" customWidth="1"/>
    <col min="95" max="95" width="6.1640625" style="252" customWidth="1"/>
    <col min="96" max="96" width="19.5" style="252" customWidth="1"/>
    <col min="97" max="97" width="6.83203125" style="252" customWidth="1"/>
    <col min="98" max="98" width="80.83203125" style="252" customWidth="1"/>
    <col min="99" max="99" width="9.83203125" style="252" customWidth="1"/>
    <col min="100" max="100" width="14.1640625" style="252" customWidth="1"/>
    <col min="101" max="101" width="19.1640625" style="252" customWidth="1"/>
    <col min="102" max="102" width="6.5" style="213" bestFit="1" customWidth="1"/>
    <col min="103" max="103" width="52" style="213" customWidth="1"/>
    <col min="104" max="104" width="15.5" style="213" customWidth="1"/>
    <col min="105" max="105" width="15.6640625" style="213" customWidth="1"/>
    <col min="106" max="106" width="19.1640625" style="213" customWidth="1"/>
    <col min="107" max="107" width="6.5" style="213" bestFit="1" customWidth="1"/>
    <col min="108" max="108" width="60.5" style="213" customWidth="1"/>
    <col min="109" max="109" width="14.6640625" style="213" customWidth="1"/>
    <col min="110" max="110" width="15.83203125" style="213" bestFit="1" customWidth="1"/>
    <col min="111" max="111" width="15.5" style="213" customWidth="1"/>
    <col min="112" max="112" width="9.33203125" style="213"/>
    <col min="113" max="113" width="59" style="213" customWidth="1"/>
    <col min="114" max="115" width="15.83203125" style="213" bestFit="1" customWidth="1"/>
    <col min="116" max="116" width="17.33203125" style="213" customWidth="1"/>
    <col min="117" max="117" width="9.33203125" style="213"/>
    <col min="118" max="118" width="47.1640625" style="213" bestFit="1" customWidth="1"/>
    <col min="119" max="119" width="9.1640625" style="213" customWidth="1"/>
    <col min="120" max="120" width="19" style="213" customWidth="1"/>
    <col min="121" max="121" width="16" style="213" bestFit="1" customWidth="1"/>
    <col min="122" max="16384" width="9.33203125" style="213"/>
  </cols>
  <sheetData>
    <row r="1" spans="1:120">
      <c r="A1" s="250"/>
      <c r="B1" s="252"/>
      <c r="C1" s="252"/>
      <c r="D1" s="252"/>
      <c r="E1" s="8" t="s">
        <v>1097</v>
      </c>
      <c r="F1" s="250"/>
      <c r="G1" s="252"/>
      <c r="H1" s="252"/>
      <c r="I1" s="252"/>
      <c r="J1" s="252"/>
      <c r="K1" s="252"/>
      <c r="L1" s="8" t="str">
        <f>+$E$1</f>
        <v>Exh. MCC-2</v>
      </c>
      <c r="M1" s="252"/>
      <c r="N1" s="117"/>
      <c r="O1" s="117"/>
      <c r="P1" s="117"/>
      <c r="Q1" s="8" t="str">
        <f>+$E$1</f>
        <v>Exh. MCC-2</v>
      </c>
      <c r="R1" s="250"/>
      <c r="S1" s="252"/>
      <c r="T1" s="252"/>
      <c r="U1" s="8" t="str">
        <f>+$E$1</f>
        <v>Exh. MCC-2</v>
      </c>
      <c r="V1" s="250"/>
      <c r="W1" s="252"/>
      <c r="X1" s="252"/>
      <c r="Y1" s="8" t="str">
        <f>+$E$1</f>
        <v>Exh. MCC-2</v>
      </c>
      <c r="Z1" s="250"/>
      <c r="AD1" s="8" t="str">
        <f>+$E$1</f>
        <v>Exh. MCC-2</v>
      </c>
      <c r="AE1" s="8"/>
      <c r="AF1" s="8"/>
      <c r="AG1" s="8"/>
      <c r="AH1" s="8"/>
      <c r="AI1" s="8" t="str">
        <f>E1</f>
        <v>Exh. MCC-2</v>
      </c>
      <c r="AJ1" s="8"/>
      <c r="AK1" s="8"/>
      <c r="AL1" s="8"/>
      <c r="AM1" s="8"/>
      <c r="AN1" s="8" t="str">
        <f>+$E$1</f>
        <v>Exh. MCC-2</v>
      </c>
      <c r="AO1" s="250"/>
      <c r="AP1" s="252"/>
      <c r="AQ1" s="252"/>
      <c r="AR1" s="252"/>
      <c r="AS1" s="252"/>
      <c r="AT1" s="252"/>
      <c r="AU1" s="252"/>
      <c r="AV1" s="252"/>
      <c r="AW1" s="8" t="str">
        <f>+$E$1</f>
        <v>Exh. MCC-2</v>
      </c>
      <c r="AX1" s="250"/>
      <c r="AY1" s="252"/>
      <c r="AZ1" s="252"/>
      <c r="BA1" s="252"/>
      <c r="BB1" s="8" t="str">
        <f>+$E$1</f>
        <v>Exh. MCC-2</v>
      </c>
      <c r="BC1" s="209"/>
      <c r="BD1" s="209"/>
      <c r="BE1" s="209"/>
      <c r="BG1" s="8" t="str">
        <f>+$E$1</f>
        <v>Exh. MCC-2</v>
      </c>
      <c r="BH1" s="250"/>
      <c r="BK1" s="8" t="str">
        <f>+$E$1</f>
        <v>Exh. MCC-2</v>
      </c>
      <c r="BL1" s="250"/>
      <c r="BO1" s="8" t="str">
        <f>+$E$1</f>
        <v>Exh. MCC-2</v>
      </c>
      <c r="BP1" s="250"/>
      <c r="BQ1" s="71"/>
      <c r="BR1" s="71"/>
      <c r="BS1" s="8" t="str">
        <f>+$E$1</f>
        <v>Exh. MCC-2</v>
      </c>
      <c r="BT1" s="250"/>
      <c r="BX1" s="8" t="str">
        <f>+$E$1</f>
        <v>Exh. MCC-2</v>
      </c>
      <c r="BY1" s="250"/>
      <c r="CC1" s="8" t="str">
        <f>+$E$1</f>
        <v>Exh. MCC-2</v>
      </c>
      <c r="CD1" s="250"/>
      <c r="CH1" s="8" t="str">
        <f>+$E$1</f>
        <v>Exh. MCC-2</v>
      </c>
      <c r="CI1" s="250"/>
      <c r="CM1" s="8" t="str">
        <f>+$E$1</f>
        <v>Exh. MCC-2</v>
      </c>
      <c r="CN1" s="250"/>
      <c r="CR1" s="8" t="str">
        <f>+$E$1</f>
        <v>Exh. MCC-2</v>
      </c>
      <c r="CS1" s="250"/>
      <c r="CW1" s="8" t="str">
        <f>+$E$1</f>
        <v>Exh. MCC-2</v>
      </c>
      <c r="CX1" s="209"/>
      <c r="CY1" s="209"/>
      <c r="CZ1" s="209"/>
      <c r="DB1" s="8" t="str">
        <f>+$E$1</f>
        <v>Exh. MCC-2</v>
      </c>
      <c r="DC1" s="209"/>
      <c r="DD1" s="209"/>
      <c r="DE1" s="209"/>
      <c r="DG1" s="8" t="str">
        <f>+$E$1</f>
        <v>Exh. MCC-2</v>
      </c>
      <c r="DH1" s="209"/>
      <c r="DI1" s="209"/>
      <c r="DJ1" s="209"/>
      <c r="DL1" s="8" t="str">
        <f>+$E$1</f>
        <v>Exh. MCC-2</v>
      </c>
      <c r="DP1" s="8" t="str">
        <f>+$E$1</f>
        <v>Exh. MCC-2</v>
      </c>
    </row>
    <row r="2" spans="1:120" ht="15.75">
      <c r="A2" s="250"/>
      <c r="B2" s="252"/>
      <c r="C2" s="252"/>
      <c r="E2" s="8" t="str">
        <f>'MCC-2 page 1-6'!BB2</f>
        <v>Dockets UE-170033/UG-170034</v>
      </c>
      <c r="F2" s="250"/>
      <c r="G2" s="252"/>
      <c r="H2" s="252"/>
      <c r="I2" s="252"/>
      <c r="J2" s="252"/>
      <c r="L2" s="8" t="str">
        <f>E2</f>
        <v>Dockets UE-170033/UG-170034</v>
      </c>
      <c r="M2" s="252"/>
      <c r="N2" s="117"/>
      <c r="O2" s="117"/>
      <c r="Q2" s="8" t="str">
        <f>E2</f>
        <v>Dockets UE-170033/UG-170034</v>
      </c>
      <c r="R2" s="250"/>
      <c r="S2" s="252"/>
      <c r="U2" s="8" t="str">
        <f>E2</f>
        <v>Dockets UE-170033/UG-170034</v>
      </c>
      <c r="V2" s="250"/>
      <c r="W2" s="1268" t="s">
        <v>1230</v>
      </c>
      <c r="Y2" s="8" t="str">
        <f>E2</f>
        <v>Dockets UE-170033/UG-170034</v>
      </c>
      <c r="Z2" s="250"/>
      <c r="AA2" s="1294" t="s">
        <v>1229</v>
      </c>
      <c r="AB2" s="1295"/>
      <c r="AD2" s="8" t="str">
        <f>E2</f>
        <v>Dockets UE-170033/UG-170034</v>
      </c>
      <c r="AE2" s="8"/>
      <c r="AF2" s="8"/>
      <c r="AG2" s="8"/>
      <c r="AI2" s="8" t="str">
        <f>E2</f>
        <v>Dockets UE-170033/UG-170034</v>
      </c>
      <c r="AJ2" s="8"/>
      <c r="AK2" s="8"/>
      <c r="AL2" s="8"/>
      <c r="AN2" s="8" t="str">
        <f>E2</f>
        <v>Dockets UE-170033/UG-170034</v>
      </c>
      <c r="AO2" s="250"/>
      <c r="AP2" s="252"/>
      <c r="AQ2" s="252"/>
      <c r="AR2" s="252"/>
      <c r="AS2" s="252"/>
      <c r="AT2" s="252"/>
      <c r="AU2" s="252"/>
      <c r="AW2" s="8" t="str">
        <f>E2</f>
        <v>Dockets UE-170033/UG-170034</v>
      </c>
      <c r="AX2" s="250"/>
      <c r="AY2" s="252"/>
      <c r="AZ2" s="252"/>
      <c r="BB2" s="8" t="str">
        <f>E2</f>
        <v>Dockets UE-170033/UG-170034</v>
      </c>
      <c r="BC2" s="209"/>
      <c r="BD2" s="209"/>
      <c r="BE2" s="209"/>
      <c r="BG2" s="8" t="str">
        <f>E2</f>
        <v>Dockets UE-170033/UG-170034</v>
      </c>
      <c r="BH2" s="250"/>
      <c r="BK2" s="8" t="str">
        <f>E2</f>
        <v>Dockets UE-170033/UG-170034</v>
      </c>
      <c r="BL2" s="250"/>
      <c r="BO2" s="8" t="str">
        <f>E2</f>
        <v>Dockets UE-170033/UG-170034</v>
      </c>
      <c r="BP2" s="250"/>
      <c r="BQ2" s="71"/>
      <c r="BS2" s="8" t="str">
        <f>E2</f>
        <v>Dockets UE-170033/UG-170034</v>
      </c>
      <c r="BT2" s="250"/>
      <c r="BX2" s="8" t="str">
        <f>E2</f>
        <v>Dockets UE-170033/UG-170034</v>
      </c>
      <c r="BY2" s="250"/>
      <c r="CC2" s="8" t="str">
        <f>E2</f>
        <v>Dockets UE-170033/UG-170034</v>
      </c>
      <c r="CD2" s="250"/>
      <c r="CH2" s="8" t="str">
        <f>E2</f>
        <v>Dockets UE-170033/UG-170034</v>
      </c>
      <c r="CI2" s="250"/>
      <c r="CM2" s="8" t="str">
        <f>E2</f>
        <v>Dockets UE-170033/UG-170034</v>
      </c>
      <c r="CN2" s="250"/>
      <c r="CR2" s="8" t="str">
        <f>E2</f>
        <v>Dockets UE-170033/UG-170034</v>
      </c>
      <c r="CS2" s="250"/>
      <c r="CW2" s="8" t="str">
        <f>E2</f>
        <v>Dockets UE-170033/UG-170034</v>
      </c>
      <c r="CX2" s="209"/>
      <c r="CY2" s="209"/>
      <c r="CZ2" s="209"/>
      <c r="DB2" s="8" t="str">
        <f>E2</f>
        <v>Dockets UE-170033/UG-170034</v>
      </c>
      <c r="DC2" s="209"/>
      <c r="DD2" s="209"/>
      <c r="DE2" s="209"/>
      <c r="DG2" s="8" t="str">
        <f>E2</f>
        <v>Dockets UE-170033/UG-170034</v>
      </c>
      <c r="DH2" s="209"/>
      <c r="DI2" s="209"/>
      <c r="DJ2" s="209"/>
      <c r="DL2" s="8" t="str">
        <f>E2</f>
        <v>Dockets UE-170033/UG-170034</v>
      </c>
      <c r="DP2" s="8" t="str">
        <f>DL2</f>
        <v>Dockets UE-170033/UG-170034</v>
      </c>
    </row>
    <row r="3" spans="1:120" ht="14.25" customHeight="1" thickBot="1">
      <c r="A3" s="26"/>
      <c r="B3" s="252"/>
      <c r="C3" s="252"/>
      <c r="D3" s="252"/>
      <c r="E3" s="8" t="s">
        <v>1152</v>
      </c>
      <c r="F3" s="26"/>
      <c r="G3" s="1290" t="s">
        <v>997</v>
      </c>
      <c r="H3" s="1290"/>
      <c r="I3" s="1290"/>
      <c r="J3" s="1290"/>
      <c r="K3" s="1290"/>
      <c r="L3" s="8" t="s">
        <v>1153</v>
      </c>
      <c r="M3" s="252"/>
      <c r="N3" s="117"/>
      <c r="O3" s="117"/>
      <c r="P3" s="117"/>
      <c r="Q3" s="8" t="s">
        <v>1154</v>
      </c>
      <c r="R3" s="252"/>
      <c r="S3" s="252"/>
      <c r="T3" s="252"/>
      <c r="U3" s="8" t="s">
        <v>1155</v>
      </c>
      <c r="V3" s="1290" t="s">
        <v>884</v>
      </c>
      <c r="W3" s="1290"/>
      <c r="X3" s="1290"/>
      <c r="Y3" s="8" t="s">
        <v>1156</v>
      </c>
      <c r="AA3" s="1290" t="s">
        <v>997</v>
      </c>
      <c r="AB3" s="1290"/>
      <c r="AC3" s="1290"/>
      <c r="AD3" s="8" t="s">
        <v>1157</v>
      </c>
      <c r="AE3" s="1290" t="s">
        <v>1004</v>
      </c>
      <c r="AF3" s="1290"/>
      <c r="AG3" s="1290"/>
      <c r="AH3" s="1290"/>
      <c r="AI3" s="8" t="s">
        <v>1158</v>
      </c>
      <c r="AJ3" s="8"/>
      <c r="AK3" s="8"/>
      <c r="AL3" s="8"/>
      <c r="AM3" s="8"/>
      <c r="AN3" s="8" t="s">
        <v>1159</v>
      </c>
      <c r="AO3" s="252"/>
      <c r="AP3" s="252"/>
      <c r="AQ3" s="252"/>
      <c r="AR3" s="252"/>
      <c r="AS3" s="252"/>
      <c r="AT3" s="252"/>
      <c r="AU3" s="252"/>
      <c r="AV3" s="252"/>
      <c r="AW3" s="8" t="s">
        <v>1160</v>
      </c>
      <c r="AY3" s="252"/>
      <c r="AZ3" s="252"/>
      <c r="BA3" s="252"/>
      <c r="BB3" s="8" t="s">
        <v>1161</v>
      </c>
      <c r="BC3" s="209"/>
      <c r="BD3" s="209"/>
      <c r="BE3" s="209"/>
      <c r="BG3" s="8" t="s">
        <v>1162</v>
      </c>
      <c r="BK3" s="8" t="s">
        <v>1163</v>
      </c>
      <c r="BL3" s="1290" t="s">
        <v>997</v>
      </c>
      <c r="BM3" s="1290"/>
      <c r="BN3" s="1290"/>
      <c r="BO3" s="8" t="s">
        <v>1164</v>
      </c>
      <c r="BS3" s="8" t="s">
        <v>1165</v>
      </c>
      <c r="BX3" s="8" t="s">
        <v>1166</v>
      </c>
      <c r="CC3" s="8" t="s">
        <v>1167</v>
      </c>
      <c r="CH3" s="8" t="s">
        <v>1168</v>
      </c>
      <c r="CM3" s="8" t="s">
        <v>1169</v>
      </c>
      <c r="CR3" s="8" t="s">
        <v>1170</v>
      </c>
      <c r="CT3" s="1290" t="s">
        <v>997</v>
      </c>
      <c r="CU3" s="1290"/>
      <c r="CV3" s="1290"/>
      <c r="CW3" s="8" t="s">
        <v>1171</v>
      </c>
      <c r="CX3" s="252"/>
      <c r="CY3" s="1290" t="s">
        <v>997</v>
      </c>
      <c r="CZ3" s="1290"/>
      <c r="DA3" s="1290"/>
      <c r="DB3" s="8" t="s">
        <v>1172</v>
      </c>
      <c r="DC3" s="252"/>
      <c r="DD3" s="252"/>
      <c r="DE3" s="252"/>
      <c r="DF3" s="218"/>
      <c r="DG3" s="8" t="s">
        <v>1173</v>
      </c>
      <c r="DH3" s="252"/>
      <c r="DI3" s="252"/>
      <c r="DJ3" s="252"/>
      <c r="DK3" s="218"/>
      <c r="DL3" s="8" t="s">
        <v>1174</v>
      </c>
      <c r="DM3" s="1290" t="s">
        <v>884</v>
      </c>
      <c r="DN3" s="1290"/>
      <c r="DO3" s="1290"/>
      <c r="DP3" s="8" t="s">
        <v>1175</v>
      </c>
    </row>
    <row r="4" spans="1:120" s="218" customFormat="1" ht="13.5" thickBot="1">
      <c r="A4" s="250"/>
      <c r="B4" s="256"/>
      <c r="C4" s="256"/>
      <c r="D4" s="256"/>
      <c r="E4" s="475">
        <f>+'MCC-2 page 1-6'!E14</f>
        <v>13.01</v>
      </c>
      <c r="F4" s="250"/>
      <c r="G4" s="250"/>
      <c r="H4" s="250"/>
      <c r="I4" s="250"/>
      <c r="J4" s="250"/>
      <c r="K4" s="250"/>
      <c r="L4" s="475">
        <f>+'MCC-2 page 1-6'!F14</f>
        <v>13.02</v>
      </c>
      <c r="M4" s="250"/>
      <c r="N4" s="117"/>
      <c r="O4" s="117"/>
      <c r="P4" s="115"/>
      <c r="Q4" s="475">
        <f>+'MCC-2 page 1-6'!G14</f>
        <v>13.03</v>
      </c>
      <c r="R4" s="250"/>
      <c r="S4" s="250"/>
      <c r="T4" s="250"/>
      <c r="U4" s="475">
        <f>+'MCC-2 page 1-6'!H14</f>
        <v>13.04</v>
      </c>
      <c r="V4" s="250"/>
      <c r="W4" s="250"/>
      <c r="X4" s="250"/>
      <c r="Y4" s="475">
        <f>+'MCC-2 page 1-6'!I14</f>
        <v>13.05</v>
      </c>
      <c r="Z4" s="250"/>
      <c r="AA4" s="55"/>
      <c r="AB4" s="55"/>
      <c r="AC4" s="55"/>
      <c r="AD4" s="475">
        <f>+'MCC-2 page 1-6'!J14</f>
        <v>13.06</v>
      </c>
      <c r="AE4" s="1290" t="s">
        <v>1005</v>
      </c>
      <c r="AF4" s="1290"/>
      <c r="AG4" s="1290"/>
      <c r="AH4" s="1290"/>
      <c r="AI4" s="620" t="s">
        <v>1006</v>
      </c>
      <c r="AJ4" s="21"/>
      <c r="AK4" s="69"/>
      <c r="AL4" s="21"/>
      <c r="AM4" s="21"/>
      <c r="AN4" s="475">
        <f>+'MCC-2 page 1-6'!L14</f>
        <v>13.07</v>
      </c>
      <c r="AO4" s="250"/>
      <c r="AP4" s="250"/>
      <c r="AQ4" s="250"/>
      <c r="AR4" s="250"/>
      <c r="AS4" s="250"/>
      <c r="AT4" s="250"/>
      <c r="AU4" s="250"/>
      <c r="AV4" s="250"/>
      <c r="AW4" s="475">
        <f>+'MCC-2 page 1-6'!M14</f>
        <v>13.08</v>
      </c>
      <c r="AX4" s="250"/>
      <c r="AY4" s="250"/>
      <c r="AZ4" s="250"/>
      <c r="BA4" s="250"/>
      <c r="BB4" s="475">
        <f>+'MCC-2 page 1-6'!N14</f>
        <v>13.09</v>
      </c>
      <c r="BC4" s="252"/>
      <c r="BD4" s="252"/>
      <c r="BE4" s="252"/>
      <c r="BG4" s="475">
        <f>+'MCC-2 page 1-6'!O14</f>
        <v>13.1</v>
      </c>
      <c r="BH4" s="250"/>
      <c r="BI4" s="250"/>
      <c r="BJ4" s="250"/>
      <c r="BK4" s="475">
        <f>+'MCC-2 page 1-6'!P14</f>
        <v>13.11</v>
      </c>
      <c r="BL4" s="250"/>
      <c r="BM4" s="252"/>
      <c r="BN4" s="250"/>
      <c r="BO4" s="475">
        <f>+'MCC-2 page 1-6'!Q14</f>
        <v>13.12</v>
      </c>
      <c r="BP4" s="250"/>
      <c r="BQ4" s="250"/>
      <c r="BR4" s="250"/>
      <c r="BS4" s="475">
        <f>+'MCC-2 page 1-6'!R14</f>
        <v>13.13</v>
      </c>
      <c r="BT4" s="21"/>
      <c r="BU4" s="21"/>
      <c r="BV4" s="21"/>
      <c r="BW4" s="21"/>
      <c r="BX4" s="475">
        <f>+'MCC-2 page 1-6'!S14</f>
        <v>13.14</v>
      </c>
      <c r="BY4" s="21"/>
      <c r="BZ4" s="21"/>
      <c r="CA4" s="21"/>
      <c r="CB4" s="21"/>
      <c r="CC4" s="475">
        <f>+'MCC-2 page 1-6'!T14</f>
        <v>13.15</v>
      </c>
      <c r="CD4" s="250"/>
      <c r="CE4" s="250"/>
      <c r="CF4" s="250"/>
      <c r="CG4" s="250"/>
      <c r="CH4" s="475">
        <f>+'MCC-2 page 1-6'!U14</f>
        <v>13.16</v>
      </c>
      <c r="CI4" s="250"/>
      <c r="CJ4" s="250"/>
      <c r="CK4" s="250"/>
      <c r="CL4" s="250"/>
      <c r="CM4" s="475">
        <f>+'MCC-2 page 1-6'!V14</f>
        <v>13.17</v>
      </c>
      <c r="CN4" s="250"/>
      <c r="CO4" s="250"/>
      <c r="CP4" s="250"/>
      <c r="CQ4" s="250"/>
      <c r="CR4" s="475">
        <f>+'MCC-2 page 1-6'!W14</f>
        <v>13.18</v>
      </c>
      <c r="CS4" s="250"/>
      <c r="CT4" s="250"/>
      <c r="CU4" s="250"/>
      <c r="CV4" s="250"/>
      <c r="CW4" s="475">
        <f>+'MCC-2 page 1-6'!X14</f>
        <v>13.19</v>
      </c>
      <c r="CX4" s="252"/>
      <c r="CY4" s="252"/>
      <c r="CZ4" s="252"/>
      <c r="DB4" s="475">
        <f>+'MCC-2 page 1-6'!Y14</f>
        <v>13.2</v>
      </c>
      <c r="DC4" s="252"/>
      <c r="DD4" s="252"/>
      <c r="DE4" s="252"/>
      <c r="DG4" s="475">
        <f>+'MCC-2 page 1-6'!Z14</f>
        <v>13.21</v>
      </c>
      <c r="DH4" s="252"/>
      <c r="DI4" s="252"/>
      <c r="DJ4" s="252"/>
      <c r="DL4" s="475">
        <f>+'MCC-2 page 1-6'!AA14</f>
        <v>13.22</v>
      </c>
      <c r="DP4" s="475" t="s">
        <v>1109</v>
      </c>
    </row>
    <row r="5" spans="1:120" s="218" customFormat="1" ht="13.5">
      <c r="B5" s="175" t="s">
        <v>312</v>
      </c>
      <c r="C5" s="248"/>
      <c r="D5" s="248"/>
      <c r="E5" s="248"/>
      <c r="F5" s="692"/>
      <c r="G5" s="690"/>
      <c r="H5" s="690"/>
      <c r="I5" s="175" t="s">
        <v>312</v>
      </c>
      <c r="J5" s="690"/>
      <c r="K5" s="690"/>
      <c r="L5" s="690"/>
      <c r="M5" s="175" t="s">
        <v>312</v>
      </c>
      <c r="N5" s="118"/>
      <c r="O5" s="119"/>
      <c r="P5" s="119"/>
      <c r="Q5" s="119"/>
      <c r="R5" s="175" t="s">
        <v>312</v>
      </c>
      <c r="S5" s="248"/>
      <c r="T5" s="248"/>
      <c r="U5" s="56"/>
      <c r="V5" s="175" t="s">
        <v>312</v>
      </c>
      <c r="W5" s="248"/>
      <c r="X5" s="248"/>
      <c r="Y5" s="248"/>
      <c r="Z5" s="175" t="s">
        <v>312</v>
      </c>
      <c r="AA5" s="248"/>
      <c r="AB5" s="248"/>
      <c r="AC5" s="248"/>
      <c r="AD5" s="249"/>
      <c r="AE5" s="175" t="s">
        <v>312</v>
      </c>
      <c r="AF5" s="248"/>
      <c r="AG5" s="248"/>
      <c r="AH5" s="248"/>
      <c r="AI5" s="248"/>
      <c r="AJ5" s="175" t="s">
        <v>312</v>
      </c>
      <c r="AK5" s="248"/>
      <c r="AL5" s="248"/>
      <c r="AM5" s="248"/>
      <c r="AN5" s="248"/>
      <c r="AO5" s="175" t="s">
        <v>312</v>
      </c>
      <c r="AP5" s="248"/>
      <c r="AQ5" s="248"/>
      <c r="AR5" s="248"/>
      <c r="AS5" s="248"/>
      <c r="AT5" s="248"/>
      <c r="AU5" s="248"/>
      <c r="AV5" s="248"/>
      <c r="AW5" s="248"/>
      <c r="AX5" s="175" t="s">
        <v>312</v>
      </c>
      <c r="AY5" s="99"/>
      <c r="AZ5" s="99"/>
      <c r="BA5" s="99"/>
      <c r="BB5" s="99"/>
      <c r="BC5" s="175" t="s">
        <v>312</v>
      </c>
      <c r="BD5" s="248"/>
      <c r="BE5" s="248"/>
      <c r="BF5" s="248"/>
      <c r="BG5" s="249"/>
      <c r="BH5" s="175" t="s">
        <v>312</v>
      </c>
      <c r="BI5" s="248"/>
      <c r="BJ5" s="248"/>
      <c r="BK5" s="248"/>
      <c r="BL5" s="175" t="s">
        <v>312</v>
      </c>
      <c r="BM5" s="248"/>
      <c r="BN5" s="248"/>
      <c r="BO5" s="248"/>
      <c r="BP5" s="175" t="s">
        <v>312</v>
      </c>
      <c r="BQ5" s="248"/>
      <c r="BR5" s="248"/>
      <c r="BS5" s="248"/>
      <c r="BT5" s="175" t="s">
        <v>312</v>
      </c>
      <c r="BU5" s="22"/>
      <c r="BV5" s="248"/>
      <c r="BW5" s="248"/>
      <c r="BX5" s="248"/>
      <c r="BY5" s="175" t="s">
        <v>312</v>
      </c>
      <c r="BZ5" s="22"/>
      <c r="CA5" s="248"/>
      <c r="CB5" s="248"/>
      <c r="CC5" s="248"/>
      <c r="CD5" s="175" t="s">
        <v>312</v>
      </c>
      <c r="CE5" s="248"/>
      <c r="CF5" s="248"/>
      <c r="CG5" s="248"/>
      <c r="CH5" s="248"/>
      <c r="CI5" s="248" t="s">
        <v>312</v>
      </c>
      <c r="CJ5" s="248"/>
      <c r="CK5" s="248"/>
      <c r="CL5" s="248"/>
      <c r="CM5" s="248"/>
      <c r="CN5" s="175" t="s">
        <v>312</v>
      </c>
      <c r="CO5" s="248"/>
      <c r="CP5" s="248"/>
      <c r="CQ5" s="248"/>
      <c r="CR5" s="248"/>
      <c r="CS5" s="175" t="s">
        <v>312</v>
      </c>
      <c r="CT5" s="248"/>
      <c r="CU5" s="248"/>
      <c r="CV5" s="248"/>
      <c r="CW5" s="248"/>
      <c r="CX5" s="175" t="s">
        <v>312</v>
      </c>
      <c r="CY5" s="248"/>
      <c r="CZ5" s="248"/>
      <c r="DA5" s="248"/>
      <c r="DB5" s="249"/>
      <c r="DC5" s="175" t="s">
        <v>312</v>
      </c>
      <c r="DD5" s="248"/>
      <c r="DE5" s="248"/>
      <c r="DF5" s="248"/>
      <c r="DG5" s="249"/>
      <c r="DH5" s="175" t="s">
        <v>312</v>
      </c>
      <c r="DI5" s="248"/>
      <c r="DJ5" s="248"/>
      <c r="DK5" s="248"/>
      <c r="DL5" s="249"/>
    </row>
    <row r="6" spans="1:120" s="218" customFormat="1" ht="13.5" customHeight="1">
      <c r="B6" s="175" t="s">
        <v>178</v>
      </c>
      <c r="C6" s="14"/>
      <c r="D6" s="14"/>
      <c r="E6" s="14"/>
      <c r="F6" s="692"/>
      <c r="H6" s="692"/>
      <c r="I6" s="692" t="s">
        <v>177</v>
      </c>
      <c r="J6" s="692"/>
      <c r="K6" s="692"/>
      <c r="M6" s="1297" t="s">
        <v>179</v>
      </c>
      <c r="N6" s="1297"/>
      <c r="O6" s="1297"/>
      <c r="P6" s="1297"/>
      <c r="Q6" s="1297"/>
      <c r="R6" s="175" t="s">
        <v>180</v>
      </c>
      <c r="S6" s="248"/>
      <c r="T6" s="248"/>
      <c r="U6" s="56"/>
      <c r="V6" s="175" t="s">
        <v>181</v>
      </c>
      <c r="W6" s="248"/>
      <c r="X6" s="248"/>
      <c r="Y6" s="14"/>
      <c r="Z6" s="175" t="s">
        <v>508</v>
      </c>
      <c r="AA6" s="248"/>
      <c r="AB6" s="248"/>
      <c r="AC6" s="248"/>
      <c r="AD6" s="14"/>
      <c r="AE6" s="175" t="s">
        <v>1007</v>
      </c>
      <c r="AF6" s="180"/>
      <c r="AG6" s="180"/>
      <c r="AH6" s="180"/>
      <c r="AI6" s="180"/>
      <c r="AJ6" s="175" t="s">
        <v>196</v>
      </c>
      <c r="AK6" s="180"/>
      <c r="AL6" s="180"/>
      <c r="AM6" s="180"/>
      <c r="AN6" s="180"/>
      <c r="AO6" s="175" t="s">
        <v>254</v>
      </c>
      <c r="AP6" s="248"/>
      <c r="AQ6" s="248"/>
      <c r="AR6" s="248"/>
      <c r="AS6" s="248"/>
      <c r="AT6" s="248"/>
      <c r="AU6" s="248"/>
      <c r="AV6" s="14"/>
      <c r="AW6" s="14"/>
      <c r="AX6" s="248" t="s">
        <v>182</v>
      </c>
      <c r="AY6" s="99"/>
      <c r="AZ6" s="99"/>
      <c r="BA6" s="99"/>
      <c r="BB6" s="99"/>
      <c r="BC6" s="248" t="s">
        <v>171</v>
      </c>
      <c r="BD6" s="248"/>
      <c r="BE6" s="248"/>
      <c r="BF6" s="248"/>
      <c r="BG6" s="248"/>
      <c r="BH6" s="175" t="s">
        <v>183</v>
      </c>
      <c r="BI6" s="248"/>
      <c r="BJ6" s="248"/>
      <c r="BK6" s="248"/>
      <c r="BL6" s="175" t="s">
        <v>184</v>
      </c>
      <c r="BM6" s="248"/>
      <c r="BN6" s="248"/>
      <c r="BO6" s="14"/>
      <c r="BP6" s="175" t="s">
        <v>185</v>
      </c>
      <c r="BQ6" s="248"/>
      <c r="BR6" s="248"/>
      <c r="BS6" s="248"/>
      <c r="BT6" s="1297" t="s">
        <v>186</v>
      </c>
      <c r="BU6" s="1297"/>
      <c r="BV6" s="1297"/>
      <c r="BW6" s="1297"/>
      <c r="BX6" s="1297"/>
      <c r="BY6" s="1297" t="s">
        <v>125</v>
      </c>
      <c r="BZ6" s="1297"/>
      <c r="CA6" s="1297"/>
      <c r="CB6" s="1297"/>
      <c r="CC6" s="1297"/>
      <c r="CD6" s="248" t="s">
        <v>126</v>
      </c>
      <c r="CE6" s="248"/>
      <c r="CF6" s="248"/>
      <c r="CG6" s="248"/>
      <c r="CH6" s="14"/>
      <c r="CI6" s="248" t="s">
        <v>127</v>
      </c>
      <c r="CJ6" s="248"/>
      <c r="CK6" s="248"/>
      <c r="CL6" s="248"/>
      <c r="CM6" s="248"/>
      <c r="CN6" s="248" t="s">
        <v>128</v>
      </c>
      <c r="CO6" s="248"/>
      <c r="CP6" s="248"/>
      <c r="CQ6" s="248"/>
      <c r="CR6" s="14"/>
      <c r="CS6" s="248" t="s">
        <v>492</v>
      </c>
      <c r="CT6" s="248"/>
      <c r="CU6" s="248"/>
      <c r="CV6" s="248"/>
      <c r="CW6" s="14"/>
      <c r="CX6" s="248" t="s">
        <v>802</v>
      </c>
      <c r="CY6" s="248"/>
      <c r="CZ6" s="248"/>
      <c r="DA6" s="248"/>
      <c r="DB6" s="248"/>
      <c r="DC6" s="248" t="s">
        <v>651</v>
      </c>
      <c r="DD6" s="248"/>
      <c r="DE6" s="248"/>
      <c r="DF6" s="248"/>
      <c r="DG6" s="248"/>
      <c r="DH6" s="248" t="s">
        <v>755</v>
      </c>
      <c r="DI6" s="248"/>
      <c r="DJ6" s="248"/>
      <c r="DK6" s="248"/>
      <c r="DL6" s="248"/>
    </row>
    <row r="7" spans="1:120">
      <c r="B7" s="175" t="s">
        <v>650</v>
      </c>
      <c r="C7" s="248"/>
      <c r="D7" s="248"/>
      <c r="E7" s="15"/>
      <c r="F7" s="690"/>
      <c r="G7" s="692"/>
      <c r="H7" s="692"/>
      <c r="I7" s="248" t="str">
        <f>keep_TESTYEAR</f>
        <v>FOR THE TWELVE MONTHS ENDED SEPTEMBER 30, 2016</v>
      </c>
      <c r="J7" s="690"/>
      <c r="K7" s="381"/>
      <c r="L7" s="381"/>
      <c r="M7" s="248" t="str">
        <f>keep_TESTYEAR</f>
        <v>FOR THE TWELVE MONTHS ENDED SEPTEMBER 30, 2016</v>
      </c>
      <c r="N7" s="128"/>
      <c r="O7" s="128"/>
      <c r="P7" s="128"/>
      <c r="Q7" s="128"/>
      <c r="R7" s="248" t="str">
        <f>keep_TESTYEAR</f>
        <v>FOR THE TWELVE MONTHS ENDED SEPTEMBER 30, 2016</v>
      </c>
      <c r="S7" s="248"/>
      <c r="T7" s="248"/>
      <c r="U7" s="56"/>
      <c r="V7" s="248" t="str">
        <f>keep_TESTYEAR</f>
        <v>FOR THE TWELVE MONTHS ENDED SEPTEMBER 30, 2016</v>
      </c>
      <c r="W7" s="248"/>
      <c r="X7" s="248"/>
      <c r="Y7" s="15"/>
      <c r="Z7" s="248" t="str">
        <f>keep_TESTYEAR</f>
        <v>FOR THE TWELVE MONTHS ENDED SEPTEMBER 30, 2016</v>
      </c>
      <c r="AA7" s="248"/>
      <c r="AB7" s="248"/>
      <c r="AC7" s="248"/>
      <c r="AD7" s="15"/>
      <c r="AE7" s="248" t="str">
        <f>keep_TESTYEAR</f>
        <v>FOR THE TWELVE MONTHS ENDED SEPTEMBER 30, 2016</v>
      </c>
      <c r="AF7" s="180"/>
      <c r="AG7" s="180"/>
      <c r="AH7" s="180"/>
      <c r="AI7" s="180"/>
      <c r="AJ7" s="248" t="str">
        <f>keep_TESTYEAR</f>
        <v>FOR THE TWELVE MONTHS ENDED SEPTEMBER 30, 2016</v>
      </c>
      <c r="AK7" s="180"/>
      <c r="AL7" s="180"/>
      <c r="AM7" s="180"/>
      <c r="AN7" s="180"/>
      <c r="AO7" s="248" t="str">
        <f>keep_TESTYEAR</f>
        <v>FOR THE TWELVE MONTHS ENDED SEPTEMBER 30, 2016</v>
      </c>
      <c r="AP7" s="248"/>
      <c r="AQ7" s="248"/>
      <c r="AR7" s="248"/>
      <c r="AS7" s="248"/>
      <c r="AT7" s="248"/>
      <c r="AU7" s="248"/>
      <c r="AV7" s="15"/>
      <c r="AW7" s="15"/>
      <c r="AX7" s="248" t="str">
        <f>keep_TESTYEAR</f>
        <v>FOR THE TWELVE MONTHS ENDED SEPTEMBER 30, 2016</v>
      </c>
      <c r="AY7" s="99"/>
      <c r="AZ7" s="99"/>
      <c r="BA7" s="99"/>
      <c r="BB7" s="99"/>
      <c r="BC7" s="1296" t="s">
        <v>650</v>
      </c>
      <c r="BD7" s="1296"/>
      <c r="BE7" s="1296"/>
      <c r="BF7" s="1296"/>
      <c r="BG7" s="1296"/>
      <c r="BH7" s="175" t="str">
        <f>keep_TESTYEAR</f>
        <v>FOR THE TWELVE MONTHS ENDED SEPTEMBER 30, 2016</v>
      </c>
      <c r="BI7" s="248"/>
      <c r="BJ7" s="248"/>
      <c r="BK7" s="248"/>
      <c r="BL7" s="248" t="str">
        <f>keep_TESTYEAR</f>
        <v>FOR THE TWELVE MONTHS ENDED SEPTEMBER 30, 2016</v>
      </c>
      <c r="BM7" s="175"/>
      <c r="BN7" s="248"/>
      <c r="BO7" s="15"/>
      <c r="BP7" s="248" t="str">
        <f>keep_TESTYEAR</f>
        <v>FOR THE TWELVE MONTHS ENDED SEPTEMBER 30, 2016</v>
      </c>
      <c r="BQ7" s="248"/>
      <c r="BR7" s="248"/>
      <c r="BS7" s="248"/>
      <c r="BT7" s="248" t="str">
        <f>keep_TESTYEAR</f>
        <v>FOR THE TWELVE MONTHS ENDED SEPTEMBER 30, 2016</v>
      </c>
      <c r="BU7" s="23"/>
      <c r="BV7" s="15"/>
      <c r="BW7" s="15"/>
      <c r="BX7" s="15"/>
      <c r="BY7" s="248" t="str">
        <f>keep_TESTYEAR</f>
        <v>FOR THE TWELVE MONTHS ENDED SEPTEMBER 30, 2016</v>
      </c>
      <c r="BZ7" s="23"/>
      <c r="CA7" s="15"/>
      <c r="CB7" s="15"/>
      <c r="CC7" s="15"/>
      <c r="CD7" s="248" t="str">
        <f>keep_TESTYEAR</f>
        <v>FOR THE TWELVE MONTHS ENDED SEPTEMBER 30, 2016</v>
      </c>
      <c r="CE7" s="248"/>
      <c r="CF7" s="248"/>
      <c r="CG7" s="248"/>
      <c r="CH7" s="15"/>
      <c r="CI7" s="248" t="str">
        <f>keep_TESTYEAR</f>
        <v>FOR THE TWELVE MONTHS ENDED SEPTEMBER 30, 2016</v>
      </c>
      <c r="CJ7" s="248"/>
      <c r="CK7" s="248"/>
      <c r="CL7" s="248"/>
      <c r="CM7" s="248"/>
      <c r="CN7" s="248" t="str">
        <f>keep_TESTYEAR</f>
        <v>FOR THE TWELVE MONTHS ENDED SEPTEMBER 30, 2016</v>
      </c>
      <c r="CO7" s="248"/>
      <c r="CP7" s="248"/>
      <c r="CQ7" s="248"/>
      <c r="CR7" s="15"/>
      <c r="CS7" s="248" t="str">
        <f>keep_TESTYEAR</f>
        <v>FOR THE TWELVE MONTHS ENDED SEPTEMBER 30, 2016</v>
      </c>
      <c r="CT7" s="248"/>
      <c r="CU7" s="248"/>
      <c r="CV7" s="248"/>
      <c r="CW7" s="15"/>
      <c r="CX7" s="1296" t="s">
        <v>650</v>
      </c>
      <c r="CY7" s="1296"/>
      <c r="CZ7" s="1296"/>
      <c r="DA7" s="1296"/>
      <c r="DB7" s="1296"/>
      <c r="DC7" s="1296" t="s">
        <v>650</v>
      </c>
      <c r="DD7" s="1296"/>
      <c r="DE7" s="1296"/>
      <c r="DF7" s="1296"/>
      <c r="DG7" s="1296"/>
      <c r="DH7" s="1296" t="s">
        <v>650</v>
      </c>
      <c r="DI7" s="1296"/>
      <c r="DJ7" s="1296"/>
      <c r="DK7" s="1296"/>
      <c r="DL7" s="1296"/>
    </row>
    <row r="8" spans="1:120" ht="15.75">
      <c r="B8" s="175" t="s">
        <v>649</v>
      </c>
      <c r="C8" s="248"/>
      <c r="D8" s="248"/>
      <c r="E8" s="248"/>
      <c r="F8" s="692"/>
      <c r="G8" s="692"/>
      <c r="H8" s="692"/>
      <c r="I8" s="175" t="str">
        <f>Case_Name</f>
        <v xml:space="preserve">2017 GENERAL RATE CASE </v>
      </c>
      <c r="J8" s="690"/>
      <c r="K8" s="690"/>
      <c r="L8" s="690"/>
      <c r="M8" s="175" t="str">
        <f>+I8</f>
        <v xml:space="preserve">2017 GENERAL RATE CASE </v>
      </c>
      <c r="N8" s="175"/>
      <c r="O8" s="103"/>
      <c r="P8" s="104"/>
      <c r="Q8" s="104"/>
      <c r="R8" s="175" t="str">
        <f>+M8</f>
        <v xml:space="preserve">2017 GENERAL RATE CASE </v>
      </c>
      <c r="S8" s="175"/>
      <c r="T8" s="175"/>
      <c r="U8" s="272"/>
      <c r="V8" s="175" t="str">
        <f>+R8</f>
        <v xml:space="preserve">2017 GENERAL RATE CASE </v>
      </c>
      <c r="W8" s="248"/>
      <c r="X8" s="248"/>
      <c r="Y8" s="15"/>
      <c r="Z8" s="175" t="str">
        <f>+V8</f>
        <v xml:space="preserve">2017 GENERAL RATE CASE </v>
      </c>
      <c r="AA8" s="248"/>
      <c r="AB8" s="248"/>
      <c r="AC8" s="175"/>
      <c r="AD8" s="15"/>
      <c r="AE8" s="248" t="str">
        <f>Z8</f>
        <v xml:space="preserve">2017 GENERAL RATE CASE </v>
      </c>
      <c r="AF8" s="180"/>
      <c r="AG8" s="180"/>
      <c r="AH8" s="180"/>
      <c r="AI8" s="180"/>
      <c r="AJ8" s="248" t="str">
        <f>+Z8</f>
        <v xml:space="preserve">2017 GENERAL RATE CASE </v>
      </c>
      <c r="AK8" s="180"/>
      <c r="AL8" s="180"/>
      <c r="AM8" s="180"/>
      <c r="AN8" s="180"/>
      <c r="AO8" s="175" t="str">
        <f>+AJ8</f>
        <v xml:space="preserve">2017 GENERAL RATE CASE </v>
      </c>
      <c r="AP8" s="248"/>
      <c r="AQ8" s="248"/>
      <c r="AR8" s="248"/>
      <c r="AS8" s="248"/>
      <c r="AT8" s="248"/>
      <c r="AU8" s="248"/>
      <c r="AV8" s="15"/>
      <c r="AW8" s="248"/>
      <c r="AX8" s="248" t="str">
        <f>+AO8</f>
        <v xml:space="preserve">2017 GENERAL RATE CASE </v>
      </c>
      <c r="AY8" s="99"/>
      <c r="AZ8" s="99"/>
      <c r="BA8" s="99"/>
      <c r="BB8" s="99"/>
      <c r="BC8" s="1296" t="str">
        <f>+AX8</f>
        <v xml:space="preserve">2017 GENERAL RATE CASE </v>
      </c>
      <c r="BD8" s="1296"/>
      <c r="BE8" s="1296"/>
      <c r="BF8" s="1296"/>
      <c r="BG8" s="1296"/>
      <c r="BH8" s="175" t="str">
        <f>+BC8</f>
        <v xml:space="preserve">2017 GENERAL RATE CASE </v>
      </c>
      <c r="BI8" s="248"/>
      <c r="BJ8" s="248"/>
      <c r="BK8" s="248"/>
      <c r="BL8" s="175" t="str">
        <f>+BH8</f>
        <v xml:space="preserve">2017 GENERAL RATE CASE </v>
      </c>
      <c r="BM8" s="175"/>
      <c r="BN8" s="248"/>
      <c r="BO8" s="248"/>
      <c r="BP8" s="175" t="str">
        <f>+BL8</f>
        <v xml:space="preserve">2017 GENERAL RATE CASE </v>
      </c>
      <c r="BQ8" s="248"/>
      <c r="BR8" s="248"/>
      <c r="BS8" s="248"/>
      <c r="BT8" s="175" t="str">
        <f>+BP8</f>
        <v xml:space="preserve">2017 GENERAL RATE CASE </v>
      </c>
      <c r="BU8" s="22"/>
      <c r="BV8" s="248"/>
      <c r="BW8" s="248"/>
      <c r="BX8" s="248"/>
      <c r="BY8" s="175" t="str">
        <f>+BT8</f>
        <v xml:space="preserve">2017 GENERAL RATE CASE </v>
      </c>
      <c r="BZ8" s="22"/>
      <c r="CA8" s="248"/>
      <c r="CB8" s="248"/>
      <c r="CC8" s="248"/>
      <c r="CD8" s="175" t="str">
        <f>+BY8</f>
        <v xml:space="preserve">2017 GENERAL RATE CASE </v>
      </c>
      <c r="CE8" s="248"/>
      <c r="CF8" s="248"/>
      <c r="CG8" s="248"/>
      <c r="CH8" s="15"/>
      <c r="CI8" s="248" t="str">
        <f>+CD8</f>
        <v xml:space="preserve">2017 GENERAL RATE CASE </v>
      </c>
      <c r="CJ8" s="248"/>
      <c r="CK8" s="248"/>
      <c r="CL8" s="248"/>
      <c r="CM8" s="248"/>
      <c r="CN8" s="175" t="str">
        <f>+CI8</f>
        <v xml:space="preserve">2017 GENERAL RATE CASE </v>
      </c>
      <c r="CO8" s="248"/>
      <c r="CP8" s="248"/>
      <c r="CQ8" s="248"/>
      <c r="CR8" s="248"/>
      <c r="CS8" s="175" t="str">
        <f>+CN8</f>
        <v xml:space="preserve">2017 GENERAL RATE CASE </v>
      </c>
      <c r="CT8" s="248"/>
      <c r="CU8" s="248"/>
      <c r="CV8" s="248"/>
      <c r="CW8" s="248"/>
      <c r="CX8" s="1296" t="str">
        <f>+CS8</f>
        <v xml:space="preserve">2017 GENERAL RATE CASE </v>
      </c>
      <c r="CY8" s="1296"/>
      <c r="CZ8" s="1296"/>
      <c r="DA8" s="1296"/>
      <c r="DB8" s="1296"/>
      <c r="DC8" s="1296" t="str">
        <f>+CX8</f>
        <v xml:space="preserve">2017 GENERAL RATE CASE </v>
      </c>
      <c r="DD8" s="1296"/>
      <c r="DE8" s="1296"/>
      <c r="DF8" s="1296"/>
      <c r="DG8" s="1296"/>
      <c r="DH8" s="1296" t="str">
        <f>+DC8</f>
        <v xml:space="preserve">2017 GENERAL RATE CASE </v>
      </c>
      <c r="DI8" s="1296"/>
      <c r="DJ8" s="1296"/>
      <c r="DK8" s="1296"/>
      <c r="DL8" s="1296"/>
    </row>
    <row r="9" spans="1:120" ht="15.75">
      <c r="A9" s="250"/>
      <c r="B9" s="250"/>
      <c r="C9" s="250"/>
      <c r="D9" s="250"/>
      <c r="E9" s="250"/>
      <c r="F9" s="250"/>
      <c r="G9" s="250"/>
      <c r="H9" s="250"/>
      <c r="I9" s="250"/>
      <c r="J9" s="250"/>
      <c r="K9" s="250"/>
      <c r="L9" s="250"/>
      <c r="M9" s="250"/>
      <c r="N9" s="104"/>
      <c r="O9" s="104"/>
      <c r="P9" s="104"/>
      <c r="Q9" s="104"/>
      <c r="R9" s="250"/>
      <c r="S9" s="272"/>
      <c r="T9" s="77"/>
      <c r="U9" s="81"/>
      <c r="V9" s="250"/>
      <c r="W9" s="77"/>
      <c r="X9" s="259"/>
      <c r="Y9" s="694" t="s">
        <v>851</v>
      </c>
      <c r="Z9" s="250"/>
      <c r="AA9" s="54"/>
      <c r="AB9" s="54"/>
      <c r="AC9" s="55"/>
      <c r="AD9" s="55"/>
      <c r="AE9" s="175"/>
      <c r="AF9" s="180"/>
      <c r="AG9" s="180"/>
      <c r="AH9" s="180"/>
      <c r="AI9" s="180"/>
      <c r="AJ9" s="175"/>
      <c r="AK9" s="180"/>
      <c r="AL9" s="180"/>
      <c r="AM9" s="180"/>
      <c r="AN9" s="180"/>
      <c r="AO9" s="250"/>
      <c r="AP9" s="250"/>
      <c r="AQ9" s="690"/>
      <c r="AR9" s="690"/>
      <c r="AS9" s="690"/>
      <c r="AT9" s="690"/>
      <c r="AU9" s="690"/>
      <c r="AV9" s="690"/>
      <c r="AW9" s="694" t="s">
        <v>851</v>
      </c>
      <c r="AX9" s="250"/>
      <c r="AY9" s="250"/>
      <c r="AZ9" s="250"/>
      <c r="BA9" s="250"/>
      <c r="BB9" s="694" t="s">
        <v>851</v>
      </c>
      <c r="BC9" s="209"/>
      <c r="BD9" s="209"/>
      <c r="BE9" s="209"/>
      <c r="BF9" s="209"/>
      <c r="BG9" s="209"/>
      <c r="BH9" s="250"/>
      <c r="BI9" s="250"/>
      <c r="BJ9" s="250"/>
      <c r="BK9" s="694" t="s">
        <v>851</v>
      </c>
      <c r="BL9" s="250"/>
      <c r="BM9" s="250"/>
      <c r="BN9" s="250"/>
      <c r="BO9" s="250"/>
      <c r="BP9" s="250"/>
      <c r="BQ9" s="250"/>
      <c r="BR9" s="250"/>
      <c r="BS9" s="250"/>
      <c r="BT9" s="250"/>
      <c r="BU9" s="250"/>
      <c r="BV9" s="250"/>
      <c r="BW9" s="250"/>
      <c r="BX9" s="250"/>
      <c r="BY9" s="250"/>
      <c r="BZ9" s="250"/>
      <c r="CA9" s="250"/>
      <c r="CB9" s="250"/>
      <c r="CC9" s="250"/>
      <c r="CD9" s="250"/>
      <c r="CE9" s="77"/>
      <c r="CH9" s="694" t="s">
        <v>851</v>
      </c>
      <c r="CI9" s="250"/>
      <c r="CJ9" s="250"/>
      <c r="CK9" s="250"/>
      <c r="CL9" s="250"/>
      <c r="CM9" s="694" t="s">
        <v>851</v>
      </c>
      <c r="CN9" s="53"/>
      <c r="CO9" s="77"/>
      <c r="CP9" s="77"/>
      <c r="CQ9" s="250"/>
      <c r="CR9" s="250"/>
      <c r="CS9" s="53"/>
      <c r="CT9" s="77"/>
      <c r="CU9" s="77"/>
      <c r="CV9" s="250"/>
      <c r="CW9" s="250"/>
      <c r="CX9" s="209"/>
      <c r="CY9" s="209"/>
      <c r="CZ9" s="209"/>
      <c r="DA9" s="209"/>
      <c r="DB9" s="209"/>
      <c r="DC9" s="209"/>
      <c r="DD9" s="209"/>
      <c r="DE9" s="209"/>
      <c r="DF9" s="209"/>
      <c r="DG9" s="209"/>
      <c r="DH9" s="209"/>
      <c r="DI9" s="209"/>
      <c r="DJ9" s="209"/>
      <c r="DK9" s="209"/>
      <c r="DL9" s="209"/>
    </row>
    <row r="10" spans="1:120" ht="15">
      <c r="A10" s="692" t="s">
        <v>284</v>
      </c>
      <c r="B10" s="250"/>
      <c r="C10" s="690"/>
      <c r="D10" s="171"/>
      <c r="E10" s="171"/>
      <c r="F10" s="692" t="s">
        <v>284</v>
      </c>
      <c r="G10" s="77"/>
      <c r="H10" s="77"/>
      <c r="I10" s="77"/>
      <c r="J10" s="250"/>
      <c r="K10" s="250"/>
      <c r="L10" s="690"/>
      <c r="M10" s="130" t="s">
        <v>284</v>
      </c>
      <c r="N10" s="131"/>
      <c r="O10" s="131"/>
      <c r="P10" s="105"/>
      <c r="Q10" s="105"/>
      <c r="R10" s="690" t="s">
        <v>284</v>
      </c>
      <c r="S10" s="250"/>
      <c r="T10" s="252"/>
      <c r="U10" s="58"/>
      <c r="V10" s="690" t="s">
        <v>284</v>
      </c>
      <c r="W10" s="250"/>
      <c r="X10" s="211"/>
      <c r="Z10" s="690" t="s">
        <v>284</v>
      </c>
      <c r="AA10" s="55"/>
      <c r="AB10" s="690"/>
      <c r="AC10" s="55"/>
      <c r="AD10" s="55"/>
      <c r="AE10" s="819" t="s">
        <v>284</v>
      </c>
      <c r="AF10" s="250"/>
      <c r="AG10" s="819"/>
      <c r="AH10" s="819"/>
      <c r="AI10" s="819"/>
      <c r="AJ10" s="692" t="s">
        <v>284</v>
      </c>
      <c r="AK10" s="250"/>
      <c r="AL10" s="692"/>
      <c r="AM10" s="692"/>
      <c r="AN10" s="692"/>
      <c r="AO10" s="690" t="s">
        <v>284</v>
      </c>
      <c r="AP10" s="250"/>
      <c r="AQ10" s="690" t="s">
        <v>286</v>
      </c>
      <c r="AR10" s="690" t="s">
        <v>287</v>
      </c>
      <c r="AS10" s="690" t="s">
        <v>288</v>
      </c>
      <c r="AT10" s="690" t="s">
        <v>259</v>
      </c>
      <c r="AU10" s="690" t="s">
        <v>288</v>
      </c>
      <c r="AV10" s="690" t="s">
        <v>286</v>
      </c>
      <c r="AW10" s="690" t="s">
        <v>335</v>
      </c>
      <c r="AX10" s="692" t="s">
        <v>284</v>
      </c>
      <c r="AY10" s="250"/>
      <c r="BA10" s="751" t="s">
        <v>297</v>
      </c>
      <c r="BC10" s="182" t="s">
        <v>284</v>
      </c>
      <c r="BD10" s="182"/>
      <c r="BE10" s="182"/>
      <c r="BF10" s="182"/>
      <c r="BG10" s="182"/>
      <c r="BH10" s="692" t="s">
        <v>284</v>
      </c>
      <c r="BI10" s="77"/>
      <c r="BJ10" s="77"/>
      <c r="BK10" s="250"/>
      <c r="BL10" s="692" t="s">
        <v>284</v>
      </c>
      <c r="BM10" s="250"/>
      <c r="BN10" s="250"/>
      <c r="BO10" s="250"/>
      <c r="BP10" s="692" t="s">
        <v>284</v>
      </c>
      <c r="BQ10" s="77"/>
      <c r="BR10" s="77"/>
      <c r="BS10" s="250"/>
      <c r="BT10" s="692" t="s">
        <v>284</v>
      </c>
      <c r="BU10" s="250"/>
      <c r="BV10" s="250"/>
      <c r="BW10" s="250"/>
      <c r="BX10" s="250"/>
      <c r="BY10" s="692" t="s">
        <v>284</v>
      </c>
      <c r="BZ10" s="250"/>
      <c r="CA10" s="250"/>
      <c r="CB10" s="250"/>
      <c r="CC10" s="250"/>
      <c r="CD10" s="692" t="s">
        <v>284</v>
      </c>
      <c r="CE10" s="250"/>
      <c r="CF10" s="1290"/>
      <c r="CG10" s="1290"/>
      <c r="CH10" s="1290"/>
      <c r="CI10" s="692" t="s">
        <v>284</v>
      </c>
      <c r="CJ10" s="250"/>
      <c r="CK10" s="170"/>
      <c r="CL10" s="171"/>
      <c r="CM10" s="210"/>
      <c r="CN10" s="690" t="s">
        <v>284</v>
      </c>
      <c r="CO10" s="250"/>
      <c r="CP10" s="250"/>
      <c r="CQ10" s="250"/>
      <c r="CR10" s="210"/>
      <c r="CS10" s="690" t="s">
        <v>284</v>
      </c>
      <c r="CT10" s="250"/>
      <c r="CU10" s="250"/>
      <c r="CV10" s="250"/>
      <c r="CW10" s="210"/>
      <c r="CX10" s="182" t="s">
        <v>284</v>
      </c>
      <c r="CY10" s="182"/>
      <c r="CZ10" s="182"/>
      <c r="DA10" s="182"/>
      <c r="DB10" s="182"/>
      <c r="DC10" s="182" t="s">
        <v>284</v>
      </c>
      <c r="DD10" s="182"/>
      <c r="DE10" s="182"/>
      <c r="DF10" s="182"/>
      <c r="DG10" s="182"/>
      <c r="DH10" s="106" t="s">
        <v>284</v>
      </c>
      <c r="DI10" s="449"/>
      <c r="DJ10" s="449"/>
      <c r="DK10" s="451"/>
      <c r="DL10" s="450"/>
      <c r="DM10" s="106" t="s">
        <v>284</v>
      </c>
      <c r="DN10" s="449"/>
    </row>
    <row r="11" spans="1:120">
      <c r="A11" s="16" t="s">
        <v>301</v>
      </c>
      <c r="B11" s="177" t="s">
        <v>73</v>
      </c>
      <c r="C11" s="177"/>
      <c r="D11" s="176" t="s">
        <v>77</v>
      </c>
      <c r="E11" s="176"/>
      <c r="F11" s="16" t="s">
        <v>301</v>
      </c>
      <c r="G11" s="177" t="s">
        <v>73</v>
      </c>
      <c r="H11" s="177"/>
      <c r="I11" s="177"/>
      <c r="J11" s="177"/>
      <c r="K11" s="177"/>
      <c r="L11" s="176"/>
      <c r="M11" s="132" t="s">
        <v>301</v>
      </c>
      <c r="N11" s="125" t="s">
        <v>73</v>
      </c>
      <c r="O11" s="132"/>
      <c r="P11" s="126"/>
      <c r="Q11" s="107" t="s">
        <v>77</v>
      </c>
      <c r="R11" s="176" t="s">
        <v>301</v>
      </c>
      <c r="S11" s="84" t="s">
        <v>73</v>
      </c>
      <c r="T11" s="86"/>
      <c r="U11" s="59" t="s">
        <v>76</v>
      </c>
      <c r="V11" s="176" t="s">
        <v>301</v>
      </c>
      <c r="W11" s="84" t="s">
        <v>73</v>
      </c>
      <c r="X11" s="176"/>
      <c r="Y11" s="176" t="s">
        <v>76</v>
      </c>
      <c r="Z11" s="176" t="s">
        <v>301</v>
      </c>
      <c r="AA11" s="17" t="s">
        <v>73</v>
      </c>
      <c r="AB11" s="176" t="s">
        <v>78</v>
      </c>
      <c r="AC11" s="176" t="s">
        <v>74</v>
      </c>
      <c r="AD11" s="60" t="s">
        <v>77</v>
      </c>
      <c r="AE11" s="823" t="s">
        <v>301</v>
      </c>
      <c r="AF11" s="824" t="s">
        <v>73</v>
      </c>
      <c r="AG11" s="823" t="s">
        <v>78</v>
      </c>
      <c r="AH11" s="823" t="s">
        <v>131</v>
      </c>
      <c r="AI11" s="825" t="s">
        <v>77</v>
      </c>
      <c r="AJ11" s="176" t="s">
        <v>301</v>
      </c>
      <c r="AK11" s="177" t="s">
        <v>73</v>
      </c>
      <c r="AL11" s="176" t="s">
        <v>78</v>
      </c>
      <c r="AM11" s="176" t="s">
        <v>74</v>
      </c>
      <c r="AN11" s="16" t="s">
        <v>77</v>
      </c>
      <c r="AO11" s="176" t="s">
        <v>301</v>
      </c>
      <c r="AP11" s="176" t="s">
        <v>79</v>
      </c>
      <c r="AQ11" s="176" t="s">
        <v>289</v>
      </c>
      <c r="AR11" s="176" t="s">
        <v>80</v>
      </c>
      <c r="AS11" s="176" t="s">
        <v>81</v>
      </c>
      <c r="AT11" s="176" t="s">
        <v>80</v>
      </c>
      <c r="AU11" s="176" t="s">
        <v>82</v>
      </c>
      <c r="AV11" s="176" t="s">
        <v>80</v>
      </c>
      <c r="AW11" s="176" t="s">
        <v>83</v>
      </c>
      <c r="AX11" s="176" t="s">
        <v>301</v>
      </c>
      <c r="AY11" s="84" t="s">
        <v>73</v>
      </c>
      <c r="AZ11" s="44" t="s">
        <v>300</v>
      </c>
      <c r="BA11" s="440" t="s">
        <v>74</v>
      </c>
      <c r="BB11" s="16" t="s">
        <v>77</v>
      </c>
      <c r="BC11" s="207" t="s">
        <v>301</v>
      </c>
      <c r="BD11" s="207" t="s">
        <v>73</v>
      </c>
      <c r="BE11" s="206" t="s">
        <v>78</v>
      </c>
      <c r="BF11" s="206" t="s">
        <v>74</v>
      </c>
      <c r="BG11" s="206" t="s">
        <v>77</v>
      </c>
      <c r="BH11" s="16" t="s">
        <v>301</v>
      </c>
      <c r="BI11" s="17" t="s">
        <v>73</v>
      </c>
      <c r="BJ11" s="176"/>
      <c r="BK11" s="18" t="s">
        <v>76</v>
      </c>
      <c r="BL11" s="176" t="s">
        <v>301</v>
      </c>
      <c r="BM11" s="17" t="s">
        <v>73</v>
      </c>
      <c r="BN11" s="84"/>
      <c r="BO11" s="18" t="s">
        <v>76</v>
      </c>
      <c r="BP11" s="16" t="s">
        <v>301</v>
      </c>
      <c r="BQ11" s="177" t="s">
        <v>73</v>
      </c>
      <c r="BR11" s="177"/>
      <c r="BS11" s="176" t="s">
        <v>76</v>
      </c>
      <c r="BT11" s="176" t="s">
        <v>301</v>
      </c>
      <c r="BU11" s="17" t="s">
        <v>73</v>
      </c>
      <c r="BV11" s="16" t="s">
        <v>300</v>
      </c>
      <c r="BW11" s="16" t="s">
        <v>297</v>
      </c>
      <c r="BX11" s="16" t="s">
        <v>77</v>
      </c>
      <c r="BY11" s="176" t="s">
        <v>301</v>
      </c>
      <c r="BZ11" s="17" t="s">
        <v>73</v>
      </c>
      <c r="CA11" s="16" t="s">
        <v>300</v>
      </c>
      <c r="CB11" s="16" t="s">
        <v>74</v>
      </c>
      <c r="CC11" s="16" t="s">
        <v>77</v>
      </c>
      <c r="CD11" s="16" t="s">
        <v>301</v>
      </c>
      <c r="CE11" s="177" t="s">
        <v>73</v>
      </c>
      <c r="CF11" s="176" t="s">
        <v>78</v>
      </c>
      <c r="CG11" s="176" t="s">
        <v>85</v>
      </c>
      <c r="CH11" s="176" t="s">
        <v>77</v>
      </c>
      <c r="CI11" s="176" t="s">
        <v>301</v>
      </c>
      <c r="CJ11" s="177" t="s">
        <v>73</v>
      </c>
      <c r="CK11" s="176"/>
      <c r="CL11" s="176"/>
      <c r="CM11" s="45" t="s">
        <v>76</v>
      </c>
      <c r="CN11" s="176" t="s">
        <v>301</v>
      </c>
      <c r="CO11" s="177" t="s">
        <v>73</v>
      </c>
      <c r="CP11" s="177"/>
      <c r="CQ11" s="176"/>
      <c r="CR11" s="45" t="s">
        <v>76</v>
      </c>
      <c r="CS11" s="176" t="s">
        <v>301</v>
      </c>
      <c r="CT11" s="177" t="s">
        <v>73</v>
      </c>
      <c r="CU11" s="177"/>
      <c r="CV11" s="176"/>
      <c r="CW11" s="45" t="s">
        <v>76</v>
      </c>
      <c r="CX11" s="207" t="s">
        <v>301</v>
      </c>
      <c r="CY11" s="207" t="s">
        <v>73</v>
      </c>
      <c r="CZ11" s="206" t="s">
        <v>78</v>
      </c>
      <c r="DA11" s="206" t="s">
        <v>74</v>
      </c>
      <c r="DB11" s="206" t="s">
        <v>77</v>
      </c>
      <c r="DC11" s="207" t="s">
        <v>301</v>
      </c>
      <c r="DD11" s="207" t="s">
        <v>73</v>
      </c>
      <c r="DE11" s="207" t="s">
        <v>78</v>
      </c>
      <c r="DF11" s="207" t="s">
        <v>74</v>
      </c>
      <c r="DG11" s="206" t="s">
        <v>77</v>
      </c>
      <c r="DH11" s="452" t="s">
        <v>301</v>
      </c>
      <c r="DI11" s="453" t="s">
        <v>73</v>
      </c>
      <c r="DJ11" s="454" t="s">
        <v>78</v>
      </c>
      <c r="DK11" s="455" t="s">
        <v>74</v>
      </c>
      <c r="DL11" s="455" t="s">
        <v>77</v>
      </c>
      <c r="DM11" s="452" t="s">
        <v>301</v>
      </c>
      <c r="DN11" s="453" t="s">
        <v>73</v>
      </c>
      <c r="DP11" s="455" t="s">
        <v>77</v>
      </c>
    </row>
    <row r="12" spans="1:120" ht="15">
      <c r="A12" s="253">
        <v>1</v>
      </c>
      <c r="B12" s="251"/>
      <c r="C12" s="251"/>
      <c r="D12" s="260"/>
      <c r="E12" s="260"/>
      <c r="F12" s="142"/>
      <c r="G12" s="67" t="s">
        <v>129</v>
      </c>
      <c r="H12" s="255"/>
      <c r="I12" s="255"/>
      <c r="J12" s="252"/>
      <c r="K12" s="28"/>
      <c r="L12" s="252"/>
      <c r="M12" s="12"/>
      <c r="N12" s="228"/>
      <c r="O12" s="228"/>
      <c r="P12" s="228"/>
      <c r="Q12" s="228"/>
      <c r="R12" s="12"/>
      <c r="S12" s="252"/>
      <c r="T12" s="64"/>
      <c r="U12" s="72"/>
      <c r="V12" s="12"/>
      <c r="W12" s="50"/>
      <c r="X12" s="349"/>
      <c r="Y12" s="40"/>
      <c r="Z12" s="12"/>
      <c r="AA12" s="255"/>
      <c r="AB12" s="20"/>
      <c r="AC12" s="20"/>
      <c r="AD12" s="20"/>
      <c r="AE12" s="826"/>
      <c r="AF12" s="20"/>
      <c r="AG12" s="20"/>
      <c r="AH12" s="20"/>
      <c r="AI12" s="20"/>
      <c r="AJ12" s="252"/>
      <c r="AK12" s="138"/>
      <c r="AL12" s="138"/>
      <c r="AM12" s="138"/>
      <c r="AN12" s="138"/>
      <c r="AO12" s="12"/>
      <c r="AP12" s="252"/>
      <c r="AQ12" s="252"/>
      <c r="AR12" s="252"/>
      <c r="AS12" s="252"/>
      <c r="AT12" s="252"/>
      <c r="AU12" s="252"/>
      <c r="AV12" s="252"/>
      <c r="AW12" s="252"/>
      <c r="AY12" s="252"/>
      <c r="AZ12" s="252"/>
      <c r="BA12" s="252"/>
      <c r="BB12" s="72"/>
      <c r="BC12" s="188"/>
      <c r="BD12" s="188"/>
      <c r="BE12" s="188"/>
      <c r="BF12" s="188"/>
      <c r="BG12" s="188"/>
      <c r="BN12" s="208"/>
      <c r="BO12" s="208"/>
      <c r="CD12" s="253"/>
      <c r="CE12" s="255"/>
      <c r="CI12" s="12"/>
      <c r="CJ12" s="12"/>
      <c r="CK12" s="12"/>
      <c r="CL12" s="12"/>
      <c r="CM12" s="12"/>
      <c r="CQ12" s="260"/>
      <c r="CR12" s="260"/>
      <c r="CV12" s="260"/>
      <c r="CW12" s="260"/>
      <c r="CX12" s="188"/>
      <c r="CZ12" s="188"/>
      <c r="DA12" s="188"/>
      <c r="DB12" s="188"/>
      <c r="DC12" s="188"/>
      <c r="DD12" s="188"/>
      <c r="DE12" s="188"/>
      <c r="DF12" s="188"/>
      <c r="DG12" s="188"/>
      <c r="DH12" s="388"/>
      <c r="DI12" s="388"/>
      <c r="DJ12" s="186"/>
      <c r="DK12" s="450"/>
      <c r="DL12" s="302"/>
      <c r="DM12" s="209">
        <v>1</v>
      </c>
      <c r="DN12" s="965" t="s">
        <v>1110</v>
      </c>
    </row>
    <row r="13" spans="1:120" ht="13.5">
      <c r="A13" s="9">
        <f t="shared" ref="A13:A44" si="0">+A12+1</f>
        <v>2</v>
      </c>
      <c r="C13" s="252"/>
      <c r="D13" s="252"/>
      <c r="E13" s="252"/>
      <c r="F13" s="253">
        <v>1</v>
      </c>
      <c r="G13" s="252"/>
      <c r="H13" s="29" t="s">
        <v>300</v>
      </c>
      <c r="I13" s="260" t="s">
        <v>102</v>
      </c>
      <c r="J13" s="30" t="s">
        <v>103</v>
      </c>
      <c r="K13" s="253"/>
      <c r="L13" s="252"/>
      <c r="M13" s="253">
        <v>1</v>
      </c>
      <c r="N13" s="145" t="s">
        <v>239</v>
      </c>
      <c r="O13" s="127"/>
      <c r="P13" s="127"/>
      <c r="Q13" s="264"/>
      <c r="R13" s="253">
        <v>1</v>
      </c>
      <c r="S13" s="64" t="s">
        <v>524</v>
      </c>
      <c r="T13" s="143"/>
      <c r="U13" s="195">
        <f>'[14]Lead E'!$D$12</f>
        <v>413817759.0187788</v>
      </c>
      <c r="V13" s="253">
        <v>1</v>
      </c>
      <c r="W13" s="50" t="s">
        <v>107</v>
      </c>
      <c r="X13" s="1244">
        <f>+'MCC-2 page 1-6'!AW51</f>
        <v>5075734044.5515747</v>
      </c>
      <c r="Y13" s="40" t="s">
        <v>253</v>
      </c>
      <c r="Z13" s="253">
        <v>1</v>
      </c>
      <c r="AA13" s="209" t="s">
        <v>509</v>
      </c>
      <c r="AB13" s="101">
        <f>+'[15]Lead E'!C12</f>
        <v>249419038.22</v>
      </c>
      <c r="AC13" s="1197">
        <f>'[16]Dep Summary'!$D$12</f>
        <v>286357197.59971225</v>
      </c>
      <c r="AD13" s="1197">
        <f>AC13-AB13</f>
        <v>36938159.379712254</v>
      </c>
      <c r="AE13" s="253">
        <v>1</v>
      </c>
      <c r="AF13" s="361" t="s">
        <v>1008</v>
      </c>
      <c r="AG13" s="362"/>
      <c r="AH13" s="362"/>
      <c r="AI13" s="362"/>
      <c r="AJ13" s="253">
        <v>1</v>
      </c>
      <c r="AK13" s="199" t="s">
        <v>163</v>
      </c>
      <c r="AL13" s="181">
        <f>'[17]Lead E'!C13</f>
        <v>162500</v>
      </c>
      <c r="AM13" s="181">
        <f>'[17]Lead E'!D13</f>
        <v>76666.666666666672</v>
      </c>
      <c r="AN13" s="181">
        <f>AM13-AL13</f>
        <v>-85833.333333333328</v>
      </c>
      <c r="AO13" s="253">
        <v>1</v>
      </c>
      <c r="AP13" s="252" t="s">
        <v>235</v>
      </c>
      <c r="AQ13" s="253" t="s">
        <v>661</v>
      </c>
      <c r="AR13" s="253" t="s">
        <v>341</v>
      </c>
      <c r="AS13" s="253" t="s">
        <v>341</v>
      </c>
      <c r="AT13" s="253" t="s">
        <v>341</v>
      </c>
      <c r="AU13" s="253" t="s">
        <v>341</v>
      </c>
      <c r="AV13" s="253" t="s">
        <v>341</v>
      </c>
      <c r="AW13" s="252"/>
      <c r="AX13" s="253">
        <v>1</v>
      </c>
      <c r="AY13" s="209" t="s">
        <v>502</v>
      </c>
      <c r="AZ13" s="199"/>
      <c r="BA13" s="199"/>
      <c r="BB13" s="199"/>
      <c r="BC13" s="209">
        <v>1</v>
      </c>
      <c r="BD13" s="209" t="s">
        <v>172</v>
      </c>
      <c r="BE13" s="444">
        <f>'[18]Lead E'!$C$12</f>
        <v>117054.47314375022</v>
      </c>
      <c r="BF13" s="444">
        <f>'[18]Lead E'!$D$12</f>
        <v>92221.976429313785</v>
      </c>
      <c r="BG13" s="444">
        <f>+BF13-BE13</f>
        <v>-24832.496714436435</v>
      </c>
      <c r="BH13" s="9" t="s">
        <v>100</v>
      </c>
      <c r="BI13" s="251" t="s">
        <v>283</v>
      </c>
      <c r="BJ13" s="251"/>
      <c r="BK13" s="695">
        <f>'[19]Lead E'!$D$14</f>
        <v>176605.63064400846</v>
      </c>
      <c r="BL13" s="253">
        <v>1</v>
      </c>
      <c r="BM13" s="255" t="s">
        <v>56</v>
      </c>
      <c r="BN13" s="205"/>
      <c r="BO13" s="200"/>
      <c r="BP13" s="9" t="s">
        <v>100</v>
      </c>
      <c r="BQ13" s="388" t="s">
        <v>820</v>
      </c>
      <c r="BR13" s="388"/>
      <c r="BS13" s="227">
        <f>'[20]Lead E'!$C$14</f>
        <v>1736007.1099999975</v>
      </c>
      <c r="BT13" s="253">
        <v>1</v>
      </c>
      <c r="BU13" s="252" t="s">
        <v>317</v>
      </c>
      <c r="BV13" s="195">
        <f>'[21]Lead E'!C11</f>
        <v>4178643.7106927508</v>
      </c>
      <c r="BW13" s="195">
        <f>'[21]Lead E'!D11</f>
        <v>4124900.4153809994</v>
      </c>
      <c r="BX13" s="195">
        <f>+BW13-BV13</f>
        <v>-53743.29531175131</v>
      </c>
      <c r="BY13" s="253">
        <v>1</v>
      </c>
      <c r="BZ13" s="252" t="s">
        <v>35</v>
      </c>
      <c r="CA13" s="534">
        <f>'[22]Lead E'!C14</f>
        <v>6111576.3846948147</v>
      </c>
      <c r="CB13" s="534">
        <f>'[22]Lead E'!D14</f>
        <v>7934569.3772687921</v>
      </c>
      <c r="CC13" s="534">
        <f>+CB13-CA13</f>
        <v>1822992.9925739774</v>
      </c>
      <c r="CD13" s="253">
        <v>1</v>
      </c>
      <c r="CE13" s="252" t="s">
        <v>113</v>
      </c>
      <c r="CF13" s="213"/>
      <c r="CG13" s="213"/>
      <c r="CH13" s="213"/>
      <c r="CI13" s="253">
        <v>1</v>
      </c>
      <c r="CJ13" s="591" t="s">
        <v>534</v>
      </c>
      <c r="CM13" s="73"/>
      <c r="CN13" s="253">
        <v>1</v>
      </c>
      <c r="CO13" s="88" t="s">
        <v>112</v>
      </c>
      <c r="CQ13" s="32"/>
      <c r="CR13" s="32"/>
      <c r="CS13" s="253">
        <v>1</v>
      </c>
      <c r="CT13" s="537" t="s">
        <v>493</v>
      </c>
      <c r="CV13" s="32"/>
      <c r="CW13" s="32"/>
      <c r="CX13" s="209">
        <v>1</v>
      </c>
      <c r="CY13" s="393" t="s">
        <v>745</v>
      </c>
      <c r="CZ13" s="172"/>
      <c r="DA13" s="172"/>
      <c r="DB13" s="172"/>
      <c r="DC13" s="209">
        <v>1</v>
      </c>
      <c r="DD13" s="394" t="s">
        <v>658</v>
      </c>
      <c r="DE13" s="172"/>
      <c r="DF13" s="172"/>
      <c r="DG13" s="172"/>
      <c r="DH13" s="209">
        <v>1</v>
      </c>
      <c r="DI13" s="456" t="s">
        <v>751</v>
      </c>
      <c r="DJ13" s="473">
        <f>+'[23]Lead E'!C12</f>
        <v>84291892.014198005</v>
      </c>
      <c r="DK13" s="473">
        <f>+'[23]Lead E'!D12</f>
        <v>84328016.972460017</v>
      </c>
      <c r="DL13" s="448">
        <f>DK13-DJ13</f>
        <v>36124.958262011409</v>
      </c>
      <c r="DM13" s="209">
        <v>2</v>
      </c>
      <c r="DN13" s="966"/>
    </row>
    <row r="14" spans="1:120" ht="16.899999999999999" customHeight="1">
      <c r="A14" s="9">
        <f t="shared" si="0"/>
        <v>3</v>
      </c>
      <c r="B14" s="244" t="s">
        <v>262</v>
      </c>
      <c r="C14" s="252"/>
      <c r="D14" s="252"/>
      <c r="E14" s="252"/>
      <c r="F14" s="9">
        <f t="shared" ref="F14:F53" si="1">+F13+1</f>
        <v>2</v>
      </c>
      <c r="G14" s="252"/>
      <c r="H14" s="31" t="s">
        <v>491</v>
      </c>
      <c r="I14" s="31" t="s">
        <v>491</v>
      </c>
      <c r="J14" s="33" t="s">
        <v>105</v>
      </c>
      <c r="K14" s="533"/>
      <c r="L14" s="252"/>
      <c r="M14" s="253">
        <f t="shared" ref="M14:M50" si="2">M13+1</f>
        <v>2</v>
      </c>
      <c r="N14" s="241" t="s">
        <v>203</v>
      </c>
      <c r="O14" s="127"/>
      <c r="P14" s="186" t="s">
        <v>253</v>
      </c>
      <c r="Q14" s="474">
        <f>'[24]Lead E'!$E$11</f>
        <v>102287066.92</v>
      </c>
      <c r="R14" s="253">
        <f t="shared" ref="R14:R32" si="3">R13+1</f>
        <v>2</v>
      </c>
      <c r="S14" s="255"/>
      <c r="T14" s="255"/>
      <c r="U14" s="167"/>
      <c r="V14" s="253">
        <f t="shared" ref="V14:V23" si="4">V13+1</f>
        <v>2</v>
      </c>
      <c r="W14" s="50" t="s">
        <v>253</v>
      </c>
      <c r="X14" s="96" t="s">
        <v>253</v>
      </c>
      <c r="Y14" s="198"/>
      <c r="Z14" s="253">
        <f t="shared" ref="Z14:Z42" si="5">Z13+1</f>
        <v>2</v>
      </c>
      <c r="AA14" s="255" t="s">
        <v>510</v>
      </c>
      <c r="AB14" s="326">
        <f>+'[15]Lead E'!C13</f>
        <v>15207047.519823998</v>
      </c>
      <c r="AC14" s="326">
        <f>'[16]Dep Summary'!$D$13</f>
        <v>13232378.856776908</v>
      </c>
      <c r="AD14" s="102">
        <f>+AC14-AB14</f>
        <v>-1974668.6630470902</v>
      </c>
      <c r="AE14" s="253">
        <f t="shared" ref="AE14:AE29" si="6">AE13+1</f>
        <v>2</v>
      </c>
      <c r="AF14" s="361" t="s">
        <v>620</v>
      </c>
      <c r="AG14" s="363"/>
      <c r="AH14" s="363"/>
      <c r="AI14" s="363"/>
      <c r="AJ14" s="253">
        <v>2</v>
      </c>
      <c r="AK14" s="200" t="s">
        <v>164</v>
      </c>
      <c r="AL14" s="445">
        <f>'[17]Lead E'!C14</f>
        <v>300359.45390300005</v>
      </c>
      <c r="AM14" s="445">
        <f>'[17]Lead E'!D14</f>
        <v>279442.50856566668</v>
      </c>
      <c r="AN14" s="445">
        <f>AM14-AL14</f>
        <v>-20916.945337333367</v>
      </c>
      <c r="AO14" s="253">
        <f t="shared" ref="AO14:AO22" si="7">AO13+1</f>
        <v>2</v>
      </c>
      <c r="AP14" s="233" t="str">
        <f>'[25]Lead E'!B14</f>
        <v>12 ME 9/30/2013 AND 5/31/2013</v>
      </c>
      <c r="AQ14" s="198">
        <f>'[25]Lead E'!C14</f>
        <v>13270215.639999984</v>
      </c>
      <c r="AR14" s="198">
        <f>'[25]Lead E'!D14</f>
        <v>2127321374.8900001</v>
      </c>
      <c r="AS14" s="198">
        <f>'[25]Lead E'!E14</f>
        <v>29723813.52</v>
      </c>
      <c r="AT14" s="198">
        <f>'[25]Lead E'!F14</f>
        <v>3626759.2399999974</v>
      </c>
      <c r="AU14" s="198">
        <f>'[25]Lead E'!G14</f>
        <v>352508.76</v>
      </c>
      <c r="AV14" s="149">
        <f>AR14-AS14-AT14-AU14</f>
        <v>2093618293.3700001</v>
      </c>
      <c r="AW14" s="161">
        <f>ROUND(AQ14/AV14,6)</f>
        <v>6.3379999999999999E-3</v>
      </c>
      <c r="AX14" s="253">
        <f t="shared" ref="AX14:AX30" si="8">AX13+1</f>
        <v>2</v>
      </c>
      <c r="AY14" s="255" t="s">
        <v>602</v>
      </c>
      <c r="AZ14" s="199">
        <f>+'[26]Lead E'!C13</f>
        <v>330277.21861834492</v>
      </c>
      <c r="BA14" s="147">
        <f>+'[26]Lead E'!D13</f>
        <v>340657.03287060215</v>
      </c>
      <c r="BB14" s="696">
        <f>+BA14-AZ14</f>
        <v>10379.814252257231</v>
      </c>
      <c r="BC14" s="209">
        <v>2</v>
      </c>
      <c r="BD14" s="209"/>
      <c r="BE14" s="327"/>
      <c r="BF14" s="327"/>
      <c r="BG14" s="327"/>
      <c r="BH14" s="9">
        <f>BH13+1</f>
        <v>2</v>
      </c>
      <c r="BK14" s="199"/>
      <c r="BL14" s="253">
        <f t="shared" ref="BL14:BL31" si="9">+BL13+1</f>
        <v>2</v>
      </c>
      <c r="BM14" s="255"/>
      <c r="BN14" s="205"/>
      <c r="BO14" s="200"/>
      <c r="BP14" s="9">
        <f t="shared" ref="BP14:BP31" si="10">1+BP13</f>
        <v>2</v>
      </c>
      <c r="BQ14" s="388" t="s">
        <v>821</v>
      </c>
      <c r="BR14" s="388"/>
      <c r="BS14" s="200">
        <f>'[20]Lead E'!$C$15</f>
        <v>-353278.49999999959</v>
      </c>
      <c r="BT14" s="253">
        <f t="shared" ref="BT14:BT20" si="11">BT13+1</f>
        <v>2</v>
      </c>
      <c r="BU14" s="252" t="s">
        <v>318</v>
      </c>
      <c r="BV14" s="200">
        <f>'[21]Lead E'!C12</f>
        <v>2006229.4154838233</v>
      </c>
      <c r="BW14" s="200">
        <f>'[21]Lead E'!D12</f>
        <v>1958207.9099557111</v>
      </c>
      <c r="BX14" s="200">
        <f>+BW14-BV14</f>
        <v>-48021.505528112175</v>
      </c>
      <c r="BY14" s="253">
        <f>BY13+1</f>
        <v>2</v>
      </c>
      <c r="CA14" s="226"/>
      <c r="CB14" s="226"/>
      <c r="CC14" s="226"/>
      <c r="CD14" s="253">
        <v>2</v>
      </c>
      <c r="CE14" s="439" t="s">
        <v>728</v>
      </c>
      <c r="CF14" s="195">
        <f>'[27]Lead E'!E14</f>
        <v>4380759.8377278037</v>
      </c>
      <c r="CG14" s="641">
        <f>'[27]Lead E'!F14</f>
        <v>4511306.4808920929</v>
      </c>
      <c r="CH14" s="641">
        <f>+CG14-CF14</f>
        <v>130546.64316428918</v>
      </c>
      <c r="CI14" s="253">
        <f t="shared" ref="CI14:CI35" si="12">CI13+1</f>
        <v>2</v>
      </c>
      <c r="CJ14" s="242" t="s">
        <v>117</v>
      </c>
      <c r="CK14" s="121"/>
      <c r="CL14" s="588">
        <f>'[28]Lead E'!D13</f>
        <v>7483207.9381920006</v>
      </c>
      <c r="CM14" s="213"/>
      <c r="CN14" s="253">
        <v>2</v>
      </c>
      <c r="CO14" s="255" t="s">
        <v>750</v>
      </c>
      <c r="CP14" s="255"/>
      <c r="CQ14" s="167"/>
      <c r="CR14" s="198">
        <f>'[29]Lead E'!D13</f>
        <v>15271331.540317921</v>
      </c>
      <c r="CS14" s="253">
        <f>CS13+1</f>
        <v>2</v>
      </c>
      <c r="CT14" s="318"/>
      <c r="CU14" s="255"/>
      <c r="CV14" s="167"/>
      <c r="CW14" s="198"/>
      <c r="CX14" s="209">
        <v>2</v>
      </c>
      <c r="CY14" s="209" t="s">
        <v>746</v>
      </c>
      <c r="CZ14" s="592">
        <f>'[30]Lead E'!$C$12</f>
        <v>1047962.0507459998</v>
      </c>
      <c r="DA14" s="592">
        <f>'[30]Lead E'!$D$12</f>
        <v>835892.12481449998</v>
      </c>
      <c r="DB14" s="444">
        <f>+DA14-CZ14</f>
        <v>-212069.92593149981</v>
      </c>
      <c r="DC14" s="209">
        <v>2</v>
      </c>
      <c r="DD14" s="393" t="s">
        <v>620</v>
      </c>
      <c r="DE14" s="327"/>
      <c r="DF14" s="327"/>
      <c r="DG14" s="327"/>
      <c r="DH14" s="209">
        <v>2</v>
      </c>
      <c r="DI14" s="87" t="s">
        <v>752</v>
      </c>
      <c r="DJ14" s="208">
        <f>+'[23]Lead E'!C13</f>
        <v>4386765.2</v>
      </c>
      <c r="DK14" s="208">
        <f>+'[23]Lead E'!D13</f>
        <v>4334851.9246400008</v>
      </c>
      <c r="DL14" s="321">
        <f>DK14-DJ14</f>
        <v>-51913.275359999388</v>
      </c>
      <c r="DM14" s="209">
        <v>3</v>
      </c>
      <c r="DN14" s="967" t="s">
        <v>1111</v>
      </c>
      <c r="DP14" s="234">
        <f>'[31]Summary E'!$D$19</f>
        <v>-485780</v>
      </c>
    </row>
    <row r="15" spans="1:120" ht="18" customHeight="1" thickBot="1">
      <c r="A15" s="9">
        <f t="shared" si="0"/>
        <v>4</v>
      </c>
      <c r="B15" s="201" t="s">
        <v>558</v>
      </c>
      <c r="C15" s="252"/>
      <c r="D15" s="198">
        <f>'[32]Lead E'!$D$15</f>
        <v>6318302.8499999996</v>
      </c>
      <c r="E15" s="159"/>
      <c r="F15" s="9">
        <f t="shared" si="1"/>
        <v>3</v>
      </c>
      <c r="G15" s="532">
        <v>42278</v>
      </c>
      <c r="H15" s="196">
        <f>'[33]Lead E'!$C$12</f>
        <v>1709553137</v>
      </c>
      <c r="I15" s="196">
        <f>'[34]Weather Norm. Summary'!D14</f>
        <v>1773384763.7096453</v>
      </c>
      <c r="J15" s="28">
        <f t="shared" ref="J15:J26" si="13">+I15-H15</f>
        <v>63831626.709645271</v>
      </c>
      <c r="K15" s="28"/>
      <c r="L15" s="252"/>
      <c r="M15" s="253">
        <f t="shared" si="2"/>
        <v>3</v>
      </c>
      <c r="N15" s="242" t="s">
        <v>370</v>
      </c>
      <c r="O15" s="121"/>
      <c r="P15" s="186" t="s">
        <v>253</v>
      </c>
      <c r="Q15" s="264">
        <f>'[24]Lead E'!$E$12</f>
        <v>58785500.5</v>
      </c>
      <c r="R15" s="253">
        <f t="shared" si="3"/>
        <v>3</v>
      </c>
      <c r="S15" s="34" t="s">
        <v>180</v>
      </c>
      <c r="T15" s="10">
        <v>0.35</v>
      </c>
      <c r="U15" s="429">
        <f>U13*T15</f>
        <v>144836215.65657258</v>
      </c>
      <c r="V15" s="253">
        <f t="shared" si="4"/>
        <v>3</v>
      </c>
      <c r="W15" s="388" t="s">
        <v>322</v>
      </c>
      <c r="X15" s="1245">
        <f>SUM(X13:X14)</f>
        <v>5075734044.5515747</v>
      </c>
      <c r="Y15" s="198"/>
      <c r="Z15" s="253">
        <f t="shared" si="5"/>
        <v>3</v>
      </c>
      <c r="AA15" s="255" t="s">
        <v>511</v>
      </c>
      <c r="AB15" s="326">
        <f>'[15]Lead E'!C14</f>
        <v>55937.910695999999</v>
      </c>
      <c r="AC15" s="326">
        <f>'[16]Dep Summary'!$D$14</f>
        <v>55937.910695999999</v>
      </c>
      <c r="AD15" s="102">
        <f>+AC15-AB15</f>
        <v>0</v>
      </c>
      <c r="AE15" s="253">
        <f t="shared" si="6"/>
        <v>3</v>
      </c>
      <c r="AF15" s="364" t="s">
        <v>133</v>
      </c>
      <c r="AG15" s="365">
        <v>0</v>
      </c>
      <c r="AH15" s="365">
        <v>0</v>
      </c>
      <c r="AI15" s="366">
        <f>AH15-AG15</f>
        <v>0</v>
      </c>
      <c r="AJ15" s="253">
        <v>3</v>
      </c>
      <c r="AK15" s="200" t="s">
        <v>165</v>
      </c>
      <c r="AL15" s="186">
        <f>SUM(AL13:AL14)</f>
        <v>462859.45390300005</v>
      </c>
      <c r="AM15" s="186">
        <f>SUM(AM13:AM14)</f>
        <v>356109.17523233336</v>
      </c>
      <c r="AN15" s="186">
        <f>SUM(AN13:AN14)</f>
        <v>-106750.2786706667</v>
      </c>
      <c r="AO15" s="253">
        <f t="shared" si="7"/>
        <v>3</v>
      </c>
      <c r="AP15" s="233" t="str">
        <f>'[25]Lead E'!B15</f>
        <v>12 ME 9/30/2015 AND 5/31/2015</v>
      </c>
      <c r="AQ15" s="208">
        <f>'[25]Lead E'!C15</f>
        <v>13381338.190000001</v>
      </c>
      <c r="AR15" s="208">
        <f>'[25]Lead E'!D15</f>
        <v>2006366630.26</v>
      </c>
      <c r="AS15" s="208">
        <f>'[25]Lead E'!E15</f>
        <v>33059229.91</v>
      </c>
      <c r="AT15" s="208">
        <f>'[25]Lead E'!F15</f>
        <v>65827878.809999995</v>
      </c>
      <c r="AU15" s="208">
        <f>'[25]Lead E'!G15</f>
        <v>321888.03000000003</v>
      </c>
      <c r="AV15" s="208">
        <f>AR15-AS15-AT15-AU15</f>
        <v>1907157633.51</v>
      </c>
      <c r="AW15" s="161">
        <f>ROUND(AQ15/AV15,6)</f>
        <v>7.0159999999999997E-3</v>
      </c>
      <c r="AX15" s="253">
        <f t="shared" si="8"/>
        <v>3</v>
      </c>
      <c r="AY15" s="255" t="s">
        <v>601</v>
      </c>
      <c r="AZ15" s="208">
        <f>+'[26]Lead E'!C14</f>
        <v>1539502.5690667895</v>
      </c>
      <c r="BA15" s="698">
        <f>+'[26]Lead E'!D14</f>
        <v>1565461.22893321</v>
      </c>
      <c r="BB15" s="698">
        <f t="shared" ref="BB15:BB21" si="14">+BA15-AZ15</f>
        <v>25958.659866420552</v>
      </c>
      <c r="BC15" s="209">
        <v>3</v>
      </c>
      <c r="BD15" s="209" t="s">
        <v>10</v>
      </c>
      <c r="BE15" s="327"/>
      <c r="BF15" s="327"/>
      <c r="BG15" s="327">
        <f>BG13</f>
        <v>-24832.496714436435</v>
      </c>
      <c r="BH15" s="9">
        <f>BH14+1</f>
        <v>3</v>
      </c>
      <c r="BI15" s="252" t="s">
        <v>109</v>
      </c>
      <c r="BK15" s="699">
        <f>-BK13</f>
        <v>-176605.63064400846</v>
      </c>
      <c r="BL15" s="253">
        <f t="shared" si="9"/>
        <v>3</v>
      </c>
      <c r="BM15" s="255" t="s">
        <v>819</v>
      </c>
      <c r="BN15" s="383">
        <v>0</v>
      </c>
      <c r="BO15" s="193"/>
      <c r="BP15" s="9">
        <f t="shared" si="10"/>
        <v>3</v>
      </c>
      <c r="BQ15" s="388" t="s">
        <v>822</v>
      </c>
      <c r="BS15" s="479">
        <f>SUM(BS13:BS14)</f>
        <v>1382728.609999998</v>
      </c>
      <c r="BT15" s="253">
        <f t="shared" si="11"/>
        <v>3</v>
      </c>
      <c r="BU15" s="255" t="s">
        <v>319</v>
      </c>
      <c r="BV15" s="479">
        <f>SUM(BV13:BV14)</f>
        <v>6184873.1261765743</v>
      </c>
      <c r="BW15" s="479">
        <f>SUM(BW13:BW14)</f>
        <v>6083108.3253367105</v>
      </c>
      <c r="BX15" s="479">
        <f>SUM(BX13:BX14)</f>
        <v>-101764.80083986348</v>
      </c>
      <c r="BY15" s="253">
        <f>BY14+1</f>
        <v>3</v>
      </c>
      <c r="BZ15" s="255" t="s">
        <v>319</v>
      </c>
      <c r="CA15" s="200">
        <f>SUM(CA13:CA14)</f>
        <v>6111576.3846948147</v>
      </c>
      <c r="CB15" s="200">
        <f>SUM(CB13:CB14)</f>
        <v>7934569.3772687921</v>
      </c>
      <c r="CC15" s="200">
        <f>SUM(CC13:CC14)</f>
        <v>1822992.9925739774</v>
      </c>
      <c r="CD15" s="253">
        <v>3</v>
      </c>
      <c r="CE15" s="439" t="s">
        <v>729</v>
      </c>
      <c r="CF15" s="179">
        <f>'[27]Lead E'!E15</f>
        <v>20419279.131090328</v>
      </c>
      <c r="CG15" s="642">
        <f>'[27]Lead E'!F15</f>
        <v>20731146.497479629</v>
      </c>
      <c r="CH15" s="700">
        <f t="shared" ref="CH15:CH21" si="15">+CG15-CF15</f>
        <v>311867.36638930067</v>
      </c>
      <c r="CI15" s="253">
        <f t="shared" si="12"/>
        <v>3</v>
      </c>
      <c r="CJ15" s="388" t="s">
        <v>737</v>
      </c>
      <c r="CK15" s="701">
        <f>'[28]Lead E'!$C$14</f>
        <v>2.98E-2</v>
      </c>
      <c r="CL15" s="702">
        <f>'[28]Lead E'!$D$14</f>
        <v>222999.59655812162</v>
      </c>
      <c r="CM15" s="213"/>
      <c r="CN15" s="253">
        <v>3</v>
      </c>
      <c r="CO15" s="255" t="s">
        <v>26</v>
      </c>
      <c r="CP15" s="255"/>
      <c r="CQ15" s="167"/>
      <c r="CR15" s="382">
        <f>'[29]Lead E'!D14</f>
        <v>9200243.6631220803</v>
      </c>
      <c r="CS15" s="253">
        <f t="shared" ref="CS15:CS22" si="16">CS14+1</f>
        <v>3</v>
      </c>
      <c r="CT15" s="318" t="s">
        <v>827</v>
      </c>
      <c r="CU15" s="255"/>
      <c r="CV15" s="538">
        <f>'[35]Environ. Rem. Summary'!$C$19</f>
        <v>4252202.91</v>
      </c>
      <c r="CW15" s="200"/>
      <c r="CX15" s="209">
        <v>3</v>
      </c>
      <c r="CY15" s="209" t="s">
        <v>10</v>
      </c>
      <c r="CZ15" s="186">
        <f>SUM(CZ14)</f>
        <v>1047962.0507459998</v>
      </c>
      <c r="DA15" s="186">
        <f>SUM(DA14)</f>
        <v>835892.12481449998</v>
      </c>
      <c r="DB15" s="186">
        <f>SUM(DB14)</f>
        <v>-212069.92593149981</v>
      </c>
      <c r="DC15" s="209">
        <v>3</v>
      </c>
      <c r="DD15" s="364" t="s">
        <v>716</v>
      </c>
      <c r="DE15" s="473">
        <f>'[36]Lead E'!$D$16</f>
        <v>2565876.3629749999</v>
      </c>
      <c r="DF15" s="473">
        <f>'[36]Lead E'!$E$16</f>
        <v>20603887.664999999</v>
      </c>
      <c r="DG15" s="448">
        <f t="shared" ref="DG15:DG21" si="17">DF15-DE15</f>
        <v>18038011.302024998</v>
      </c>
      <c r="DH15" s="209">
        <v>3</v>
      </c>
      <c r="DI15" s="457" t="s">
        <v>753</v>
      </c>
      <c r="DJ15" s="464">
        <f>DJ13+DJ14</f>
        <v>88678657.214198008</v>
      </c>
      <c r="DK15" s="464">
        <f>DK13+DK14</f>
        <v>88662868.897100016</v>
      </c>
      <c r="DL15" s="464">
        <f>DL13+DL14</f>
        <v>-15788.31709798798</v>
      </c>
      <c r="DM15" s="209">
        <v>4</v>
      </c>
      <c r="DN15" s="967"/>
    </row>
    <row r="16" spans="1:120" ht="15.75" thickTop="1">
      <c r="A16" s="9">
        <f t="shared" si="0"/>
        <v>5</v>
      </c>
      <c r="B16" s="201" t="s">
        <v>559</v>
      </c>
      <c r="C16" s="252"/>
      <c r="D16" s="267">
        <f>'[32]Lead E'!$D$16</f>
        <v>54955983.910000004</v>
      </c>
      <c r="E16" s="159"/>
      <c r="F16" s="9">
        <f t="shared" si="1"/>
        <v>4</v>
      </c>
      <c r="G16" s="532">
        <v>42309</v>
      </c>
      <c r="H16" s="196">
        <f>'[33]Lead E'!$C$13</f>
        <v>2071074561</v>
      </c>
      <c r="I16" s="196">
        <f>'[34]Weather Norm. Summary'!D15</f>
        <v>2023200985.8890421</v>
      </c>
      <c r="J16" s="28">
        <f t="shared" si="13"/>
        <v>-47873575.110957861</v>
      </c>
      <c r="K16" s="28"/>
      <c r="L16" s="252"/>
      <c r="M16" s="253">
        <f t="shared" si="2"/>
        <v>4</v>
      </c>
      <c r="N16" s="241" t="s">
        <v>204</v>
      </c>
      <c r="O16" s="121"/>
      <c r="P16" s="186" t="s">
        <v>253</v>
      </c>
      <c r="Q16" s="264">
        <f>'[24]Lead E'!$E$13</f>
        <v>84690569.569999993</v>
      </c>
      <c r="R16" s="253">
        <f t="shared" si="3"/>
        <v>4</v>
      </c>
      <c r="S16" s="255" t="s">
        <v>525</v>
      </c>
      <c r="T16" s="252"/>
      <c r="U16" s="179">
        <f>U15</f>
        <v>144836215.65657258</v>
      </c>
      <c r="V16" s="253">
        <f t="shared" si="4"/>
        <v>4</v>
      </c>
      <c r="W16" s="388"/>
      <c r="X16" s="388"/>
      <c r="Y16" s="388"/>
      <c r="Z16" s="253">
        <f t="shared" si="5"/>
        <v>4</v>
      </c>
      <c r="AA16" s="255" t="s">
        <v>774</v>
      </c>
      <c r="AB16" s="326">
        <f>+'[15]Lead E'!C15</f>
        <v>29770695.186882004</v>
      </c>
      <c r="AC16" s="326">
        <f>'[16]Dep Summary'!$D$15</f>
        <v>29770695.186882004</v>
      </c>
      <c r="AD16" s="481">
        <f>+AC16-AB16</f>
        <v>0</v>
      </c>
      <c r="AE16" s="253">
        <f t="shared" si="6"/>
        <v>4</v>
      </c>
      <c r="AF16" s="364" t="s">
        <v>200</v>
      </c>
      <c r="AG16" s="200">
        <v>0</v>
      </c>
      <c r="AH16" s="200">
        <f>'[37]Colstrip Amort Summary'!$D$15</f>
        <v>-127629534.00980572</v>
      </c>
      <c r="AI16" s="200">
        <f>AH16-AG16</f>
        <v>-127629534.00980572</v>
      </c>
      <c r="AJ16" s="253">
        <v>4</v>
      </c>
      <c r="AK16" s="227"/>
      <c r="AL16" s="186"/>
      <c r="AM16" s="186"/>
      <c r="AN16" s="186"/>
      <c r="AO16" s="253">
        <f t="shared" si="7"/>
        <v>4</v>
      </c>
      <c r="AP16" s="233" t="str">
        <f>'[25]Lead E'!B16</f>
        <v>12 ME 9/30/2016 AND 5/31/2016</v>
      </c>
      <c r="AQ16" s="208">
        <f>'[25]Lead E'!C16</f>
        <v>17507852.960000001</v>
      </c>
      <c r="AR16" s="208">
        <f>'[25]Lead E'!D16</f>
        <v>2204873602.5399995</v>
      </c>
      <c r="AS16" s="208">
        <f>'[25]Lead E'!E16</f>
        <v>51568623.43</v>
      </c>
      <c r="AT16" s="208">
        <f>'[25]Lead E'!F16</f>
        <v>-4047083.2700000033</v>
      </c>
      <c r="AU16" s="208">
        <f>'[25]Lead E'!G16</f>
        <v>323282.82</v>
      </c>
      <c r="AV16" s="208">
        <f>AR16-AS16-AT16-AU16</f>
        <v>2157028779.5599995</v>
      </c>
      <c r="AW16" s="594">
        <f>ROUND(AQ16/AV16,6)</f>
        <v>8.1169999999999992E-3</v>
      </c>
      <c r="AX16" s="253">
        <f t="shared" si="8"/>
        <v>4</v>
      </c>
      <c r="AY16" s="209" t="s">
        <v>16</v>
      </c>
      <c r="AZ16" s="208">
        <f>+'[26]Lead E'!C15</f>
        <v>675496.77630054636</v>
      </c>
      <c r="BA16" s="698">
        <f>+'[26]Lead E'!D15</f>
        <v>692669.04950833111</v>
      </c>
      <c r="BB16" s="698">
        <f t="shared" si="14"/>
        <v>17172.273207784747</v>
      </c>
      <c r="BC16" s="209">
        <v>4</v>
      </c>
      <c r="BD16" s="209"/>
      <c r="BE16" s="186"/>
      <c r="BF16" s="186"/>
      <c r="BG16" s="186"/>
      <c r="BH16" s="9"/>
      <c r="BL16" s="253">
        <f t="shared" si="9"/>
        <v>4</v>
      </c>
      <c r="BM16" s="255"/>
      <c r="BN16" s="205"/>
      <c r="BO16" s="200"/>
      <c r="BP16" s="9">
        <f t="shared" si="10"/>
        <v>4</v>
      </c>
      <c r="BS16" s="208"/>
      <c r="BT16" s="253">
        <f t="shared" si="11"/>
        <v>4</v>
      </c>
      <c r="BU16" s="255"/>
      <c r="BX16" s="208"/>
      <c r="BY16" s="253">
        <f>BY15+1</f>
        <v>4</v>
      </c>
      <c r="BZ16" s="255"/>
      <c r="CC16" s="208"/>
      <c r="CD16" s="253">
        <v>4</v>
      </c>
      <c r="CE16" s="439" t="s">
        <v>16</v>
      </c>
      <c r="CF16" s="179">
        <f>'[27]Lead E'!E16</f>
        <v>8959227.0002665874</v>
      </c>
      <c r="CG16" s="642">
        <f>'[27]Lead E'!F16</f>
        <v>9172906.2088294737</v>
      </c>
      <c r="CH16" s="700">
        <f t="shared" si="15"/>
        <v>213679.20856288634</v>
      </c>
      <c r="CI16" s="253">
        <f t="shared" si="12"/>
        <v>4</v>
      </c>
      <c r="CJ16" s="109" t="s">
        <v>116</v>
      </c>
      <c r="CK16" s="121"/>
      <c r="CL16" s="121"/>
      <c r="CM16" s="703">
        <f>SUM(CL14:CL15)</f>
        <v>7706207.5347501226</v>
      </c>
      <c r="CN16" s="253">
        <v>4</v>
      </c>
      <c r="CO16" s="252" t="s">
        <v>226</v>
      </c>
      <c r="CQ16" s="167"/>
      <c r="CR16" s="479">
        <f>SUM(CR14:CR15)</f>
        <v>24471575.203440003</v>
      </c>
      <c r="CS16" s="253">
        <f t="shared" si="16"/>
        <v>4</v>
      </c>
      <c r="CT16" s="388" t="s">
        <v>494</v>
      </c>
      <c r="CV16" s="167"/>
      <c r="CW16" s="321">
        <f>CV15/5</f>
        <v>850440.58200000005</v>
      </c>
      <c r="CX16" s="209">
        <v>4</v>
      </c>
      <c r="CY16" s="209"/>
      <c r="CZ16" s="186"/>
      <c r="DA16" s="186"/>
      <c r="DB16" s="186"/>
      <c r="DC16" s="209">
        <v>4</v>
      </c>
      <c r="DD16" s="364" t="s">
        <v>689</v>
      </c>
      <c r="DE16" s="186">
        <f>'[36]Lead E'!$D$17</f>
        <v>2296590.5674166665</v>
      </c>
      <c r="DF16" s="186">
        <f>'[36]Lead E'!$E$17</f>
        <v>0</v>
      </c>
      <c r="DG16" s="186">
        <f t="shared" si="17"/>
        <v>-2296590.5674166665</v>
      </c>
      <c r="DH16" s="209">
        <v>4</v>
      </c>
      <c r="DI16" s="457"/>
      <c r="DJ16" s="186"/>
      <c r="DK16" s="458"/>
      <c r="DL16" s="458"/>
      <c r="DM16" s="209">
        <v>5</v>
      </c>
      <c r="DN16" s="320" t="s">
        <v>12</v>
      </c>
      <c r="DO16" s="969">
        <v>0.35</v>
      </c>
      <c r="DP16" s="234">
        <f>DP14*-DO16</f>
        <v>170023</v>
      </c>
    </row>
    <row r="17" spans="1:120" ht="15">
      <c r="A17" s="9">
        <f t="shared" si="0"/>
        <v>6</v>
      </c>
      <c r="B17" s="201" t="s">
        <v>560</v>
      </c>
      <c r="C17" s="252"/>
      <c r="D17" s="267">
        <f>'[32]Lead E'!$D$17</f>
        <v>29011926</v>
      </c>
      <c r="E17" s="159"/>
      <c r="F17" s="9">
        <f t="shared" si="1"/>
        <v>5</v>
      </c>
      <c r="G17" s="532">
        <v>42339</v>
      </c>
      <c r="H17" s="196">
        <f>'[33]Lead E'!$C$14</f>
        <v>2293718205</v>
      </c>
      <c r="I17" s="196">
        <f>'[34]Weather Norm. Summary'!D16</f>
        <v>2338333255.0581527</v>
      </c>
      <c r="J17" s="28">
        <f t="shared" si="13"/>
        <v>44615050.058152676</v>
      </c>
      <c r="K17" s="28"/>
      <c r="L17" s="252"/>
      <c r="M17" s="253">
        <f t="shared" si="2"/>
        <v>5</v>
      </c>
      <c r="N17" s="241" t="s">
        <v>565</v>
      </c>
      <c r="O17" s="121"/>
      <c r="P17" s="186"/>
      <c r="Q17" s="264">
        <f>'[24]Lead E'!$E$14</f>
        <v>13257.679999999998</v>
      </c>
      <c r="R17" s="253">
        <f t="shared" si="3"/>
        <v>5</v>
      </c>
      <c r="S17" s="255" t="s">
        <v>253</v>
      </c>
      <c r="T17" s="255"/>
      <c r="U17" s="138" t="s">
        <v>253</v>
      </c>
      <c r="V17" s="253">
        <f t="shared" si="4"/>
        <v>5</v>
      </c>
      <c r="W17" s="50" t="s">
        <v>817</v>
      </c>
      <c r="X17" s="595">
        <f>SUM('EXHIBIT MCC-3'!K13:K14)</f>
        <v>2.9500000000000002E-2</v>
      </c>
      <c r="Y17" s="13" t="s">
        <v>253</v>
      </c>
      <c r="Z17" s="253">
        <f t="shared" si="5"/>
        <v>5</v>
      </c>
      <c r="AA17" s="255" t="s">
        <v>512</v>
      </c>
      <c r="AB17" s="482">
        <f>SUM(AB13:AB16)</f>
        <v>294452718.83740199</v>
      </c>
      <c r="AC17" s="1198">
        <f>SUM(AC13:AC16)</f>
        <v>329416209.55406719</v>
      </c>
      <c r="AD17" s="1198">
        <f>SUM(AD13:AD16)</f>
        <v>34963490.716665164</v>
      </c>
      <c r="AE17" s="253">
        <f t="shared" si="6"/>
        <v>5</v>
      </c>
      <c r="AF17" s="368" t="s">
        <v>621</v>
      </c>
      <c r="AG17" s="200">
        <v>0</v>
      </c>
      <c r="AH17" s="200">
        <v>0</v>
      </c>
      <c r="AI17" s="200">
        <f>AH17-AG17</f>
        <v>0</v>
      </c>
      <c r="AJ17" s="253">
        <v>5</v>
      </c>
      <c r="AK17" s="704" t="s">
        <v>166</v>
      </c>
      <c r="AL17" s="186"/>
      <c r="AM17" s="186"/>
      <c r="AN17" s="186">
        <f>AN15</f>
        <v>-106750.2786706667</v>
      </c>
      <c r="AO17" s="253">
        <f t="shared" si="7"/>
        <v>5</v>
      </c>
      <c r="AP17" s="36" t="s">
        <v>168</v>
      </c>
      <c r="AQ17" s="389"/>
      <c r="AR17" s="389"/>
      <c r="AS17" s="389"/>
      <c r="AT17" s="389"/>
      <c r="AU17" s="389"/>
      <c r="AV17" s="229"/>
      <c r="AW17" s="161">
        <f>ROUND(IF(ISERROR(AVERAGE(AW14,AW15,AW16)),0,AVERAGE(AW14,AW15,AW16)),6)</f>
        <v>7.1570000000000002E-3</v>
      </c>
      <c r="AX17" s="253">
        <f t="shared" si="8"/>
        <v>5</v>
      </c>
      <c r="AY17" s="209" t="s">
        <v>20</v>
      </c>
      <c r="AZ17" s="208">
        <f>+'[26]Lead E'!C16</f>
        <v>1814058.848417453</v>
      </c>
      <c r="BA17" s="698">
        <f>+'[26]Lead E'!D16</f>
        <v>1842545.3924215012</v>
      </c>
      <c r="BB17" s="698">
        <f t="shared" si="14"/>
        <v>28486.544004048221</v>
      </c>
      <c r="BC17" s="209">
        <v>5</v>
      </c>
      <c r="BD17" s="209" t="s">
        <v>12</v>
      </c>
      <c r="BE17" s="186"/>
      <c r="BF17" s="347">
        <v>0.35</v>
      </c>
      <c r="BG17" s="445">
        <f>-BG15*BF17</f>
        <v>8691.3738500527506</v>
      </c>
      <c r="BH17" s="9"/>
      <c r="BI17" s="640" t="s">
        <v>852</v>
      </c>
      <c r="BJ17" s="251"/>
      <c r="BK17" s="251"/>
      <c r="BL17" s="253">
        <f t="shared" si="9"/>
        <v>5</v>
      </c>
      <c r="BM17" s="139" t="s">
        <v>256</v>
      </c>
      <c r="BN17" s="152">
        <f>BN15/2</f>
        <v>0</v>
      </c>
      <c r="BO17" s="136"/>
      <c r="BP17" s="9">
        <f t="shared" si="10"/>
        <v>5</v>
      </c>
      <c r="BQ17" s="37" t="s">
        <v>382</v>
      </c>
      <c r="BS17" s="208">
        <f>'[20]Lead E'!$C$18</f>
        <v>-4002173.9600000004</v>
      </c>
      <c r="BT17" s="253">
        <f t="shared" si="11"/>
        <v>5</v>
      </c>
      <c r="BU17" s="252" t="s">
        <v>199</v>
      </c>
      <c r="BX17" s="208">
        <f>BX15</f>
        <v>-101764.80083986348</v>
      </c>
      <c r="BY17" s="253">
        <f>BY16+1</f>
        <v>5</v>
      </c>
      <c r="BZ17" s="255" t="s">
        <v>12</v>
      </c>
      <c r="CA17" s="157">
        <v>0.35</v>
      </c>
      <c r="CB17" s="10"/>
      <c r="CC17" s="179">
        <f>-CA17*CC15</f>
        <v>-638047.54740089201</v>
      </c>
      <c r="CD17" s="253">
        <v>5</v>
      </c>
      <c r="CE17" s="439" t="s">
        <v>20</v>
      </c>
      <c r="CF17" s="179">
        <f>'[27]Lead E'!E17</f>
        <v>24060543.133236647</v>
      </c>
      <c r="CG17" s="642">
        <f>'[27]Lead E'!F17</f>
        <v>24400551.446550019</v>
      </c>
      <c r="CH17" s="700">
        <f t="shared" si="15"/>
        <v>340008.31331337243</v>
      </c>
      <c r="CI17" s="253">
        <f t="shared" si="12"/>
        <v>5</v>
      </c>
      <c r="CJ17" s="320"/>
      <c r="CK17" s="121"/>
      <c r="CL17" s="121"/>
      <c r="CM17" s="138"/>
      <c r="CN17" s="253">
        <v>5</v>
      </c>
      <c r="CQ17" s="167"/>
      <c r="CR17" s="208"/>
      <c r="CS17" s="253">
        <f t="shared" si="16"/>
        <v>5</v>
      </c>
      <c r="CT17" s="388"/>
      <c r="CV17" s="167"/>
      <c r="CW17" s="208"/>
      <c r="CX17" s="209">
        <v>5</v>
      </c>
      <c r="CY17" s="209"/>
      <c r="CZ17" s="446"/>
      <c r="DA17" s="446"/>
      <c r="DB17" s="446"/>
      <c r="DC17" s="209">
        <v>5</v>
      </c>
      <c r="DD17" s="364" t="s">
        <v>717</v>
      </c>
      <c r="DE17" s="186">
        <f>'[36]Lead E'!$D$18</f>
        <v>-41074.731625878645</v>
      </c>
      <c r="DF17" s="186">
        <f>'[36]Lead E'!$E$18</f>
        <v>-1199152.1377783362</v>
      </c>
      <c r="DG17" s="186">
        <f t="shared" si="17"/>
        <v>-1158077.4061524575</v>
      </c>
      <c r="DH17" s="209">
        <v>5</v>
      </c>
      <c r="DI17" s="242" t="s">
        <v>754</v>
      </c>
      <c r="DJ17" s="186"/>
      <c r="DK17" s="458"/>
      <c r="DL17" s="200">
        <f>DL15</f>
        <v>-15788.31709798798</v>
      </c>
      <c r="DM17" s="209">
        <v>6</v>
      </c>
      <c r="DN17" s="968"/>
    </row>
    <row r="18" spans="1:120" ht="15.75" thickBot="1">
      <c r="A18" s="9">
        <f t="shared" si="0"/>
        <v>7</v>
      </c>
      <c r="B18" s="201" t="s">
        <v>561</v>
      </c>
      <c r="C18" s="252"/>
      <c r="D18" s="267">
        <f>'[32]Lead E'!$D$18</f>
        <v>-29745544</v>
      </c>
      <c r="E18" s="159"/>
      <c r="F18" s="9">
        <f t="shared" si="1"/>
        <v>6</v>
      </c>
      <c r="G18" s="532">
        <v>42370</v>
      </c>
      <c r="H18" s="196">
        <f>'[33]Lead E'!$C$15</f>
        <v>2264400226</v>
      </c>
      <c r="I18" s="196">
        <f>'[34]Weather Norm. Summary'!D17</f>
        <v>2308995643.5126944</v>
      </c>
      <c r="J18" s="28">
        <f t="shared" si="13"/>
        <v>44595417.512694359</v>
      </c>
      <c r="K18" s="28"/>
      <c r="L18" s="252"/>
      <c r="M18" s="253">
        <f t="shared" si="2"/>
        <v>6</v>
      </c>
      <c r="N18" s="241" t="s">
        <v>371</v>
      </c>
      <c r="O18" s="121"/>
      <c r="P18" s="186" t="s">
        <v>253</v>
      </c>
      <c r="Q18" s="264">
        <f>'[24]Lead E'!$E$15</f>
        <v>17088658.920000002</v>
      </c>
      <c r="R18" s="253">
        <f t="shared" si="3"/>
        <v>6</v>
      </c>
      <c r="S18" s="252" t="s">
        <v>816</v>
      </c>
      <c r="T18" s="252"/>
      <c r="U18" s="179">
        <f>'[14]Lead E'!$D$17</f>
        <v>64183937.829999998</v>
      </c>
      <c r="V18" s="253">
        <f t="shared" si="4"/>
        <v>6</v>
      </c>
      <c r="W18" s="50" t="s">
        <v>130</v>
      </c>
      <c r="Y18" s="1246">
        <f>+X15*X17</f>
        <v>149734154.31427145</v>
      </c>
      <c r="Z18" s="253">
        <f t="shared" si="5"/>
        <v>6</v>
      </c>
      <c r="AA18" s="255"/>
      <c r="AB18" s="483"/>
      <c r="AC18" s="483"/>
      <c r="AD18" s="483"/>
      <c r="AE18" s="253">
        <f t="shared" si="6"/>
        <v>6</v>
      </c>
      <c r="AF18" s="370" t="s">
        <v>622</v>
      </c>
      <c r="AG18" s="827">
        <f>SUM(AG15:AG17)</f>
        <v>0</v>
      </c>
      <c r="AH18" s="827">
        <f>SUM(AH15:AH17)</f>
        <v>-127629534.00980572</v>
      </c>
      <c r="AI18" s="827">
        <f>SUM(AI15:AI17)</f>
        <v>-127629534.00980572</v>
      </c>
      <c r="AJ18" s="253">
        <v>6</v>
      </c>
      <c r="AK18" s="704" t="s">
        <v>12</v>
      </c>
      <c r="AL18" s="209"/>
      <c r="AM18" s="100">
        <v>0.35</v>
      </c>
      <c r="AN18" s="445">
        <f>ROUND(-AN17*AM18,0)</f>
        <v>37363</v>
      </c>
      <c r="AO18" s="253">
        <f t="shared" si="7"/>
        <v>6</v>
      </c>
      <c r="AP18" s="252"/>
      <c r="AQ18" s="252"/>
      <c r="AR18" s="252"/>
      <c r="AS18" s="252"/>
      <c r="AT18" s="252"/>
      <c r="AU18" s="252"/>
      <c r="AV18" s="252"/>
      <c r="AW18" s="693"/>
      <c r="AX18" s="253">
        <f t="shared" si="8"/>
        <v>6</v>
      </c>
      <c r="AY18" s="209" t="s">
        <v>24</v>
      </c>
      <c r="AZ18" s="208">
        <f>+'[26]Lead E'!C17</f>
        <v>831692.0644458835</v>
      </c>
      <c r="BA18" s="698">
        <f>+'[26]Lead E'!D17</f>
        <v>842186.36225123261</v>
      </c>
      <c r="BB18" s="698">
        <f t="shared" si="14"/>
        <v>10494.29780534911</v>
      </c>
      <c r="BC18" s="209">
        <v>6</v>
      </c>
      <c r="BD18" s="209"/>
      <c r="BE18" s="186"/>
      <c r="BF18" s="186"/>
      <c r="BG18" s="186"/>
      <c r="BH18" s="9"/>
      <c r="BL18" s="253">
        <f t="shared" si="9"/>
        <v>6</v>
      </c>
      <c r="BM18" s="158" t="s">
        <v>258</v>
      </c>
      <c r="BN18" s="429">
        <v>0</v>
      </c>
      <c r="BO18" s="136"/>
      <c r="BP18" s="9">
        <f t="shared" si="10"/>
        <v>6</v>
      </c>
      <c r="BQ18" s="37" t="s">
        <v>383</v>
      </c>
      <c r="BS18" s="208">
        <f>'[20]Lead E'!$C$19</f>
        <v>328215.27999999997</v>
      </c>
      <c r="BT18" s="253">
        <f t="shared" si="11"/>
        <v>6</v>
      </c>
      <c r="BX18" s="167"/>
      <c r="BY18" s="253">
        <f>BY17+1</f>
        <v>6</v>
      </c>
      <c r="BZ18" s="255" t="s">
        <v>109</v>
      </c>
      <c r="CC18" s="386">
        <f>-CC15-CC17</f>
        <v>-1184945.4451730854</v>
      </c>
      <c r="CD18" s="253">
        <v>6</v>
      </c>
      <c r="CE18" s="439" t="s">
        <v>24</v>
      </c>
      <c r="CF18" s="179">
        <f>'[27]Lead E'!E18</f>
        <v>11030663.555404065</v>
      </c>
      <c r="CG18" s="642">
        <f>'[27]Lead E'!F18</f>
        <v>11152893.808019754</v>
      </c>
      <c r="CH18" s="700">
        <f t="shared" si="15"/>
        <v>122230.25261568837</v>
      </c>
      <c r="CI18" s="253">
        <f t="shared" si="12"/>
        <v>6</v>
      </c>
      <c r="CJ18" s="591" t="s">
        <v>148</v>
      </c>
      <c r="CK18" s="47"/>
      <c r="CL18" s="47"/>
      <c r="CM18" s="138"/>
      <c r="CN18" s="253">
        <v>6</v>
      </c>
      <c r="CO18" s="71" t="s">
        <v>229</v>
      </c>
      <c r="CP18" s="348">
        <f>'[29]Lead E'!$C$17</f>
        <v>0.54659120593235488</v>
      </c>
      <c r="CR18" s="208">
        <f>ROUND(+CP18*CR16,0)</f>
        <v>13375948</v>
      </c>
      <c r="CS18" s="253">
        <f t="shared" si="16"/>
        <v>6</v>
      </c>
      <c r="CT18" s="388" t="s">
        <v>496</v>
      </c>
      <c r="CW18" s="322">
        <f>SUM(CW16:CW17)</f>
        <v>850440.58200000005</v>
      </c>
      <c r="CX18" s="209">
        <v>6</v>
      </c>
      <c r="CY18" s="393" t="s">
        <v>747</v>
      </c>
      <c r="CZ18" s="447"/>
      <c r="DA18" s="327"/>
      <c r="DB18" s="327"/>
      <c r="DC18" s="209">
        <v>6</v>
      </c>
      <c r="DD18" s="364" t="s">
        <v>718</v>
      </c>
      <c r="DE18" s="186">
        <f>'[36]Lead E'!$D$19</f>
        <v>31060.331498886484</v>
      </c>
      <c r="DF18" s="186">
        <f>'[36]Lead E'!$E$19</f>
        <v>0</v>
      </c>
      <c r="DG18" s="186">
        <f t="shared" si="17"/>
        <v>-31060.331498886484</v>
      </c>
      <c r="DH18" s="209">
        <v>6</v>
      </c>
      <c r="DI18" s="242" t="s">
        <v>6</v>
      </c>
      <c r="DJ18" s="10">
        <v>0.35</v>
      </c>
      <c r="DK18" s="458"/>
      <c r="DL18" s="226">
        <f>ROUND(-DL17*DJ18,0)</f>
        <v>5526</v>
      </c>
      <c r="DM18" s="209">
        <v>7</v>
      </c>
      <c r="DN18" s="968" t="s">
        <v>109</v>
      </c>
      <c r="DP18" s="234">
        <f>-DP14-DP16</f>
        <v>315757</v>
      </c>
    </row>
    <row r="19" spans="1:120" ht="17.25" customHeight="1" thickTop="1" thickBot="1">
      <c r="A19" s="9">
        <f t="shared" si="0"/>
        <v>8</v>
      </c>
      <c r="B19" s="201" t="s">
        <v>562</v>
      </c>
      <c r="C19" s="252"/>
      <c r="D19" s="267">
        <f>'[32]Lead E'!$D$19</f>
        <v>-82720471.5</v>
      </c>
      <c r="E19" s="159"/>
      <c r="F19" s="9">
        <f t="shared" si="1"/>
        <v>7</v>
      </c>
      <c r="G19" s="532">
        <v>42401</v>
      </c>
      <c r="H19" s="196">
        <f>'[33]Lead E'!$C$16</f>
        <v>1926704963</v>
      </c>
      <c r="I19" s="196">
        <f>'[34]Weather Norm. Summary'!D18</f>
        <v>2022391040.662766</v>
      </c>
      <c r="J19" s="28">
        <f t="shared" si="13"/>
        <v>95686077.66276598</v>
      </c>
      <c r="K19" s="28"/>
      <c r="L19" s="252"/>
      <c r="M19" s="253">
        <f t="shared" si="2"/>
        <v>7</v>
      </c>
      <c r="N19" s="243" t="s">
        <v>195</v>
      </c>
      <c r="O19" s="121"/>
      <c r="P19" s="186" t="s">
        <v>253</v>
      </c>
      <c r="Q19" s="264">
        <f>'[24]Lead E'!$E$16</f>
        <v>-72579362.799999982</v>
      </c>
      <c r="R19" s="253">
        <f t="shared" si="3"/>
        <v>7</v>
      </c>
      <c r="S19" s="252" t="s">
        <v>526</v>
      </c>
      <c r="T19" s="252"/>
      <c r="U19" s="179"/>
      <c r="V19" s="253">
        <f t="shared" si="4"/>
        <v>7</v>
      </c>
      <c r="W19" s="50"/>
      <c r="X19" s="51"/>
      <c r="Y19" s="596"/>
      <c r="Z19" s="253">
        <f t="shared" si="5"/>
        <v>7</v>
      </c>
      <c r="AA19" s="209" t="s">
        <v>513</v>
      </c>
      <c r="AB19" s="326">
        <f>+'[15]Lead E'!C18</f>
        <v>1352124.73</v>
      </c>
      <c r="AC19" s="1199">
        <f>'[16]Dep Summary'!$D$18</f>
        <v>1739118.2629811203</v>
      </c>
      <c r="AD19" s="1199">
        <f>AC19-AB19</f>
        <v>386993.53298112028</v>
      </c>
      <c r="AE19" s="253">
        <f t="shared" si="6"/>
        <v>7</v>
      </c>
      <c r="AF19" s="369"/>
      <c r="AG19" s="372"/>
      <c r="AH19" s="372"/>
      <c r="AI19" s="372"/>
      <c r="AJ19" s="253">
        <v>7</v>
      </c>
      <c r="AK19" s="704"/>
      <c r="AL19" s="209"/>
      <c r="AM19" s="209"/>
      <c r="AN19" s="186"/>
      <c r="AO19" s="253">
        <f t="shared" si="7"/>
        <v>7</v>
      </c>
      <c r="AP19" s="97" t="s">
        <v>169</v>
      </c>
      <c r="AQ19" s="208"/>
      <c r="AR19" s="208">
        <f>'[25]Lead E'!D20</f>
        <v>2395339771.079999</v>
      </c>
      <c r="AS19" s="208">
        <f>'[25]Lead E'!E20</f>
        <v>201125741.739999</v>
      </c>
      <c r="AT19" s="208">
        <f>'[25]Lead E'!F20</f>
        <v>47841338.950000003</v>
      </c>
      <c r="AU19" s="208">
        <f>'[25]Lead E'!G20</f>
        <v>324382.2</v>
      </c>
      <c r="AV19" s="208">
        <f>AR19-AS19-AT19-AU19</f>
        <v>2146048308.1900001</v>
      </c>
      <c r="AW19" s="140"/>
      <c r="AX19" s="253">
        <f t="shared" si="8"/>
        <v>7</v>
      </c>
      <c r="AY19" s="209" t="s">
        <v>25</v>
      </c>
      <c r="AZ19" s="208">
        <f>+'[26]Lead E'!C18</f>
        <v>104449.15828380465</v>
      </c>
      <c r="BA19" s="698">
        <f>+'[26]Lead E'!D18</f>
        <v>107443.71395013717</v>
      </c>
      <c r="BB19" s="698">
        <f t="shared" si="14"/>
        <v>2994.555666332526</v>
      </c>
      <c r="BC19" s="209">
        <v>7</v>
      </c>
      <c r="BD19" s="209" t="s">
        <v>109</v>
      </c>
      <c r="BE19" s="186"/>
      <c r="BF19" s="186"/>
      <c r="BG19" s="593">
        <f>-BG15-BG17</f>
        <v>16141.122864383684</v>
      </c>
      <c r="BH19" s="9"/>
      <c r="BL19" s="253">
        <f t="shared" si="9"/>
        <v>7</v>
      </c>
      <c r="BM19" s="255" t="s">
        <v>21</v>
      </c>
      <c r="BN19" s="186">
        <f>+BN17-BN18</f>
        <v>0</v>
      </c>
      <c r="BO19" s="152">
        <f>+BN19</f>
        <v>0</v>
      </c>
      <c r="BP19" s="9">
        <f t="shared" si="10"/>
        <v>7</v>
      </c>
      <c r="BQ19" s="252" t="s">
        <v>823</v>
      </c>
      <c r="BS19" s="480">
        <f>SUM(BS17:BS18)</f>
        <v>-3673958.6800000006</v>
      </c>
      <c r="BT19" s="253">
        <f t="shared" si="11"/>
        <v>7</v>
      </c>
      <c r="BU19" s="255" t="s">
        <v>12</v>
      </c>
      <c r="BV19" s="157">
        <v>0.35</v>
      </c>
      <c r="BW19" s="10"/>
      <c r="BX19" s="179">
        <f>-BV19*BX17</f>
        <v>35617.680293952217</v>
      </c>
      <c r="BY19" s="253"/>
      <c r="CD19" s="253">
        <v>7</v>
      </c>
      <c r="CE19" s="439" t="s">
        <v>25</v>
      </c>
      <c r="CF19" s="179">
        <f>'[27]Lead E'!E19</f>
        <v>1385463.025825866</v>
      </c>
      <c r="CG19" s="642">
        <f>'[27]Lead E'!F19</f>
        <v>1422849.8356199341</v>
      </c>
      <c r="CH19" s="700">
        <f t="shared" si="15"/>
        <v>37386.809794068104</v>
      </c>
      <c r="CI19" s="253">
        <f t="shared" si="12"/>
        <v>7</v>
      </c>
      <c r="CJ19" s="242" t="s">
        <v>149</v>
      </c>
      <c r="CK19" s="121"/>
      <c r="CL19" s="167">
        <f>'[28]Lead E'!$D$18</f>
        <v>2733666.2376000001</v>
      </c>
      <c r="CM19" s="213"/>
      <c r="CN19" s="253">
        <v>7</v>
      </c>
      <c r="CO19" s="173" t="s">
        <v>307</v>
      </c>
      <c r="CP19" s="348"/>
      <c r="CQ19" s="157"/>
      <c r="CR19" s="208">
        <f>'[29]Lead E'!$D$18</f>
        <v>13188639.070766069</v>
      </c>
      <c r="CS19" s="253">
        <f t="shared" si="16"/>
        <v>7</v>
      </c>
      <c r="CX19" s="209">
        <v>7</v>
      </c>
      <c r="CY19" s="111" t="s">
        <v>748</v>
      </c>
      <c r="CZ19" s="448"/>
      <c r="DA19" s="327">
        <f>'[30]Lead E'!$D$17</f>
        <v>2476040.8475628183</v>
      </c>
      <c r="DB19" s="485">
        <f>+DA19-CZ19</f>
        <v>2476040.8475628183</v>
      </c>
      <c r="DC19" s="209">
        <v>7</v>
      </c>
      <c r="DD19" s="364" t="s">
        <v>690</v>
      </c>
      <c r="DE19" s="186">
        <f>'[36]Lead E'!$D$20</f>
        <v>-1087774.3612499998</v>
      </c>
      <c r="DF19" s="186">
        <f>'[36]Lead E'!$E$20</f>
        <v>0</v>
      </c>
      <c r="DG19" s="186">
        <f t="shared" si="17"/>
        <v>1087774.3612499998</v>
      </c>
      <c r="DH19" s="209">
        <v>7</v>
      </c>
      <c r="DI19" s="242" t="s">
        <v>14</v>
      </c>
      <c r="DJ19" s="186"/>
      <c r="DK19" s="458"/>
      <c r="DL19" s="219">
        <f>-DL17-DL18</f>
        <v>10262.31709798798</v>
      </c>
      <c r="DM19" s="209">
        <v>8</v>
      </c>
    </row>
    <row r="20" spans="1:120" ht="15" customHeight="1" thickTop="1" thickBot="1">
      <c r="A20" s="9">
        <f t="shared" si="0"/>
        <v>9</v>
      </c>
      <c r="B20" s="201" t="s">
        <v>680</v>
      </c>
      <c r="D20" s="267">
        <f>'[32]Lead E'!$D$20</f>
        <v>146.57999999999811</v>
      </c>
      <c r="E20" s="159"/>
      <c r="F20" s="9">
        <f t="shared" si="1"/>
        <v>8</v>
      </c>
      <c r="G20" s="532">
        <v>42430</v>
      </c>
      <c r="H20" s="196">
        <f>'[33]Lead E'!$C$17</f>
        <v>1958545780</v>
      </c>
      <c r="I20" s="196">
        <f>'[34]Weather Norm. Summary'!D19</f>
        <v>2012348657.2991226</v>
      </c>
      <c r="J20" s="28">
        <f t="shared" si="13"/>
        <v>53802877.299122572</v>
      </c>
      <c r="K20" s="28"/>
      <c r="L20" s="252"/>
      <c r="M20" s="253">
        <f t="shared" si="2"/>
        <v>8</v>
      </c>
      <c r="N20" s="244" t="s">
        <v>372</v>
      </c>
      <c r="O20" s="121"/>
      <c r="P20" s="186" t="s">
        <v>253</v>
      </c>
      <c r="Q20" s="264">
        <f>'[24]Lead E'!$E$17</f>
        <v>-2081681.16</v>
      </c>
      <c r="R20" s="253">
        <f t="shared" si="3"/>
        <v>8</v>
      </c>
      <c r="S20" s="252" t="s">
        <v>527</v>
      </c>
      <c r="T20" s="252"/>
      <c r="U20" s="429"/>
      <c r="V20" s="253">
        <f t="shared" si="4"/>
        <v>8</v>
      </c>
      <c r="W20" s="388" t="s">
        <v>15</v>
      </c>
      <c r="Y20" s="1246">
        <f>-Y18</f>
        <v>-149734154.31427145</v>
      </c>
      <c r="Z20" s="253">
        <f t="shared" si="5"/>
        <v>8</v>
      </c>
      <c r="AA20" s="255" t="s">
        <v>514</v>
      </c>
      <c r="AB20" s="326">
        <f>+'[15]Lead E'!C19</f>
        <v>1476016.7034779999</v>
      </c>
      <c r="AC20" s="326">
        <f>+'[15]Lead E'!D19</f>
        <v>0</v>
      </c>
      <c r="AD20" s="597">
        <f>AC20-AB20</f>
        <v>-1476016.7034779999</v>
      </c>
      <c r="AE20" s="253">
        <f t="shared" si="6"/>
        <v>8</v>
      </c>
      <c r="AF20" s="373" t="s">
        <v>0</v>
      </c>
      <c r="AG20" s="363"/>
      <c r="AH20" s="363"/>
      <c r="AI20" s="363"/>
      <c r="AJ20" s="253">
        <v>8</v>
      </c>
      <c r="AK20" s="704" t="s">
        <v>109</v>
      </c>
      <c r="AL20" s="209"/>
      <c r="AM20" s="209"/>
      <c r="AN20" s="593">
        <f>-AN17-AN18</f>
        <v>69387.278670666696</v>
      </c>
      <c r="AO20" s="253">
        <f t="shared" si="7"/>
        <v>8</v>
      </c>
      <c r="AP20" s="359"/>
      <c r="AQ20" s="208"/>
      <c r="AR20" s="141"/>
      <c r="AS20" s="208"/>
      <c r="AT20" s="208"/>
      <c r="AU20" s="208"/>
      <c r="AV20" s="705"/>
      <c r="AW20" s="141"/>
      <c r="AX20" s="253">
        <f t="shared" si="8"/>
        <v>8</v>
      </c>
      <c r="AY20" s="209" t="s">
        <v>93</v>
      </c>
      <c r="AZ20" s="208">
        <f>+'[26]Lead E'!C19</f>
        <v>15752.022461405353</v>
      </c>
      <c r="BA20" s="698">
        <f>+'[26]Lead E'!D19</f>
        <v>16130.092834759536</v>
      </c>
      <c r="BB20" s="698">
        <f t="shared" si="14"/>
        <v>378.07037335418318</v>
      </c>
      <c r="BC20" s="209"/>
      <c r="BD20" s="209"/>
      <c r="BH20" s="9"/>
      <c r="BL20" s="253">
        <f t="shared" si="9"/>
        <v>8</v>
      </c>
      <c r="BM20" s="255"/>
      <c r="BN20" s="200"/>
      <c r="BO20" s="190"/>
      <c r="BP20" s="9">
        <f t="shared" si="10"/>
        <v>8</v>
      </c>
      <c r="BS20" s="479"/>
      <c r="BT20" s="253">
        <f t="shared" si="11"/>
        <v>8</v>
      </c>
      <c r="BU20" s="255" t="s">
        <v>109</v>
      </c>
      <c r="BX20" s="386">
        <f>-BX17-BX19</f>
        <v>66147.120545911268</v>
      </c>
      <c r="BY20" s="253"/>
      <c r="CD20" s="253">
        <v>8</v>
      </c>
      <c r="CE20" s="439" t="s">
        <v>93</v>
      </c>
      <c r="CF20" s="179">
        <f>'[27]Lead E'!E20</f>
        <v>209317.86788684683</v>
      </c>
      <c r="CG20" s="642">
        <f>'[27]Lead E'!F20</f>
        <v>213614.34113897898</v>
      </c>
      <c r="CH20" s="700">
        <f t="shared" si="15"/>
        <v>4296.4732521321566</v>
      </c>
      <c r="CI20" s="253">
        <f t="shared" si="12"/>
        <v>8</v>
      </c>
      <c r="CJ20" s="388" t="s">
        <v>150</v>
      </c>
      <c r="CK20" s="232">
        <f>'[28]Lead E'!$C$19</f>
        <v>6.875E-3</v>
      </c>
      <c r="CL20" s="382">
        <f>'[28]Lead E'!$D$19</f>
        <v>18793.955383500001</v>
      </c>
      <c r="CM20" s="213"/>
      <c r="CN20" s="253">
        <v>8</v>
      </c>
      <c r="CO20" s="252" t="s">
        <v>319</v>
      </c>
      <c r="CR20" s="479">
        <f>CR18-CR19</f>
        <v>187308.92923393101</v>
      </c>
      <c r="CS20" s="253">
        <f t="shared" si="16"/>
        <v>8</v>
      </c>
      <c r="CT20" s="320" t="s">
        <v>495</v>
      </c>
      <c r="CU20" s="157">
        <f>k_FITrate</f>
        <v>0.35</v>
      </c>
      <c r="CW20" s="536">
        <f>ROUND(-CW18*CU20,0)</f>
        <v>-297654</v>
      </c>
      <c r="CX20" s="209">
        <v>8</v>
      </c>
      <c r="CY20" s="209" t="s">
        <v>1015</v>
      </c>
      <c r="CZ20" s="445">
        <f>'[30]Lead E'!$C$18</f>
        <v>0</v>
      </c>
      <c r="DA20" s="327">
        <f>'[38]Processing Cost Summary'!$D$20</f>
        <v>828677.01230520185</v>
      </c>
      <c r="DB20" s="485">
        <f>+DA20-CZ20</f>
        <v>828677.01230520185</v>
      </c>
      <c r="DC20" s="209">
        <f>DC19+1</f>
        <v>8</v>
      </c>
      <c r="DD20" s="368" t="s">
        <v>621</v>
      </c>
      <c r="DE20" s="186">
        <f>'[36]Lead E'!$D$21</f>
        <v>13548.583466044467</v>
      </c>
      <c r="DF20" s="186">
        <f>'[36]Lead E'!$E$21</f>
        <v>283809.31891272456</v>
      </c>
      <c r="DG20" s="186">
        <f t="shared" si="17"/>
        <v>270260.7354466801</v>
      </c>
      <c r="DH20" s="209"/>
      <c r="DM20" s="209">
        <v>9</v>
      </c>
    </row>
    <row r="21" spans="1:120" ht="14.25" thickTop="1">
      <c r="A21" s="9">
        <f t="shared" si="0"/>
        <v>10</v>
      </c>
      <c r="B21" s="201" t="s">
        <v>815</v>
      </c>
      <c r="C21" s="95"/>
      <c r="D21" s="267">
        <f>'[32]Lead E'!$D$21</f>
        <v>7446504.8799999999</v>
      </c>
      <c r="E21" s="159"/>
      <c r="F21" s="9">
        <f t="shared" si="1"/>
        <v>9</v>
      </c>
      <c r="G21" s="532">
        <v>42461</v>
      </c>
      <c r="H21" s="196">
        <f>'[33]Lead E'!$C$18</f>
        <v>1641032699</v>
      </c>
      <c r="I21" s="196">
        <f>'[34]Weather Norm. Summary'!D20</f>
        <v>1722339991.2558239</v>
      </c>
      <c r="J21" s="28">
        <f t="shared" si="13"/>
        <v>81307292.255823851</v>
      </c>
      <c r="K21" s="28"/>
      <c r="L21" s="252"/>
      <c r="M21" s="253">
        <f t="shared" si="2"/>
        <v>9</v>
      </c>
      <c r="N21" s="244" t="s">
        <v>373</v>
      </c>
      <c r="O21" s="252"/>
      <c r="P21" s="252"/>
      <c r="Q21" s="264">
        <f>'[24]Lead E'!$E$18</f>
        <v>1841461.71</v>
      </c>
      <c r="R21" s="253">
        <f t="shared" si="3"/>
        <v>9</v>
      </c>
      <c r="S21" s="252" t="s">
        <v>23</v>
      </c>
      <c r="T21" s="252"/>
      <c r="U21" s="179">
        <f>SUM(U16:U20)</f>
        <v>209020153.48657256</v>
      </c>
      <c r="V21" s="253">
        <f t="shared" si="4"/>
        <v>9</v>
      </c>
      <c r="W21" s="388"/>
      <c r="X21" s="148"/>
      <c r="Y21" s="40" t="s">
        <v>253</v>
      </c>
      <c r="Z21" s="253">
        <f t="shared" si="5"/>
        <v>9</v>
      </c>
      <c r="AA21" s="255" t="s">
        <v>515</v>
      </c>
      <c r="AB21" s="482">
        <f>SUM(AB19:AB20)</f>
        <v>2828141.4334779996</v>
      </c>
      <c r="AC21" s="1198">
        <f>SUM(AC19:AC20)</f>
        <v>1739118.2629811203</v>
      </c>
      <c r="AD21" s="1198">
        <f>SUM(AD19:AD20)</f>
        <v>-1089023.1704968796</v>
      </c>
      <c r="AE21" s="253">
        <f t="shared" si="6"/>
        <v>9</v>
      </c>
      <c r="AF21" s="374" t="s">
        <v>1009</v>
      </c>
      <c r="AG21" s="828">
        <v>0</v>
      </c>
      <c r="AH21" s="828">
        <f>'[39]Colstrip Amort Summary'!$D$20</f>
        <v>7090529.6672114292</v>
      </c>
      <c r="AI21" s="828">
        <f>AH21-AG21</f>
        <v>7090529.6672114292</v>
      </c>
      <c r="AO21" s="253">
        <f t="shared" si="7"/>
        <v>9</v>
      </c>
      <c r="AP21" s="97"/>
      <c r="AV21" s="645"/>
      <c r="AX21" s="253">
        <f t="shared" si="8"/>
        <v>9</v>
      </c>
      <c r="AY21" s="209" t="s">
        <v>225</v>
      </c>
      <c r="AZ21" s="208">
        <f>+'[26]Lead E'!C20</f>
        <v>2049529.5019409845</v>
      </c>
      <c r="BA21" s="698">
        <f>+'[26]Lead E'!D20</f>
        <v>2112756.4067951208</v>
      </c>
      <c r="BB21" s="698">
        <f t="shared" si="14"/>
        <v>63226.904854136286</v>
      </c>
      <c r="BC21" s="209"/>
      <c r="BD21" s="209"/>
      <c r="BL21" s="253">
        <f t="shared" si="9"/>
        <v>9</v>
      </c>
      <c r="BM21" s="255" t="s">
        <v>457</v>
      </c>
      <c r="BN21" s="152">
        <v>0</v>
      </c>
      <c r="BO21" s="198"/>
      <c r="BP21" s="9">
        <f t="shared" si="10"/>
        <v>9</v>
      </c>
      <c r="BQ21" s="252" t="s">
        <v>824</v>
      </c>
      <c r="BR21" s="208"/>
      <c r="BS21" s="208">
        <f>BS15+BS19</f>
        <v>-2291230.0700000026</v>
      </c>
      <c r="BT21" s="253"/>
      <c r="BU21" s="255"/>
      <c r="BY21" s="253"/>
      <c r="BZ21" s="255"/>
      <c r="CD21" s="253">
        <v>9</v>
      </c>
      <c r="CE21" s="439" t="s">
        <v>225</v>
      </c>
      <c r="CF21" s="179">
        <f>'[27]Lead E'!E21</f>
        <v>27183671.346791636</v>
      </c>
      <c r="CG21" s="642">
        <f>'[27]Lead E'!F21</f>
        <v>27978916.317603432</v>
      </c>
      <c r="CH21" s="706">
        <f t="shared" si="15"/>
        <v>795244.97081179544</v>
      </c>
      <c r="CI21" s="253">
        <f t="shared" si="12"/>
        <v>9</v>
      </c>
      <c r="CJ21" s="109" t="s">
        <v>151</v>
      </c>
      <c r="CK21" s="109"/>
      <c r="CL21" s="109"/>
      <c r="CM21" s="138">
        <f>SUM(CL19:CL20)</f>
        <v>2752460.1929835002</v>
      </c>
      <c r="CN21" s="253">
        <v>9</v>
      </c>
      <c r="CR21" s="208"/>
      <c r="CS21" s="253">
        <f t="shared" si="16"/>
        <v>9</v>
      </c>
      <c r="CT21" s="320"/>
      <c r="CW21" s="213"/>
      <c r="CX21" s="209">
        <v>9</v>
      </c>
      <c r="CY21" s="209" t="s">
        <v>10</v>
      </c>
      <c r="CZ21" s="186">
        <f>SUM(CZ19:CZ20)</f>
        <v>0</v>
      </c>
      <c r="DA21" s="484">
        <f>SUM(DA19:DA20)</f>
        <v>3304717.8598680203</v>
      </c>
      <c r="DB21" s="484">
        <f>SUM(DB19:DB20)</f>
        <v>3304717.8598680203</v>
      </c>
      <c r="DC21" s="209">
        <f t="shared" ref="DC21:DC35" si="18">DC20+1</f>
        <v>9</v>
      </c>
      <c r="DD21" s="467" t="s">
        <v>770</v>
      </c>
      <c r="DE21" s="186">
        <f>'[36]Lead E'!$D$22</f>
        <v>-4742.0042131155633</v>
      </c>
      <c r="DF21" s="186"/>
      <c r="DG21" s="186">
        <f t="shared" si="17"/>
        <v>4742.0042131155633</v>
      </c>
      <c r="DH21" s="209"/>
    </row>
    <row r="22" spans="1:120" ht="20.25" customHeight="1" thickBot="1">
      <c r="A22" s="9">
        <f t="shared" si="0"/>
        <v>11</v>
      </c>
      <c r="B22" s="201" t="s">
        <v>564</v>
      </c>
      <c r="D22" s="267">
        <f>'[32]Lead E'!$D$22</f>
        <v>-3902999.6601178469</v>
      </c>
      <c r="E22" s="159"/>
      <c r="F22" s="9">
        <f t="shared" si="1"/>
        <v>10</v>
      </c>
      <c r="G22" s="532">
        <v>42491</v>
      </c>
      <c r="H22" s="196">
        <f>'[33]Lead E'!$C$19</f>
        <v>1626432632</v>
      </c>
      <c r="I22" s="196">
        <f>'[34]Weather Norm. Summary'!D21</f>
        <v>1650865087.7541413</v>
      </c>
      <c r="J22" s="28">
        <f t="shared" si="13"/>
        <v>24432455.754141331</v>
      </c>
      <c r="K22" s="28"/>
      <c r="L22" s="252"/>
      <c r="M22" s="253">
        <f t="shared" si="2"/>
        <v>10</v>
      </c>
      <c r="N22" s="244"/>
      <c r="O22" s="252"/>
      <c r="P22" s="252"/>
      <c r="Q22" s="264"/>
      <c r="R22" s="253">
        <f t="shared" si="3"/>
        <v>10</v>
      </c>
      <c r="S22" s="252"/>
      <c r="T22" s="252"/>
      <c r="U22" s="167"/>
      <c r="V22" s="253">
        <f t="shared" si="4"/>
        <v>10</v>
      </c>
      <c r="W22" s="388" t="s">
        <v>19</v>
      </c>
      <c r="X22" s="157">
        <f>k_FITrate</f>
        <v>0.35</v>
      </c>
      <c r="Y22" s="1246">
        <f>+Y20*X22</f>
        <v>-52406954.009995006</v>
      </c>
      <c r="Z22" s="253">
        <f t="shared" si="5"/>
        <v>10</v>
      </c>
      <c r="AA22" s="255"/>
      <c r="AB22" s="96"/>
      <c r="AC22" s="96"/>
      <c r="AD22" s="186"/>
      <c r="AE22" s="253">
        <f t="shared" si="6"/>
        <v>10</v>
      </c>
      <c r="AF22" s="375" t="s">
        <v>21</v>
      </c>
      <c r="AG22" s="829">
        <f>SUM(AG21:AG21)</f>
        <v>0</v>
      </c>
      <c r="AH22" s="829">
        <f>SUM(AH21:AH21)</f>
        <v>7090529.6672114292</v>
      </c>
      <c r="AI22" s="829">
        <f>SUM(AI21:AI21)</f>
        <v>7090529.6672114292</v>
      </c>
      <c r="AO22" s="253">
        <f t="shared" si="7"/>
        <v>10</v>
      </c>
      <c r="AP22" s="252" t="s">
        <v>106</v>
      </c>
      <c r="AQ22" s="208"/>
      <c r="AR22" s="208"/>
      <c r="AS22" s="208"/>
      <c r="AT22" s="208"/>
      <c r="AU22" s="208"/>
      <c r="AV22" s="594">
        <f>AW17</f>
        <v>7.1570000000000002E-3</v>
      </c>
      <c r="AW22" s="208"/>
      <c r="AX22" s="253">
        <f t="shared" si="8"/>
        <v>10</v>
      </c>
      <c r="AY22" s="320" t="s">
        <v>326</v>
      </c>
      <c r="AZ22" s="479">
        <f>SUM(AZ14:AZ21)</f>
        <v>7360758.1595352115</v>
      </c>
      <c r="BA22" s="707">
        <f>SUM(BA14:BA21)</f>
        <v>7519849.2795648947</v>
      </c>
      <c r="BB22" s="707">
        <f>BA22-AZ22</f>
        <v>159091.12002968322</v>
      </c>
      <c r="BC22" s="209"/>
      <c r="BD22" s="209"/>
      <c r="BL22" s="253">
        <f t="shared" si="9"/>
        <v>10</v>
      </c>
      <c r="BM22" s="255"/>
      <c r="BN22" s="200"/>
      <c r="BO22" s="208"/>
      <c r="BP22" s="9">
        <f t="shared" si="10"/>
        <v>10</v>
      </c>
      <c r="BR22" s="208"/>
      <c r="BS22" s="208"/>
      <c r="BT22" s="253"/>
      <c r="BU22" s="255"/>
      <c r="BY22" s="253"/>
      <c r="BZ22" s="255"/>
      <c r="CD22" s="253">
        <v>10</v>
      </c>
      <c r="CE22" s="255" t="s">
        <v>228</v>
      </c>
      <c r="CF22" s="479">
        <f>SUM(CF14:CF21)</f>
        <v>97628924.898229778</v>
      </c>
      <c r="CG22" s="697">
        <f>SUM(CG14:CG21)</f>
        <v>99584184.936133325</v>
      </c>
      <c r="CH22" s="697">
        <f>SUM(CH13:CH21)</f>
        <v>1955260.0379035326</v>
      </c>
      <c r="CI22" s="253">
        <f t="shared" si="12"/>
        <v>10</v>
      </c>
      <c r="CJ22" s="320"/>
      <c r="CK22" s="117"/>
      <c r="CL22" s="117"/>
      <c r="CM22" s="138"/>
      <c r="CN22" s="253">
        <v>10</v>
      </c>
      <c r="CO22" s="255" t="s">
        <v>6</v>
      </c>
      <c r="CP22" s="157">
        <f>k_FITrate</f>
        <v>0.35</v>
      </c>
      <c r="CR22" s="179">
        <f>-ROUND(+CR20*CP22,0)</f>
        <v>-65558</v>
      </c>
      <c r="CS22" s="253">
        <f t="shared" si="16"/>
        <v>10</v>
      </c>
      <c r="CT22" s="320" t="s">
        <v>109</v>
      </c>
      <c r="CW22" s="593">
        <f>-CW18-CW20</f>
        <v>-552786.58200000005</v>
      </c>
      <c r="CX22" s="209">
        <v>10</v>
      </c>
      <c r="CY22" s="209"/>
      <c r="CZ22" s="327"/>
      <c r="DA22" s="327"/>
      <c r="DB22" s="327"/>
      <c r="DC22" s="209">
        <f t="shared" si="18"/>
        <v>10</v>
      </c>
      <c r="DD22" s="209" t="s">
        <v>660</v>
      </c>
      <c r="DE22" s="430">
        <f>SUM(DE15:DE21)</f>
        <v>3773484.7482676036</v>
      </c>
      <c r="DF22" s="430">
        <f>SUM(DF15:DF21)</f>
        <v>19688544.846134391</v>
      </c>
      <c r="DG22" s="430">
        <f>SUM(DG15:DG21)</f>
        <v>15915060.097866783</v>
      </c>
      <c r="DH22" s="209"/>
    </row>
    <row r="23" spans="1:120" ht="15" thickTop="1" thickBot="1">
      <c r="A23" s="9">
        <f t="shared" si="0"/>
        <v>12</v>
      </c>
      <c r="B23" s="224" t="s">
        <v>563</v>
      </c>
      <c r="C23" s="252"/>
      <c r="D23" s="479">
        <f>SUM(D15:D22)</f>
        <v>-18636150.940117843</v>
      </c>
      <c r="F23" s="9">
        <f t="shared" si="1"/>
        <v>11</v>
      </c>
      <c r="G23" s="532">
        <v>42522</v>
      </c>
      <c r="H23" s="196">
        <f>'[33]Lead E'!$C$20</f>
        <v>1597200862</v>
      </c>
      <c r="I23" s="196">
        <f>'[34]Weather Norm. Summary'!D22</f>
        <v>1581091453.7400358</v>
      </c>
      <c r="J23" s="28">
        <f t="shared" si="13"/>
        <v>-16109408.259964228</v>
      </c>
      <c r="K23" s="28"/>
      <c r="L23" s="252"/>
      <c r="M23" s="253">
        <f t="shared" si="2"/>
        <v>11</v>
      </c>
      <c r="N23" s="244"/>
      <c r="O23" s="252"/>
      <c r="P23" s="252"/>
      <c r="Q23" s="264"/>
      <c r="R23" s="253">
        <f t="shared" si="3"/>
        <v>11</v>
      </c>
      <c r="S23" s="252" t="s">
        <v>528</v>
      </c>
      <c r="T23" s="273" t="s">
        <v>253</v>
      </c>
      <c r="U23" s="167"/>
      <c r="V23" s="253">
        <f t="shared" si="4"/>
        <v>11</v>
      </c>
      <c r="W23" s="388" t="s">
        <v>109</v>
      </c>
      <c r="Y23" s="1247">
        <f>-Y22</f>
        <v>52406954.009995006</v>
      </c>
      <c r="Z23" s="253">
        <f t="shared" si="5"/>
        <v>11</v>
      </c>
      <c r="AA23" s="255" t="s">
        <v>516</v>
      </c>
      <c r="AB23" s="482">
        <f>AB17+AB21</f>
        <v>297280860.27087998</v>
      </c>
      <c r="AC23" s="1198">
        <f>AC17+AC21</f>
        <v>331155327.81704831</v>
      </c>
      <c r="AD23" s="1198">
        <f>AD17+AD21</f>
        <v>33874467.546168283</v>
      </c>
      <c r="AE23" s="253">
        <f t="shared" si="6"/>
        <v>11</v>
      </c>
      <c r="AF23" s="375"/>
      <c r="AG23" s="377"/>
      <c r="AH23" s="377"/>
      <c r="AI23" s="377"/>
      <c r="AO23" s="253">
        <f t="shared" ref="AO23:AO29" si="19">AO22+1</f>
        <v>11</v>
      </c>
      <c r="AP23" s="252" t="s">
        <v>110</v>
      </c>
      <c r="AQ23" s="208"/>
      <c r="AR23" s="208"/>
      <c r="AS23" s="208"/>
      <c r="AT23" s="208"/>
      <c r="AU23" s="208"/>
      <c r="AV23" s="645">
        <f>ROUND(AV19*AV22,0)</f>
        <v>15359268</v>
      </c>
      <c r="AW23" s="208"/>
      <c r="AX23" s="253">
        <f t="shared" si="8"/>
        <v>11</v>
      </c>
      <c r="AY23" s="254"/>
      <c r="AZ23" s="198"/>
      <c r="BA23" s="198"/>
      <c r="BB23" s="198"/>
      <c r="BC23" s="209"/>
      <c r="BD23" s="209"/>
      <c r="BL23" s="253">
        <f t="shared" si="9"/>
        <v>11</v>
      </c>
      <c r="BM23" s="139" t="s">
        <v>257</v>
      </c>
      <c r="BN23" s="152">
        <f>BN21/4</f>
        <v>0</v>
      </c>
      <c r="BO23" s="208"/>
      <c r="BP23" s="9">
        <f t="shared" si="10"/>
        <v>11</v>
      </c>
      <c r="BQ23" s="251" t="s">
        <v>825</v>
      </c>
      <c r="BR23" s="208"/>
      <c r="BS23" s="240">
        <f>BS21/36*12</f>
        <v>-763743.3566666675</v>
      </c>
      <c r="BT23" s="242"/>
      <c r="BV23" s="167"/>
      <c r="BW23" s="167"/>
      <c r="BX23" s="167"/>
      <c r="BY23" s="242"/>
      <c r="BZ23" s="167"/>
      <c r="CA23" s="167"/>
      <c r="CB23" s="167"/>
      <c r="CC23" s="167"/>
      <c r="CD23" s="253">
        <v>11</v>
      </c>
      <c r="CF23" s="179"/>
      <c r="CG23" s="179"/>
      <c r="CH23" s="179"/>
      <c r="CI23" s="253">
        <f t="shared" si="12"/>
        <v>11</v>
      </c>
      <c r="CJ23" s="591" t="s">
        <v>152</v>
      </c>
      <c r="CK23" s="47"/>
      <c r="CL23" s="47"/>
      <c r="CM23" s="138"/>
      <c r="CN23" s="253">
        <v>11</v>
      </c>
      <c r="CR23" s="479"/>
      <c r="CS23" s="253"/>
      <c r="CX23" s="209">
        <v>11</v>
      </c>
      <c r="CY23" s="209" t="s">
        <v>828</v>
      </c>
      <c r="CZ23" s="327"/>
      <c r="DA23" s="327"/>
      <c r="DB23" s="327">
        <f>DB15+DB21</f>
        <v>3092647.9339365205</v>
      </c>
      <c r="DC23" s="209">
        <f t="shared" si="18"/>
        <v>11</v>
      </c>
      <c r="DD23" s="209"/>
      <c r="DE23" s="186"/>
      <c r="DF23" s="186"/>
      <c r="DG23" s="234"/>
      <c r="DH23" s="209"/>
    </row>
    <row r="24" spans="1:120" ht="15" thickTop="1" thickBot="1">
      <c r="A24" s="9">
        <f t="shared" si="0"/>
        <v>13</v>
      </c>
      <c r="B24" s="709"/>
      <c r="C24" s="252"/>
      <c r="D24" s="710"/>
      <c r="E24" s="159"/>
      <c r="F24" s="9">
        <f t="shared" si="1"/>
        <v>12</v>
      </c>
      <c r="G24" s="532">
        <v>42552</v>
      </c>
      <c r="H24" s="196">
        <f>'[33]Lead E'!$C$21</f>
        <v>1647778275</v>
      </c>
      <c r="I24" s="196">
        <f>'[34]Weather Norm. Summary'!D23</f>
        <v>1645122246.7049186</v>
      </c>
      <c r="J24" s="28">
        <f t="shared" si="13"/>
        <v>-2656028.295081377</v>
      </c>
      <c r="K24" s="28"/>
      <c r="L24" s="252"/>
      <c r="M24" s="253">
        <f t="shared" si="2"/>
        <v>12</v>
      </c>
      <c r="N24" s="245" t="s">
        <v>374</v>
      </c>
      <c r="O24" s="252"/>
      <c r="P24" s="252"/>
      <c r="Q24" s="264">
        <f>'[24]Lead E'!$E$19</f>
        <v>4599593.6399999997</v>
      </c>
      <c r="R24" s="253">
        <f t="shared" si="3"/>
        <v>12</v>
      </c>
      <c r="S24" s="255" t="s">
        <v>525</v>
      </c>
      <c r="T24" s="195"/>
      <c r="U24" s="167">
        <v>0</v>
      </c>
      <c r="Y24" s="252"/>
      <c r="Z24" s="253">
        <f t="shared" si="5"/>
        <v>12</v>
      </c>
      <c r="AA24" s="255"/>
      <c r="AB24" s="96"/>
      <c r="AC24" s="347"/>
      <c r="AD24" s="327"/>
      <c r="AE24" s="253">
        <f t="shared" si="6"/>
        <v>12</v>
      </c>
      <c r="AF24" s="373"/>
      <c r="AG24" s="377"/>
      <c r="AH24" s="377"/>
      <c r="AI24" s="377"/>
      <c r="AO24" s="253">
        <f t="shared" si="19"/>
        <v>12</v>
      </c>
      <c r="AP24" s="252"/>
      <c r="AQ24" s="208"/>
      <c r="AR24" s="208"/>
      <c r="AS24" s="208"/>
      <c r="AT24" s="208"/>
      <c r="AU24" s="208"/>
      <c r="AV24" s="208"/>
      <c r="AW24" s="208"/>
      <c r="AX24" s="253">
        <f t="shared" si="8"/>
        <v>12</v>
      </c>
      <c r="AY24" s="254" t="s">
        <v>111</v>
      </c>
      <c r="AZ24" s="208">
        <f>'[26]Lead E'!$C$23</f>
        <v>462245.76916034456</v>
      </c>
      <c r="BA24" s="711">
        <f>(BA22/(AZ22/AZ24))</f>
        <v>472236.47875177953</v>
      </c>
      <c r="BB24" s="645">
        <f>BA24-AZ24</f>
        <v>9990.7095914349775</v>
      </c>
      <c r="BC24" s="209"/>
      <c r="BD24" s="209"/>
      <c r="BL24" s="253">
        <f t="shared" si="9"/>
        <v>12</v>
      </c>
      <c r="BM24" s="158" t="s">
        <v>258</v>
      </c>
      <c r="BN24" s="226">
        <v>0</v>
      </c>
      <c r="BO24" s="208"/>
      <c r="BP24" s="9">
        <f t="shared" si="10"/>
        <v>12</v>
      </c>
      <c r="BQ24" s="255"/>
      <c r="BR24" s="208"/>
      <c r="BS24" s="200"/>
      <c r="CD24" s="253">
        <v>12</v>
      </c>
      <c r="CE24" s="255" t="s">
        <v>161</v>
      </c>
      <c r="CF24" s="429">
        <f>'[27]Lead E'!E24</f>
        <v>6486464.3989615748</v>
      </c>
      <c r="CG24" s="712">
        <f>'[27]Lead E'!F24</f>
        <v>6619997.5749932379</v>
      </c>
      <c r="CH24" s="712">
        <f>'[27]Lead E'!G24</f>
        <v>133533.17603166337</v>
      </c>
      <c r="CI24" s="253">
        <f t="shared" si="12"/>
        <v>12</v>
      </c>
      <c r="CJ24" s="242" t="s">
        <v>153</v>
      </c>
      <c r="CK24" s="121"/>
      <c r="CL24" s="167">
        <f>'[28]Lead E'!$D$23</f>
        <v>1013154.9303599999</v>
      </c>
      <c r="CM24" s="213"/>
      <c r="CN24" s="253">
        <v>12</v>
      </c>
      <c r="CO24" s="255" t="s">
        <v>14</v>
      </c>
      <c r="CP24" s="255"/>
      <c r="CR24" s="593">
        <f>-CR20-CR22</f>
        <v>-121750.92923393101</v>
      </c>
      <c r="CS24" s="253"/>
      <c r="CX24" s="209">
        <v>12</v>
      </c>
      <c r="CY24" s="209"/>
      <c r="CZ24" s="327"/>
      <c r="DA24" s="327"/>
      <c r="DB24" s="327"/>
      <c r="DC24" s="209">
        <f t="shared" si="18"/>
        <v>12</v>
      </c>
      <c r="DD24" s="394" t="s">
        <v>0</v>
      </c>
      <c r="DE24" s="234"/>
      <c r="DF24" s="234"/>
      <c r="DG24" s="234"/>
    </row>
    <row r="25" spans="1:120" ht="14.25" thickTop="1">
      <c r="A25" s="9">
        <f t="shared" si="0"/>
        <v>14</v>
      </c>
      <c r="B25" s="224" t="s">
        <v>253</v>
      </c>
      <c r="C25" s="252"/>
      <c r="D25" s="159"/>
      <c r="E25" s="159"/>
      <c r="F25" s="9">
        <f t="shared" si="1"/>
        <v>13</v>
      </c>
      <c r="G25" s="532">
        <v>42583</v>
      </c>
      <c r="H25" s="196">
        <f>'[33]Lead E'!$C$22</f>
        <v>1712297533</v>
      </c>
      <c r="I25" s="196">
        <f>'[34]Weather Norm. Summary'!D24</f>
        <v>1683439145.9613144</v>
      </c>
      <c r="J25" s="28">
        <f t="shared" si="13"/>
        <v>-28858387.03868556</v>
      </c>
      <c r="K25" s="28"/>
      <c r="L25" s="252"/>
      <c r="M25" s="253">
        <f t="shared" si="2"/>
        <v>13</v>
      </c>
      <c r="N25" s="245" t="s">
        <v>375</v>
      </c>
      <c r="O25" s="252"/>
      <c r="P25" s="252"/>
      <c r="Q25" s="264">
        <f>'[24]Lead E'!$E$20</f>
        <v>-1563408.86</v>
      </c>
      <c r="R25" s="253">
        <f t="shared" si="3"/>
        <v>13</v>
      </c>
      <c r="S25" s="252" t="s">
        <v>529</v>
      </c>
      <c r="T25" s="263"/>
      <c r="U25" s="167">
        <f>'[14]Lead E'!$C$24</f>
        <v>581832300.8599999</v>
      </c>
      <c r="W25" s="640" t="s">
        <v>852</v>
      </c>
      <c r="X25" s="231"/>
      <c r="Z25" s="253">
        <f t="shared" si="5"/>
        <v>13</v>
      </c>
      <c r="AA25" s="255" t="s">
        <v>384</v>
      </c>
      <c r="AB25" s="96"/>
      <c r="AC25" s="96"/>
      <c r="AD25" s="187"/>
      <c r="AE25" s="253">
        <f t="shared" si="6"/>
        <v>13</v>
      </c>
      <c r="AF25" s="370"/>
      <c r="AG25" s="377"/>
      <c r="AH25" s="377"/>
      <c r="AI25" s="377"/>
      <c r="AO25" s="253">
        <f t="shared" si="19"/>
        <v>13</v>
      </c>
      <c r="AP25" s="255" t="s">
        <v>13</v>
      </c>
      <c r="AQ25" s="208"/>
      <c r="AR25" s="208"/>
      <c r="AS25" s="137"/>
      <c r="AT25" s="137"/>
      <c r="AU25" s="229"/>
      <c r="AV25" s="208">
        <f>'[25]Lead E'!$H$26</f>
        <v>16407059.630000001</v>
      </c>
      <c r="AW25" s="208"/>
      <c r="AX25" s="253">
        <f t="shared" si="8"/>
        <v>13</v>
      </c>
      <c r="AY25" s="252" t="s">
        <v>319</v>
      </c>
      <c r="AZ25" s="479">
        <f>SUM(AZ22:AZ24)</f>
        <v>7823003.9286955558</v>
      </c>
      <c r="BA25" s="707">
        <f>SUM(BA22:BA24)</f>
        <v>7992085.7583166743</v>
      </c>
      <c r="BB25" s="707">
        <f>SUM(BB22:BB24)</f>
        <v>169081.8296211182</v>
      </c>
      <c r="BL25" s="253">
        <f t="shared" si="9"/>
        <v>13</v>
      </c>
      <c r="BM25" s="255" t="s">
        <v>21</v>
      </c>
      <c r="BN25" s="484">
        <f>+BN23-BN24</f>
        <v>0</v>
      </c>
      <c r="BO25" s="200">
        <f>+BN25</f>
        <v>0</v>
      </c>
      <c r="BP25" s="9">
        <f t="shared" si="10"/>
        <v>13</v>
      </c>
      <c r="BQ25" s="252" t="s">
        <v>167</v>
      </c>
      <c r="BR25" s="208"/>
      <c r="BS25" s="419">
        <f>'[20]Lead E'!$C$26</f>
        <v>-500359.08000000007</v>
      </c>
      <c r="CD25" s="253">
        <v>13</v>
      </c>
      <c r="CE25" s="255" t="s">
        <v>114</v>
      </c>
      <c r="CF25" s="479">
        <f>SUM(CF22:CF24)</f>
        <v>104115389.29719135</v>
      </c>
      <c r="CG25" s="697">
        <f>SUM(CG22:CG24)</f>
        <v>106204182.51112656</v>
      </c>
      <c r="CH25" s="697">
        <f>SUM(CH22:CH24)</f>
        <v>2088793.2139351959</v>
      </c>
      <c r="CI25" s="253">
        <f t="shared" si="12"/>
        <v>13</v>
      </c>
      <c r="CJ25" s="388" t="s">
        <v>154</v>
      </c>
      <c r="CK25" s="232">
        <f>'[28]Lead E'!$C$24</f>
        <v>0.03</v>
      </c>
      <c r="CL25" s="382">
        <f>'[28]Lead E'!$D$24</f>
        <v>30394.647910799995</v>
      </c>
      <c r="CM25" s="213"/>
      <c r="CN25" s="253"/>
      <c r="CS25" s="253"/>
      <c r="CX25" s="209">
        <v>13</v>
      </c>
      <c r="CY25" s="209" t="s">
        <v>12</v>
      </c>
      <c r="CZ25" s="186"/>
      <c r="DA25" s="347">
        <v>0.35</v>
      </c>
      <c r="DB25" s="186">
        <f>-DB23*DA25</f>
        <v>-1082426.7768777821</v>
      </c>
      <c r="DC25" s="209">
        <f t="shared" si="18"/>
        <v>13</v>
      </c>
      <c r="DD25" s="129" t="s">
        <v>719</v>
      </c>
      <c r="DE25" s="186">
        <f>'[36]Lead E'!$D$26</f>
        <v>363750.12810969783</v>
      </c>
      <c r="DF25" s="186">
        <f>'[36]Lead E'!$E$26</f>
        <v>0</v>
      </c>
      <c r="DG25" s="186">
        <f>DF25-DE25</f>
        <v>-363750.12810969783</v>
      </c>
    </row>
    <row r="26" spans="1:120" ht="13.5">
      <c r="A26" s="9">
        <f t="shared" si="0"/>
        <v>15</v>
      </c>
      <c r="B26" s="709"/>
      <c r="C26" s="252"/>
      <c r="D26" s="159"/>
      <c r="E26" s="159"/>
      <c r="F26" s="9">
        <f t="shared" si="1"/>
        <v>14</v>
      </c>
      <c r="G26" s="532">
        <v>42614</v>
      </c>
      <c r="H26" s="196">
        <f>'[33]Lead E'!$C$23</f>
        <v>1559199266</v>
      </c>
      <c r="I26" s="196">
        <f>'[34]Weather Norm. Summary'!D25</f>
        <v>1572781669.7643468</v>
      </c>
      <c r="J26" s="223">
        <f t="shared" si="13"/>
        <v>13582403.764346838</v>
      </c>
      <c r="K26" s="223"/>
      <c r="L26" s="252"/>
      <c r="M26" s="253">
        <f t="shared" si="2"/>
        <v>14</v>
      </c>
      <c r="N26" s="241" t="s">
        <v>376</v>
      </c>
      <c r="O26" s="252"/>
      <c r="P26" s="252"/>
      <c r="Q26" s="264">
        <f>'[24]Lead E'!$E$21</f>
        <v>-257285.07999999996</v>
      </c>
      <c r="R26" s="253">
        <f t="shared" si="3"/>
        <v>14</v>
      </c>
      <c r="S26" s="252" t="s">
        <v>530</v>
      </c>
      <c r="T26" s="263"/>
      <c r="U26" s="167">
        <f>'[14]Lead E'!$C$25</f>
        <v>-399835386.18000001</v>
      </c>
      <c r="Z26" s="253">
        <f t="shared" si="5"/>
        <v>14</v>
      </c>
      <c r="AA26" s="255" t="s">
        <v>775</v>
      </c>
      <c r="AB26" s="326">
        <f>+'[15]Lead E'!C25</f>
        <v>1424661.0825685868</v>
      </c>
      <c r="AC26" s="1199">
        <f>'[16]Dep Summary'!$D$25</f>
        <v>1813988.5566141573</v>
      </c>
      <c r="AD26" s="1200">
        <f>AC26-AB26</f>
        <v>389327.47404557047</v>
      </c>
      <c r="AE26" s="253">
        <f t="shared" si="6"/>
        <v>14</v>
      </c>
      <c r="AF26" s="375" t="s">
        <v>21</v>
      </c>
      <c r="AG26" s="377">
        <f>+AG22</f>
        <v>0</v>
      </c>
      <c r="AH26" s="377">
        <f>+AH22</f>
        <v>7090529.6672114292</v>
      </c>
      <c r="AI26" s="377">
        <f>+AI22</f>
        <v>7090529.6672114292</v>
      </c>
      <c r="AO26" s="253">
        <f t="shared" si="19"/>
        <v>14</v>
      </c>
      <c r="AP26" s="37" t="s">
        <v>21</v>
      </c>
      <c r="AQ26" s="208"/>
      <c r="AR26" s="208"/>
      <c r="AS26" s="208"/>
      <c r="AT26" s="208"/>
      <c r="AU26" s="208"/>
      <c r="AV26" s="479"/>
      <c r="AW26" s="645">
        <f>ROUND(AV23-AV25,0)</f>
        <v>-1047792</v>
      </c>
      <c r="AX26" s="253">
        <f t="shared" si="8"/>
        <v>14</v>
      </c>
      <c r="AY26" s="252"/>
      <c r="AZ26" s="208"/>
      <c r="BA26" s="208"/>
      <c r="BB26" s="208"/>
      <c r="BL26" s="253">
        <f t="shared" si="9"/>
        <v>14</v>
      </c>
      <c r="BN26" s="208"/>
      <c r="BO26" s="200"/>
      <c r="BP26" s="9">
        <f t="shared" si="10"/>
        <v>14</v>
      </c>
      <c r="BR26" s="208"/>
      <c r="BS26" s="200"/>
      <c r="CD26" s="253">
        <v>14</v>
      </c>
      <c r="CE26" s="255"/>
      <c r="CF26" s="179"/>
      <c r="CG26" s="246"/>
      <c r="CH26" s="179"/>
      <c r="CI26" s="253">
        <f t="shared" si="12"/>
        <v>14</v>
      </c>
      <c r="CJ26" s="109" t="s">
        <v>155</v>
      </c>
      <c r="CK26" s="109"/>
      <c r="CL26" s="109"/>
      <c r="CM26" s="138">
        <f>SUM(CL24:CL25)</f>
        <v>1043549.5782707998</v>
      </c>
      <c r="CN26" s="242"/>
      <c r="CS26" s="253"/>
      <c r="CT26" s="213"/>
      <c r="CU26" s="213"/>
      <c r="CV26" s="213"/>
      <c r="CW26" s="213"/>
      <c r="CX26" s="209">
        <v>14</v>
      </c>
      <c r="CY26" s="209"/>
      <c r="CZ26" s="186"/>
      <c r="DA26" s="186"/>
      <c r="DB26" s="186"/>
      <c r="DC26" s="209">
        <f t="shared" si="18"/>
        <v>14</v>
      </c>
      <c r="DD26" s="129" t="s">
        <v>134</v>
      </c>
      <c r="DE26" s="186">
        <f>'[36]Lead E'!$D$27</f>
        <v>52293.815747347493</v>
      </c>
      <c r="DF26" s="186">
        <f>'[36]Lead E'!$E$27</f>
        <v>101997.73424324865</v>
      </c>
      <c r="DG26" s="186">
        <f>DF26-DE26</f>
        <v>49703.918495901155</v>
      </c>
    </row>
    <row r="27" spans="1:120" ht="14.25" thickBot="1">
      <c r="A27" s="9">
        <f t="shared" si="0"/>
        <v>16</v>
      </c>
      <c r="B27" s="224" t="s">
        <v>629</v>
      </c>
      <c r="E27" s="159"/>
      <c r="F27" s="9">
        <f t="shared" si="1"/>
        <v>15</v>
      </c>
      <c r="G27" s="252"/>
      <c r="H27" s="477">
        <f>ROUND(SUM(H15:H26),0)</f>
        <v>22007938139</v>
      </c>
      <c r="I27" s="477">
        <f>ROUND(SUM(I15:I26),0)</f>
        <v>22334293941</v>
      </c>
      <c r="J27" s="477">
        <f>ROUND(SUM(J15:J26),0)</f>
        <v>326355802</v>
      </c>
      <c r="K27" s="477"/>
      <c r="L27" s="713"/>
      <c r="M27" s="253">
        <f t="shared" si="2"/>
        <v>15</v>
      </c>
      <c r="N27" s="241" t="s">
        <v>240</v>
      </c>
      <c r="O27" s="121"/>
      <c r="P27" s="186"/>
      <c r="Q27" s="598">
        <f>SUM(Q14:Q26)</f>
        <v>192824371.04000002</v>
      </c>
      <c r="R27" s="253">
        <f t="shared" si="3"/>
        <v>15</v>
      </c>
      <c r="S27" s="252" t="s">
        <v>531</v>
      </c>
      <c r="T27" s="226"/>
      <c r="U27" s="599"/>
      <c r="Z27" s="253">
        <f t="shared" si="5"/>
        <v>15</v>
      </c>
      <c r="AA27" s="167" t="s">
        <v>776</v>
      </c>
      <c r="AB27" s="326">
        <f>+'[15]Lead E'!C26</f>
        <v>1148003.003511413</v>
      </c>
      <c r="AC27" s="326">
        <f>+'[15]Lead E'!D26</f>
        <v>0</v>
      </c>
      <c r="AD27" s="419">
        <f>AC27-AB27</f>
        <v>-1148003.003511413</v>
      </c>
      <c r="AE27" s="253">
        <f t="shared" si="6"/>
        <v>15</v>
      </c>
      <c r="AF27" s="369"/>
      <c r="AG27" s="377"/>
      <c r="AH27" s="377"/>
      <c r="AI27" s="377"/>
      <c r="AO27" s="253">
        <f t="shared" si="19"/>
        <v>15</v>
      </c>
      <c r="AP27" s="92"/>
      <c r="AQ27" s="208"/>
      <c r="AR27" s="208"/>
      <c r="AS27" s="208"/>
      <c r="AT27" s="208"/>
      <c r="AU27" s="208"/>
      <c r="AV27" s="208"/>
      <c r="AW27" s="208"/>
      <c r="AX27" s="253">
        <f t="shared" si="8"/>
        <v>15</v>
      </c>
      <c r="AY27" s="252" t="s">
        <v>199</v>
      </c>
      <c r="AZ27" s="208"/>
      <c r="BA27" s="208"/>
      <c r="BB27" s="698">
        <f>BB25</f>
        <v>169081.8296211182</v>
      </c>
      <c r="BL27" s="253">
        <f t="shared" si="9"/>
        <v>15</v>
      </c>
      <c r="BM27" s="255"/>
      <c r="BN27" s="208"/>
      <c r="BO27" s="429"/>
      <c r="BP27" s="9">
        <f t="shared" si="10"/>
        <v>15</v>
      </c>
      <c r="BQ27" s="252" t="s">
        <v>826</v>
      </c>
      <c r="BR27" s="208"/>
      <c r="BS27" s="208">
        <f>BS23-BS25</f>
        <v>-263384.27666666743</v>
      </c>
      <c r="CD27" s="253">
        <v>15</v>
      </c>
      <c r="CE27" s="255" t="s">
        <v>199</v>
      </c>
      <c r="CF27" s="246"/>
      <c r="CG27" s="246"/>
      <c r="CH27" s="642">
        <f>CH25</f>
        <v>2088793.2139351959</v>
      </c>
      <c r="CI27" s="253">
        <f t="shared" si="12"/>
        <v>15</v>
      </c>
      <c r="CJ27" s="320"/>
      <c r="CK27" s="117"/>
      <c r="CL27" s="117"/>
      <c r="CM27" s="213"/>
      <c r="CN27" s="253"/>
      <c r="CS27" s="253"/>
      <c r="CT27" s="213"/>
      <c r="CU27" s="213"/>
      <c r="CV27" s="213"/>
      <c r="CW27" s="213"/>
      <c r="CX27" s="209">
        <v>15</v>
      </c>
      <c r="CY27" s="209" t="s">
        <v>109</v>
      </c>
      <c r="CZ27" s="186"/>
      <c r="DA27" s="186"/>
      <c r="DB27" s="386">
        <f>-DB23-DB25</f>
        <v>-2010221.1570587384</v>
      </c>
      <c r="DC27" s="209">
        <f t="shared" si="18"/>
        <v>15</v>
      </c>
      <c r="DD27" s="129" t="s">
        <v>720</v>
      </c>
      <c r="DE27" s="186">
        <f>'[36]Lead E'!$D$28</f>
        <v>-39544.098966941405</v>
      </c>
      <c r="DF27" s="186">
        <f>'[36]Lead E'!$E$28</f>
        <v>0</v>
      </c>
      <c r="DG27" s="186">
        <f>DF27-DE27</f>
        <v>39544.098966941405</v>
      </c>
    </row>
    <row r="28" spans="1:120" ht="14.25" thickTop="1">
      <c r="A28" s="9">
        <f t="shared" si="0"/>
        <v>17</v>
      </c>
      <c r="B28" s="418" t="s">
        <v>679</v>
      </c>
      <c r="C28" s="188"/>
      <c r="D28" s="267">
        <f>'[32]Lead E'!$D$27</f>
        <v>-7446504.8799999999</v>
      </c>
      <c r="E28" s="159"/>
      <c r="F28" s="9">
        <f t="shared" si="1"/>
        <v>16</v>
      </c>
      <c r="G28" s="252"/>
      <c r="H28" s="72"/>
      <c r="I28" s="72"/>
      <c r="J28" s="72"/>
      <c r="K28" s="252"/>
      <c r="L28" s="252"/>
      <c r="M28" s="253">
        <f t="shared" si="2"/>
        <v>16</v>
      </c>
      <c r="N28" s="252"/>
      <c r="O28" s="252"/>
      <c r="P28" s="252"/>
      <c r="Q28" s="208"/>
      <c r="R28" s="253">
        <f t="shared" si="3"/>
        <v>16</v>
      </c>
      <c r="S28" s="255" t="s">
        <v>532</v>
      </c>
      <c r="T28" s="251"/>
      <c r="U28" s="226">
        <f>SUM(U24:U27)</f>
        <v>181996914.67999989</v>
      </c>
      <c r="Z28" s="253">
        <f t="shared" si="5"/>
        <v>16</v>
      </c>
      <c r="AA28" s="252" t="s">
        <v>777</v>
      </c>
      <c r="AB28" s="482">
        <f>SUM(AB26:AB27)</f>
        <v>2572664.0860799998</v>
      </c>
      <c r="AC28" s="1198">
        <f>SUM(AC26:AC27)</f>
        <v>1813988.5566141573</v>
      </c>
      <c r="AD28" s="1198">
        <f>SUM(AD26:AD27)</f>
        <v>-758675.52946584253</v>
      </c>
      <c r="AE28" s="253">
        <f t="shared" si="6"/>
        <v>16</v>
      </c>
      <c r="AF28" s="378" t="s">
        <v>12</v>
      </c>
      <c r="AG28" s="379">
        <v>0.35</v>
      </c>
      <c r="AH28" s="380"/>
      <c r="AI28" s="421">
        <f>-AI26*AG28</f>
        <v>-2481685.3835240002</v>
      </c>
      <c r="AO28" s="253">
        <f t="shared" si="19"/>
        <v>16</v>
      </c>
      <c r="AP28" s="37" t="s">
        <v>17</v>
      </c>
      <c r="AQ28" s="208"/>
      <c r="AR28" s="208"/>
      <c r="AS28" s="208"/>
      <c r="AT28" s="208"/>
      <c r="AU28" s="208"/>
      <c r="AV28" s="157">
        <v>0.35</v>
      </c>
      <c r="AW28" s="645">
        <f>ROUND(-AW26*AV28,0)</f>
        <v>366727</v>
      </c>
      <c r="AX28" s="253">
        <f t="shared" si="8"/>
        <v>16</v>
      </c>
      <c r="AY28" s="252"/>
      <c r="AZ28" s="208"/>
      <c r="BA28" s="208"/>
      <c r="BB28" s="208"/>
      <c r="BL28" s="253">
        <f t="shared" si="9"/>
        <v>16</v>
      </c>
      <c r="BM28" s="255" t="s">
        <v>57</v>
      </c>
      <c r="BN28" s="208"/>
      <c r="BO28" s="190">
        <f>+BO19+BO25</f>
        <v>0</v>
      </c>
      <c r="BP28" s="9">
        <f t="shared" si="10"/>
        <v>16</v>
      </c>
      <c r="BR28" s="208"/>
      <c r="BS28" s="200"/>
      <c r="CD28" s="253">
        <v>16</v>
      </c>
      <c r="CE28" s="255" t="s">
        <v>28</v>
      </c>
      <c r="CF28" s="179"/>
      <c r="CG28" s="179"/>
      <c r="CH28" s="642">
        <f>-CH27*0.35</f>
        <v>-731077.62487731851</v>
      </c>
      <c r="CI28" s="253">
        <f t="shared" si="12"/>
        <v>16</v>
      </c>
      <c r="CJ28" s="600" t="s">
        <v>84</v>
      </c>
      <c r="CK28" s="168"/>
      <c r="CL28" s="168"/>
      <c r="CM28" s="213"/>
      <c r="CN28" s="253"/>
      <c r="CS28" s="253"/>
      <c r="CT28" s="213"/>
      <c r="CU28" s="213"/>
      <c r="CV28" s="213"/>
      <c r="CW28" s="213"/>
      <c r="CY28" s="209"/>
      <c r="DC28" s="209">
        <f t="shared" si="18"/>
        <v>16</v>
      </c>
      <c r="DD28" s="129" t="s">
        <v>688</v>
      </c>
      <c r="DE28" s="445">
        <f>'[36]Lead E'!$D$29</f>
        <v>393261.64299999998</v>
      </c>
      <c r="DF28" s="445">
        <f>'[36]Lead E'!$E$29</f>
        <v>0</v>
      </c>
      <c r="DG28" s="445">
        <f>DF28-DE28</f>
        <v>-393261.64299999998</v>
      </c>
    </row>
    <row r="29" spans="1:120" ht="17.25" customHeight="1" thickBot="1">
      <c r="A29" s="9">
        <f t="shared" si="0"/>
        <v>18</v>
      </c>
      <c r="B29" s="201" t="s">
        <v>426</v>
      </c>
      <c r="C29" s="188"/>
      <c r="D29" s="267">
        <f>'[32]Lead E'!$D$28</f>
        <v>11994134.030000001</v>
      </c>
      <c r="E29" s="159"/>
      <c r="F29" s="9">
        <f t="shared" si="1"/>
        <v>17</v>
      </c>
      <c r="G29" s="252" t="s">
        <v>159</v>
      </c>
      <c r="H29" s="252" t="s">
        <v>187</v>
      </c>
      <c r="I29" s="167"/>
      <c r="J29" s="196">
        <f>'[34]Weather Norm. Summary'!E28</f>
        <v>30342027.058504373</v>
      </c>
      <c r="K29" s="478"/>
      <c r="L29" s="252"/>
      <c r="M29" s="253">
        <f t="shared" si="2"/>
        <v>17</v>
      </c>
      <c r="N29" s="135" t="s">
        <v>241</v>
      </c>
      <c r="O29" s="121"/>
      <c r="P29" s="133"/>
      <c r="Q29" s="208"/>
      <c r="R29" s="253">
        <f t="shared" si="3"/>
        <v>17</v>
      </c>
      <c r="S29" s="252" t="s">
        <v>253</v>
      </c>
      <c r="T29" s="24"/>
      <c r="U29" s="167" t="s">
        <v>253</v>
      </c>
      <c r="Z29" s="253">
        <f t="shared" si="5"/>
        <v>17</v>
      </c>
      <c r="AA29" s="167"/>
      <c r="AB29" s="167"/>
      <c r="AC29" s="167"/>
      <c r="AD29" s="167"/>
      <c r="AE29" s="253">
        <f t="shared" si="6"/>
        <v>17</v>
      </c>
      <c r="AF29" s="378" t="s">
        <v>109</v>
      </c>
      <c r="AG29" s="380"/>
      <c r="AH29" s="380"/>
      <c r="AI29" s="830">
        <f>-AI26-AI28</f>
        <v>-4608844.2836874295</v>
      </c>
      <c r="AO29" s="253">
        <f t="shared" si="19"/>
        <v>17</v>
      </c>
      <c r="AP29" s="37" t="s">
        <v>109</v>
      </c>
      <c r="AQ29" s="208"/>
      <c r="AR29" s="208"/>
      <c r="AS29" s="208"/>
      <c r="AT29" s="208"/>
      <c r="AU29" s="208"/>
      <c r="AV29" s="208"/>
      <c r="AW29" s="708">
        <f>-AW26-AW28</f>
        <v>681065</v>
      </c>
      <c r="AX29" s="253">
        <f t="shared" si="8"/>
        <v>17</v>
      </c>
      <c r="AY29" s="255" t="s">
        <v>12</v>
      </c>
      <c r="AZ29" s="252"/>
      <c r="BA29" s="157">
        <f>k_FITrate</f>
        <v>0.35</v>
      </c>
      <c r="BB29" s="642">
        <f>-BB27*BA29</f>
        <v>-59178.640367391366</v>
      </c>
      <c r="BH29" s="253"/>
      <c r="BL29" s="253">
        <f t="shared" si="9"/>
        <v>17</v>
      </c>
      <c r="BM29" s="114"/>
      <c r="BN29" s="208"/>
      <c r="BO29" s="194"/>
      <c r="BP29" s="9">
        <f t="shared" si="10"/>
        <v>17</v>
      </c>
      <c r="BQ29" s="227" t="s">
        <v>28</v>
      </c>
      <c r="BR29" s="208"/>
      <c r="BS29" s="419">
        <f>-BS27*0.35</f>
        <v>92184.4968333336</v>
      </c>
      <c r="CD29" s="253">
        <v>17</v>
      </c>
      <c r="CE29" s="255" t="s">
        <v>109</v>
      </c>
      <c r="CF29" s="208"/>
      <c r="CG29" s="208"/>
      <c r="CH29" s="647">
        <f>-CH27-CH28</f>
        <v>-1357715.5890578774</v>
      </c>
      <c r="CI29" s="253">
        <f t="shared" si="12"/>
        <v>17</v>
      </c>
      <c r="CJ29" s="535" t="s">
        <v>52</v>
      </c>
      <c r="CK29" s="121"/>
      <c r="CL29" s="121"/>
      <c r="CM29" s="703">
        <f>+CM16+CM21+CM26</f>
        <v>11502217.306004424</v>
      </c>
      <c r="CN29" s="253"/>
      <c r="CS29" s="253"/>
      <c r="CT29" s="213"/>
      <c r="CU29" s="213"/>
      <c r="CV29" s="213"/>
      <c r="CW29" s="213"/>
      <c r="DA29" s="818"/>
      <c r="DC29" s="209">
        <f t="shared" si="18"/>
        <v>17</v>
      </c>
      <c r="DD29" s="129" t="s">
        <v>253</v>
      </c>
      <c r="DE29" s="327"/>
      <c r="DF29" s="327"/>
      <c r="DG29" s="327"/>
    </row>
    <row r="30" spans="1:120" ht="15" thickTop="1" thickBot="1">
      <c r="A30" s="9">
        <f t="shared" si="0"/>
        <v>19</v>
      </c>
      <c r="B30" s="201" t="s">
        <v>683</v>
      </c>
      <c r="C30" s="93" t="s">
        <v>253</v>
      </c>
      <c r="D30" s="267">
        <f>'[32]Lead E'!$D$29</f>
        <v>-32491234.77</v>
      </c>
      <c r="E30" s="208"/>
      <c r="F30" s="9">
        <f t="shared" si="1"/>
        <v>18</v>
      </c>
      <c r="G30" s="253"/>
      <c r="H30" s="252" t="s">
        <v>1103</v>
      </c>
      <c r="I30" s="167"/>
      <c r="J30" s="196">
        <f>'[34]Weather Norm. Summary'!E29</f>
        <v>2348581.4038942917</v>
      </c>
      <c r="K30" s="196"/>
      <c r="L30" s="252"/>
      <c r="M30" s="253">
        <f t="shared" si="2"/>
        <v>18</v>
      </c>
      <c r="N30" s="252" t="s">
        <v>254</v>
      </c>
      <c r="O30" s="252"/>
      <c r="P30" s="133">
        <f>'EXHIBIT MCC-3'!$P$13</f>
        <v>7.1570000000000002E-3</v>
      </c>
      <c r="Q30" s="208">
        <f>-SUM(Q14+Q15+Q16+Q17+Q18+Q19+Q20+Q24+Q26)*P30</f>
        <v>-1378053.9992858302</v>
      </c>
      <c r="R30" s="253">
        <f t="shared" si="3"/>
        <v>18</v>
      </c>
      <c r="S30" s="255" t="s">
        <v>22</v>
      </c>
      <c r="T30" s="255"/>
      <c r="U30" s="208">
        <f>U16-U24</f>
        <v>144836215.65657258</v>
      </c>
      <c r="Z30" s="253">
        <f t="shared" si="5"/>
        <v>18</v>
      </c>
      <c r="AA30" s="359" t="s">
        <v>778</v>
      </c>
      <c r="AB30" s="326">
        <f>'[15]Lead E'!$C$30</f>
        <v>846819.31998199993</v>
      </c>
      <c r="AC30" s="326">
        <f>'[15]Lead E'!$D$30</f>
        <v>539848.88443131489</v>
      </c>
      <c r="AD30" s="200">
        <f>AC30-AB30</f>
        <v>-306970.43555068504</v>
      </c>
      <c r="AE30" s="200"/>
      <c r="AF30" s="200"/>
      <c r="AG30" s="200"/>
      <c r="AH30" s="200"/>
      <c r="AI30" s="200"/>
      <c r="AX30" s="253">
        <f t="shared" si="8"/>
        <v>18</v>
      </c>
      <c r="AY30" s="255" t="s">
        <v>109</v>
      </c>
      <c r="AZ30" s="255"/>
      <c r="BA30" s="252"/>
      <c r="BB30" s="708">
        <f>-BB27-BB29</f>
        <v>-109903.18925372683</v>
      </c>
      <c r="BH30" s="253"/>
      <c r="BL30" s="253">
        <f t="shared" si="9"/>
        <v>18</v>
      </c>
      <c r="BM30" s="114" t="s">
        <v>6</v>
      </c>
      <c r="BN30" s="192">
        <v>0.35</v>
      </c>
      <c r="BO30" s="601">
        <f>-BO28*BN30</f>
        <v>0</v>
      </c>
      <c r="BP30" s="9">
        <f t="shared" si="10"/>
        <v>18</v>
      </c>
      <c r="BQ30" s="167"/>
      <c r="BR30" s="167"/>
      <c r="BS30" s="167"/>
      <c r="CI30" s="253">
        <f t="shared" si="12"/>
        <v>18</v>
      </c>
      <c r="CJ30" s="166" t="s">
        <v>123</v>
      </c>
      <c r="CK30" s="46">
        <f>'[28]Lead E'!$C$29</f>
        <v>0.54659120593235488</v>
      </c>
      <c r="CL30" s="46"/>
      <c r="CM30" s="714">
        <f>+CM29*CK30</f>
        <v>6287010.8281849604</v>
      </c>
      <c r="CS30" s="213"/>
      <c r="CT30" s="213"/>
      <c r="CU30" s="213"/>
      <c r="CV30" s="213"/>
      <c r="CW30" s="213"/>
      <c r="DC30" s="209">
        <f t="shared" si="18"/>
        <v>18</v>
      </c>
      <c r="DD30" s="395" t="s">
        <v>260</v>
      </c>
      <c r="DE30" s="602">
        <f>SUM(DE25:DE29)</f>
        <v>769761.48789010383</v>
      </c>
      <c r="DF30" s="602">
        <f>SUM(DF25:DF29)</f>
        <v>101997.73424324865</v>
      </c>
      <c r="DG30" s="602">
        <f>SUM(DG25:DG29)</f>
        <v>-667763.75364685524</v>
      </c>
    </row>
    <row r="31" spans="1:120" ht="15" thickTop="1" thickBot="1">
      <c r="A31" s="9">
        <f t="shared" si="0"/>
        <v>20</v>
      </c>
      <c r="B31" s="201" t="s">
        <v>684</v>
      </c>
      <c r="D31" s="186">
        <f>'[32]Lead E'!$D$30</f>
        <v>17718442.649999999</v>
      </c>
      <c r="E31" s="715"/>
      <c r="F31" s="9">
        <f t="shared" si="1"/>
        <v>19</v>
      </c>
      <c r="G31" s="252"/>
      <c r="H31" s="255" t="s">
        <v>1104</v>
      </c>
      <c r="I31" s="167"/>
      <c r="J31" s="196">
        <f>'[34]Weather Norm. Summary'!E30</f>
        <v>259844.87765631173</v>
      </c>
      <c r="K31" s="196"/>
      <c r="L31" s="252"/>
      <c r="M31" s="253">
        <f t="shared" si="2"/>
        <v>19</v>
      </c>
      <c r="N31" s="252" t="s">
        <v>108</v>
      </c>
      <c r="O31" s="252"/>
      <c r="P31" s="134">
        <f>'EXHIBIT MCC-3'!$P$14</f>
        <v>2E-3</v>
      </c>
      <c r="Q31" s="208">
        <f>-SUM(Q14+Q15+Q16+Q17+Q18+Q19+Q20+Q24+Q26)*P31</f>
        <v>-385092.63638000004</v>
      </c>
      <c r="R31" s="253">
        <f t="shared" si="3"/>
        <v>19</v>
      </c>
      <c r="S31" s="255" t="s">
        <v>533</v>
      </c>
      <c r="T31" s="252"/>
      <c r="U31" s="226">
        <f>U18+U19+U20-U25-U26-U27</f>
        <v>-117812976.8499999</v>
      </c>
      <c r="Z31" s="253">
        <f t="shared" si="5"/>
        <v>19</v>
      </c>
      <c r="AA31" s="167"/>
      <c r="AB31" s="480"/>
      <c r="AC31" s="480"/>
      <c r="AD31" s="480"/>
      <c r="AE31" s="138"/>
      <c r="AF31" s="138"/>
      <c r="AG31" s="138"/>
      <c r="AH31" s="138"/>
      <c r="AI31" s="138"/>
      <c r="AP31" s="640" t="s">
        <v>852</v>
      </c>
      <c r="AX31" s="253"/>
      <c r="BL31" s="253">
        <f t="shared" si="9"/>
        <v>19</v>
      </c>
      <c r="BM31" s="114" t="s">
        <v>14</v>
      </c>
      <c r="BN31" s="198"/>
      <c r="BO31" s="386">
        <f>-BO28-BO30</f>
        <v>0</v>
      </c>
      <c r="BP31" s="9">
        <f t="shared" si="10"/>
        <v>19</v>
      </c>
      <c r="BQ31" s="167" t="s">
        <v>109</v>
      </c>
      <c r="BR31" s="167"/>
      <c r="BS31" s="593">
        <f>-BS27-BS29</f>
        <v>171199.77983333383</v>
      </c>
      <c r="CD31" s="242"/>
      <c r="CE31" s="640" t="s">
        <v>852</v>
      </c>
      <c r="CH31" s="198"/>
      <c r="CI31" s="253">
        <f t="shared" si="12"/>
        <v>19</v>
      </c>
      <c r="CJ31" s="242" t="s">
        <v>757</v>
      </c>
      <c r="CK31" s="10"/>
      <c r="CL31" s="10"/>
      <c r="CM31" s="603">
        <f>(+CL14+CL19+CL24)*CK30</f>
        <v>6138235.1517870678</v>
      </c>
      <c r="CS31" s="213"/>
      <c r="CT31" s="213"/>
      <c r="CU31" s="213"/>
      <c r="CV31" s="213"/>
      <c r="CW31" s="213"/>
      <c r="DC31" s="209">
        <f t="shared" si="18"/>
        <v>19</v>
      </c>
    </row>
    <row r="32" spans="1:120" ht="15" thickTop="1" thickBot="1">
      <c r="A32" s="9">
        <f t="shared" si="0"/>
        <v>21</v>
      </c>
      <c r="B32" s="201" t="s">
        <v>566</v>
      </c>
      <c r="C32" s="93"/>
      <c r="D32" s="479">
        <f>SUM(D28:D31)</f>
        <v>-10225162.969999999</v>
      </c>
      <c r="F32" s="9">
        <f t="shared" si="1"/>
        <v>20</v>
      </c>
      <c r="G32" s="252"/>
      <c r="H32" s="252" t="s">
        <v>1105</v>
      </c>
      <c r="I32" s="167"/>
      <c r="J32" s="196">
        <f>'[34]Weather Norm. Summary'!E31</f>
        <v>-30377.788362872634</v>
      </c>
      <c r="K32" s="196"/>
      <c r="L32" s="252"/>
      <c r="M32" s="253">
        <f t="shared" si="2"/>
        <v>20</v>
      </c>
      <c r="N32" s="252" t="s">
        <v>206</v>
      </c>
      <c r="O32" s="252"/>
      <c r="P32" s="212">
        <f>'EXHIBIT MCC-3'!$P$15</f>
        <v>3.8456999999999998E-2</v>
      </c>
      <c r="Q32" s="208">
        <f>-SUM(Q14+Q15+Q16+Q17+Q18+Q19+Q20+Q24+Q26)*P32</f>
        <v>-7404753.7586328303</v>
      </c>
      <c r="R32" s="253">
        <f t="shared" si="3"/>
        <v>20</v>
      </c>
      <c r="S32" s="255" t="s">
        <v>231</v>
      </c>
      <c r="T32" s="255"/>
      <c r="U32" s="386">
        <f>-SUM(U30:U31)</f>
        <v>-27023238.806572676</v>
      </c>
      <c r="Z32" s="253">
        <f t="shared" si="5"/>
        <v>20</v>
      </c>
      <c r="AA32" s="167"/>
      <c r="AB32" s="167"/>
      <c r="AC32" s="167"/>
      <c r="AD32" s="167"/>
      <c r="AE32" s="167"/>
      <c r="AF32" s="167"/>
      <c r="AG32" s="167"/>
      <c r="AH32" s="167"/>
      <c r="AI32" s="167"/>
      <c r="AX32" s="253"/>
      <c r="AY32" s="640" t="s">
        <v>852</v>
      </c>
      <c r="BL32" s="253"/>
      <c r="BQ32" s="227"/>
      <c r="BR32" s="227"/>
      <c r="BS32" s="227"/>
      <c r="CD32" s="213"/>
      <c r="CE32" s="213"/>
      <c r="CF32" s="213"/>
      <c r="CG32" s="213"/>
      <c r="CH32" s="213"/>
      <c r="CI32" s="253">
        <f t="shared" si="12"/>
        <v>20</v>
      </c>
      <c r="CJ32" s="110" t="s">
        <v>21</v>
      </c>
      <c r="CK32" s="169"/>
      <c r="CL32" s="169"/>
      <c r="CM32" s="716">
        <f>CM30-CM31</f>
        <v>148775.67639789265</v>
      </c>
      <c r="CS32" s="213"/>
      <c r="CT32" s="213"/>
      <c r="CU32" s="213"/>
      <c r="CV32" s="213"/>
      <c r="CW32" s="213"/>
      <c r="DC32" s="209">
        <f t="shared" si="18"/>
        <v>20</v>
      </c>
      <c r="DD32" s="395" t="s">
        <v>12</v>
      </c>
      <c r="DF32" s="347">
        <v>0.35</v>
      </c>
      <c r="DG32" s="186">
        <f>-DG30*DF32</f>
        <v>233717.31377639933</v>
      </c>
    </row>
    <row r="33" spans="1:111" ht="13.5" thickTop="1">
      <c r="A33" s="9">
        <f t="shared" si="0"/>
        <v>22</v>
      </c>
      <c r="B33" s="388" t="s">
        <v>278</v>
      </c>
      <c r="C33" s="93"/>
      <c r="D33" s="715"/>
      <c r="E33" s="539">
        <f>+D32+D23+D25</f>
        <v>-28861313.910117842</v>
      </c>
      <c r="F33" s="9">
        <f t="shared" si="1"/>
        <v>21</v>
      </c>
      <c r="G33" s="252"/>
      <c r="H33" s="255" t="s">
        <v>188</v>
      </c>
      <c r="I33" s="167"/>
      <c r="J33" s="196">
        <f>'[34]Weather Norm. Summary'!E32</f>
        <v>0</v>
      </c>
      <c r="K33" s="196"/>
      <c r="L33" s="252"/>
      <c r="M33" s="253">
        <f t="shared" si="2"/>
        <v>21</v>
      </c>
      <c r="N33" s="252" t="s">
        <v>84</v>
      </c>
      <c r="O33" s="252"/>
      <c r="P33" s="186"/>
      <c r="Q33" s="598">
        <f>SUM(Q30:Q32)</f>
        <v>-9167900.3942986615</v>
      </c>
      <c r="R33" s="253"/>
      <c r="S33" s="255"/>
      <c r="T33" s="10"/>
      <c r="U33" s="252"/>
      <c r="Z33" s="253">
        <f t="shared" si="5"/>
        <v>21</v>
      </c>
      <c r="AA33" s="167" t="s">
        <v>21</v>
      </c>
      <c r="AB33" s="167"/>
      <c r="AC33" s="167"/>
      <c r="AD33" s="1199">
        <f>AD23+AD28+AD30</f>
        <v>32808821.581151754</v>
      </c>
      <c r="AE33" s="326"/>
      <c r="AF33" s="326"/>
      <c r="AG33" s="326"/>
      <c r="AH33" s="326"/>
      <c r="AI33" s="326"/>
      <c r="AX33" s="255"/>
      <c r="BL33" s="253"/>
      <c r="BM33" s="208"/>
      <c r="BN33" s="208"/>
      <c r="CD33" s="213"/>
      <c r="CE33" s="213"/>
      <c r="CF33" s="213"/>
      <c r="CG33" s="213"/>
      <c r="CH33" s="213"/>
      <c r="CI33" s="253">
        <f t="shared" si="12"/>
        <v>21</v>
      </c>
      <c r="CJ33" s="320"/>
      <c r="CK33" s="121"/>
      <c r="CL33" s="121"/>
      <c r="CM33" s="167"/>
      <c r="CS33" s="213"/>
      <c r="CT33" s="213"/>
      <c r="CU33" s="213"/>
      <c r="CV33" s="213"/>
      <c r="CW33" s="213"/>
      <c r="DC33" s="209">
        <f t="shared" si="18"/>
        <v>21</v>
      </c>
      <c r="DG33" s="327"/>
    </row>
    <row r="34" spans="1:111" ht="14.25" thickBot="1">
      <c r="A34" s="9">
        <f t="shared" si="0"/>
        <v>23</v>
      </c>
      <c r="B34" s="252" t="s">
        <v>120</v>
      </c>
      <c r="C34" s="93"/>
      <c r="D34" s="252"/>
      <c r="E34" s="715"/>
      <c r="F34" s="9">
        <f t="shared" si="1"/>
        <v>22</v>
      </c>
      <c r="G34" s="252"/>
      <c r="H34" s="255" t="s">
        <v>1106</v>
      </c>
      <c r="I34" s="167"/>
      <c r="J34" s="196">
        <f>'[34]Weather Norm. Summary'!E33</f>
        <v>36096.11370170481</v>
      </c>
      <c r="K34" s="196"/>
      <c r="L34" s="252"/>
      <c r="M34" s="253">
        <f t="shared" si="2"/>
        <v>22</v>
      </c>
      <c r="N34" s="252"/>
      <c r="O34" s="252"/>
      <c r="P34" s="186"/>
      <c r="Q34" s="208"/>
      <c r="R34" s="253"/>
      <c r="S34" s="252"/>
      <c r="T34" s="252"/>
      <c r="U34" s="251"/>
      <c r="Z34" s="253">
        <f t="shared" si="5"/>
        <v>22</v>
      </c>
      <c r="AA34" s="167" t="s">
        <v>17</v>
      </c>
      <c r="AB34" s="167"/>
      <c r="AC34" s="167"/>
      <c r="AD34" s="1201">
        <f>-AD33*0.35</f>
        <v>-11483087.553403113</v>
      </c>
      <c r="AE34" s="208"/>
      <c r="AF34" s="208"/>
      <c r="AG34" s="208"/>
      <c r="AH34" s="208"/>
      <c r="AI34" s="208"/>
      <c r="AX34" s="253"/>
      <c r="BL34" s="253"/>
      <c r="CD34" s="213"/>
      <c r="CE34" s="213"/>
      <c r="CF34" s="213"/>
      <c r="CG34" s="213"/>
      <c r="CH34" s="213"/>
      <c r="CI34" s="253">
        <f t="shared" si="12"/>
        <v>22</v>
      </c>
      <c r="CJ34" s="242" t="s">
        <v>12</v>
      </c>
      <c r="CK34" s="10">
        <f>k_FITrate</f>
        <v>0.35</v>
      </c>
      <c r="CL34" s="10"/>
      <c r="CM34" s="717">
        <f>ROUND(-CM32*CK34,0)</f>
        <v>-52071</v>
      </c>
      <c r="CS34" s="213"/>
      <c r="CT34" s="213"/>
      <c r="CU34" s="213"/>
      <c r="CV34" s="213"/>
      <c r="CW34" s="213"/>
      <c r="DC34" s="209">
        <f t="shared" si="18"/>
        <v>22</v>
      </c>
      <c r="DD34" s="395" t="s">
        <v>109</v>
      </c>
      <c r="DG34" s="386">
        <f>-DG30-DG32</f>
        <v>434046.43987045588</v>
      </c>
    </row>
    <row r="35" spans="1:111" ht="15" thickTop="1" thickBot="1">
      <c r="A35" s="9">
        <f t="shared" si="0"/>
        <v>24</v>
      </c>
      <c r="B35" s="178" t="s">
        <v>427</v>
      </c>
      <c r="C35" s="252"/>
      <c r="D35" s="138">
        <f>'[32]Lead E'!$D$36</f>
        <v>-22899640</v>
      </c>
      <c r="E35" s="252"/>
      <c r="F35" s="9">
        <f t="shared" si="1"/>
        <v>23</v>
      </c>
      <c r="G35" s="252"/>
      <c r="H35" s="252" t="s">
        <v>189</v>
      </c>
      <c r="I35" s="167"/>
      <c r="J35" s="196">
        <f>'[34]Weather Norm. Summary'!E34</f>
        <v>243110.74574355647</v>
      </c>
      <c r="K35" s="196"/>
      <c r="L35" s="252"/>
      <c r="M35" s="253">
        <f t="shared" si="2"/>
        <v>23</v>
      </c>
      <c r="N35" s="88" t="s">
        <v>242</v>
      </c>
      <c r="O35" s="252"/>
      <c r="P35" s="186"/>
      <c r="Q35" s="208"/>
      <c r="R35" s="253"/>
      <c r="Z35" s="253">
        <f t="shared" si="5"/>
        <v>23</v>
      </c>
      <c r="AA35" s="167" t="s">
        <v>109</v>
      </c>
      <c r="AB35" s="167"/>
      <c r="AC35" s="167"/>
      <c r="AD35" s="1202">
        <f>-AD33-AD34</f>
        <v>-21325734.027748641</v>
      </c>
      <c r="AE35" s="478"/>
      <c r="AF35" s="478"/>
      <c r="AG35" s="478"/>
      <c r="AH35" s="478"/>
      <c r="AI35" s="478"/>
      <c r="AX35" s="253"/>
      <c r="BL35" s="253"/>
      <c r="CD35" s="213"/>
      <c r="CE35" s="213"/>
      <c r="CF35" s="213"/>
      <c r="CG35" s="213"/>
      <c r="CH35" s="213"/>
      <c r="CI35" s="253">
        <f t="shared" si="12"/>
        <v>23</v>
      </c>
      <c r="CJ35" s="242" t="s">
        <v>109</v>
      </c>
      <c r="CK35" s="121"/>
      <c r="CL35" s="121"/>
      <c r="CM35" s="718">
        <f>-CM32-CM34</f>
        <v>-96704.676397892646</v>
      </c>
      <c r="CS35" s="213"/>
      <c r="CT35" s="213"/>
      <c r="CU35" s="213"/>
      <c r="CV35" s="213"/>
      <c r="CW35" s="213"/>
      <c r="DC35" s="209">
        <f t="shared" si="18"/>
        <v>23</v>
      </c>
    </row>
    <row r="36" spans="1:111" ht="13.5" thickTop="1">
      <c r="A36" s="9">
        <f t="shared" si="0"/>
        <v>25</v>
      </c>
      <c r="B36" s="178" t="s">
        <v>814</v>
      </c>
      <c r="D36" s="138"/>
      <c r="E36" s="208"/>
      <c r="F36" s="9">
        <f t="shared" si="1"/>
        <v>24</v>
      </c>
      <c r="G36" s="252"/>
      <c r="H36" s="255" t="s">
        <v>190</v>
      </c>
      <c r="I36" s="167"/>
      <c r="J36" s="196">
        <f>'[34]Weather Norm. Summary'!E35</f>
        <v>7649.162224561248</v>
      </c>
      <c r="K36" s="196"/>
      <c r="L36" s="252"/>
      <c r="M36" s="253">
        <f t="shared" si="2"/>
        <v>24</v>
      </c>
      <c r="N36" s="241" t="s">
        <v>377</v>
      </c>
      <c r="O36" s="252"/>
      <c r="P36" s="186"/>
      <c r="Q36" s="264">
        <f>'[24]Lead E'!$E$31</f>
        <v>-97540765.159999996</v>
      </c>
      <c r="Z36" s="253">
        <f t="shared" si="5"/>
        <v>24</v>
      </c>
      <c r="AA36" s="167"/>
      <c r="AB36" s="167"/>
      <c r="AC36" s="167"/>
      <c r="AD36" s="167"/>
      <c r="AE36" s="167"/>
      <c r="AF36" s="167"/>
      <c r="AG36" s="167"/>
      <c r="AH36" s="167"/>
      <c r="AI36" s="167"/>
      <c r="AX36" s="253"/>
      <c r="BL36" s="253"/>
      <c r="BM36" s="208"/>
      <c r="BN36" s="208"/>
      <c r="BO36" s="208"/>
      <c r="CD36" s="213"/>
      <c r="CE36" s="213"/>
      <c r="CF36" s="213"/>
      <c r="CG36" s="213"/>
      <c r="CH36" s="213"/>
      <c r="CS36" s="213"/>
      <c r="CT36" s="213"/>
      <c r="CU36" s="213"/>
      <c r="CV36" s="213"/>
      <c r="CW36" s="213"/>
    </row>
    <row r="37" spans="1:111" ht="13.5">
      <c r="A37" s="9">
        <f t="shared" si="0"/>
        <v>26</v>
      </c>
      <c r="B37" s="178" t="s">
        <v>813</v>
      </c>
      <c r="C37" s="252"/>
      <c r="D37" s="138">
        <f>'[32]Lead E'!$D$37</f>
        <v>40241934.120000005</v>
      </c>
      <c r="F37" s="9">
        <f t="shared" si="1"/>
        <v>25</v>
      </c>
      <c r="G37" s="252"/>
      <c r="H37" s="255" t="s">
        <v>681</v>
      </c>
      <c r="I37" s="167"/>
      <c r="J37" s="196">
        <f>'[34]Weather Norm. Summary'!E36</f>
        <v>8422.9252188172595</v>
      </c>
      <c r="K37" s="196"/>
      <c r="L37" s="252"/>
      <c r="M37" s="253">
        <f t="shared" si="2"/>
        <v>25</v>
      </c>
      <c r="N37" s="242" t="s">
        <v>378</v>
      </c>
      <c r="O37" s="252"/>
      <c r="P37" s="186"/>
      <c r="Q37" s="264">
        <f>'[24]Lead E'!$E$32</f>
        <v>-55961766.059999995</v>
      </c>
      <c r="Z37" s="253">
        <f t="shared" si="5"/>
        <v>25</v>
      </c>
      <c r="AA37" s="461"/>
      <c r="AB37" s="167"/>
      <c r="AC37" s="167"/>
      <c r="AD37" s="167"/>
      <c r="AE37" s="167"/>
      <c r="AF37" s="167"/>
      <c r="AG37" s="167"/>
      <c r="AH37" s="167"/>
      <c r="AI37" s="167"/>
      <c r="AX37" s="253"/>
      <c r="BL37" s="253"/>
      <c r="BM37" s="208"/>
      <c r="BN37" s="208"/>
      <c r="BO37" s="208"/>
      <c r="BT37" s="227"/>
      <c r="BU37" s="227"/>
      <c r="BV37" s="227"/>
      <c r="BW37" s="227"/>
      <c r="BX37" s="227"/>
      <c r="BY37" s="227"/>
      <c r="BZ37" s="227"/>
      <c r="CA37" s="227"/>
      <c r="CD37" s="213"/>
      <c r="CE37" s="213"/>
      <c r="CF37" s="213"/>
      <c r="CG37" s="213"/>
      <c r="CH37" s="213"/>
      <c r="CI37" s="242"/>
      <c r="CJ37" s="640" t="s">
        <v>852</v>
      </c>
      <c r="CS37" s="213"/>
      <c r="CT37" s="213"/>
      <c r="CU37" s="213"/>
      <c r="CV37" s="213"/>
      <c r="CW37" s="213"/>
    </row>
    <row r="38" spans="1:111">
      <c r="A38" s="9">
        <f t="shared" si="0"/>
        <v>27</v>
      </c>
      <c r="B38" s="388" t="s">
        <v>428</v>
      </c>
      <c r="C38" s="252"/>
      <c r="D38" s="589"/>
      <c r="E38" s="715"/>
      <c r="F38" s="9">
        <f t="shared" si="1"/>
        <v>26</v>
      </c>
      <c r="G38" s="252"/>
      <c r="H38" s="255" t="s">
        <v>682</v>
      </c>
      <c r="I38" s="167"/>
      <c r="J38" s="196">
        <f>'[34]Weather Norm. Summary'!E37</f>
        <v>-13647.181252848119</v>
      </c>
      <c r="K38" s="196"/>
      <c r="L38" s="240"/>
      <c r="M38" s="253">
        <f t="shared" si="2"/>
        <v>26</v>
      </c>
      <c r="N38" s="241" t="s">
        <v>204</v>
      </c>
      <c r="O38" s="252"/>
      <c r="P38" s="186"/>
      <c r="Q38" s="264">
        <f>'[24]Lead E'!$E$33</f>
        <v>-80920052.489999995</v>
      </c>
      <c r="Z38" s="253">
        <f t="shared" si="5"/>
        <v>26</v>
      </c>
      <c r="AA38" s="462" t="s">
        <v>138</v>
      </c>
      <c r="AB38" s="167"/>
      <c r="AC38" s="167"/>
      <c r="AD38" s="167"/>
      <c r="AE38" s="167"/>
      <c r="AF38" s="167"/>
      <c r="AG38" s="167"/>
      <c r="AH38" s="167"/>
      <c r="AI38" s="167"/>
      <c r="AX38" s="253"/>
      <c r="BL38" s="253"/>
      <c r="BM38" s="208"/>
      <c r="BN38" s="208"/>
      <c r="BO38" s="208"/>
      <c r="BT38" s="167"/>
      <c r="BU38" s="167"/>
      <c r="BV38" s="167"/>
      <c r="BW38" s="167"/>
      <c r="BX38" s="167"/>
      <c r="BY38" s="167"/>
      <c r="BZ38" s="167"/>
      <c r="CA38" s="167"/>
      <c r="CD38" s="213"/>
      <c r="CE38" s="213"/>
      <c r="CF38" s="213"/>
      <c r="CG38" s="213"/>
      <c r="CH38" s="213"/>
      <c r="CS38" s="213"/>
      <c r="CT38" s="213"/>
      <c r="CU38" s="213"/>
      <c r="CV38" s="213"/>
      <c r="CW38" s="213"/>
    </row>
    <row r="39" spans="1:111">
      <c r="A39" s="9">
        <f t="shared" si="0"/>
        <v>28</v>
      </c>
      <c r="B39" s="715"/>
      <c r="C39" s="252"/>
      <c r="D39" s="715"/>
      <c r="E39" s="479">
        <f>+D35+D37</f>
        <v>17342294.120000005</v>
      </c>
      <c r="F39" s="9">
        <f t="shared" si="1"/>
        <v>27</v>
      </c>
      <c r="G39" s="252"/>
      <c r="H39" s="252" t="s">
        <v>191</v>
      </c>
      <c r="I39" s="167"/>
      <c r="J39" s="196">
        <f>'[34]Weather Norm. Summary'!E38</f>
        <v>6197.3419463974533</v>
      </c>
      <c r="K39" s="196"/>
      <c r="L39" s="252"/>
      <c r="M39" s="253">
        <f t="shared" si="2"/>
        <v>27</v>
      </c>
      <c r="N39" s="241" t="s">
        <v>205</v>
      </c>
      <c r="O39" s="252"/>
      <c r="P39" s="186"/>
      <c r="Q39" s="264">
        <f>'[24]Lead E'!$E$34</f>
        <v>-16296500.52</v>
      </c>
      <c r="Z39" s="253">
        <f t="shared" si="5"/>
        <v>27</v>
      </c>
      <c r="AA39" s="167" t="s">
        <v>818</v>
      </c>
      <c r="AB39" s="157">
        <v>0.5</v>
      </c>
      <c r="AC39" s="167"/>
      <c r="AD39" s="1203">
        <f>-AD33*AB39</f>
        <v>-16404410.790575877</v>
      </c>
      <c r="AE39" s="478"/>
      <c r="AF39" s="478"/>
      <c r="AG39" s="478"/>
      <c r="AH39" s="478"/>
      <c r="AI39" s="478"/>
      <c r="AX39" s="253"/>
      <c r="AY39" s="252"/>
      <c r="AZ39" s="252"/>
      <c r="BA39" s="252"/>
      <c r="BL39" s="253"/>
      <c r="BM39" s="208"/>
      <c r="BN39" s="208"/>
      <c r="BO39" s="208"/>
      <c r="BT39" s="167"/>
      <c r="BU39" s="167"/>
      <c r="BV39" s="167"/>
      <c r="BW39" s="167"/>
      <c r="BX39" s="167"/>
      <c r="BY39" s="167"/>
      <c r="BZ39" s="167"/>
      <c r="CA39" s="167"/>
      <c r="CD39" s="213"/>
      <c r="CE39" s="213"/>
      <c r="CF39" s="213"/>
      <c r="CG39" s="213"/>
      <c r="CH39" s="213"/>
      <c r="CQ39" s="253"/>
      <c r="CS39" s="213"/>
      <c r="CT39" s="213"/>
      <c r="CU39" s="213"/>
      <c r="CV39" s="213"/>
      <c r="CW39" s="213"/>
    </row>
    <row r="40" spans="1:111">
      <c r="A40" s="9">
        <f t="shared" si="0"/>
        <v>29</v>
      </c>
      <c r="B40" s="224" t="s">
        <v>31</v>
      </c>
      <c r="C40" s="266">
        <f>+'EXHIBIT MCC-3'!$P$13</f>
        <v>7.1570000000000002E-3</v>
      </c>
      <c r="D40" s="205">
        <f>+$E$33*C40</f>
        <v>-206560.42365471341</v>
      </c>
      <c r="E40" s="715"/>
      <c r="F40" s="9">
        <f t="shared" si="1"/>
        <v>28</v>
      </c>
      <c r="G40" s="252"/>
      <c r="H40" s="252"/>
      <c r="I40" s="167"/>
      <c r="J40" s="382"/>
      <c r="K40" s="419"/>
      <c r="L40" s="590"/>
      <c r="M40" s="253">
        <f t="shared" si="2"/>
        <v>28</v>
      </c>
      <c r="N40" s="243" t="s">
        <v>195</v>
      </c>
      <c r="O40" s="252"/>
      <c r="P40" s="186"/>
      <c r="Q40" s="264">
        <f>'[24]Lead E'!$E$35</f>
        <v>69268219.670000002</v>
      </c>
      <c r="Z40" s="253">
        <f t="shared" si="5"/>
        <v>28</v>
      </c>
      <c r="AA40" s="358" t="s">
        <v>756</v>
      </c>
      <c r="AB40" s="459"/>
      <c r="AC40" s="359"/>
      <c r="AD40" s="1204">
        <f>'[16]Dep Summary'!$E$40</f>
        <v>5741543.7767015649</v>
      </c>
      <c r="AE40" s="460"/>
      <c r="AF40" s="460"/>
      <c r="AG40" s="460"/>
      <c r="AH40" s="460"/>
      <c r="AI40" s="460"/>
      <c r="AX40" s="253"/>
      <c r="BB40" s="719"/>
      <c r="BL40" s="253"/>
      <c r="BT40" s="227"/>
      <c r="BU40" s="227"/>
      <c r="BV40" s="227"/>
      <c r="BW40" s="227"/>
      <c r="BX40" s="227"/>
      <c r="BY40" s="227"/>
      <c r="BZ40" s="227"/>
      <c r="CA40" s="227"/>
      <c r="CD40" s="213"/>
      <c r="CE40" s="213"/>
      <c r="CF40" s="213"/>
      <c r="CG40" s="213"/>
      <c r="CH40" s="213"/>
      <c r="CQ40" s="253"/>
      <c r="CS40" s="213"/>
      <c r="CT40" s="213"/>
      <c r="CU40" s="213"/>
      <c r="CV40" s="213"/>
      <c r="CW40" s="213"/>
    </row>
    <row r="41" spans="1:111">
      <c r="A41" s="9">
        <f t="shared" si="0"/>
        <v>30</v>
      </c>
      <c r="B41" s="225" t="s">
        <v>32</v>
      </c>
      <c r="C41" s="266">
        <f>+'EXHIBIT MCC-3'!$P$14</f>
        <v>2E-3</v>
      </c>
      <c r="D41" s="205">
        <f>+$E$33*C41</f>
        <v>-57722.627820235684</v>
      </c>
      <c r="E41" s="267"/>
      <c r="F41" s="9">
        <f t="shared" si="1"/>
        <v>29</v>
      </c>
      <c r="G41" s="252" t="s">
        <v>30</v>
      </c>
      <c r="H41" s="252"/>
      <c r="I41" s="252"/>
      <c r="J41" s="208">
        <f>SUM(J29:J40)</f>
        <v>33207904.659274291</v>
      </c>
      <c r="K41" s="208"/>
      <c r="L41" s="196">
        <f>J41</f>
        <v>33207904.659274291</v>
      </c>
      <c r="M41" s="253">
        <f t="shared" si="2"/>
        <v>29</v>
      </c>
      <c r="N41" s="244" t="s">
        <v>379</v>
      </c>
      <c r="O41" s="252"/>
      <c r="P41" s="186"/>
      <c r="Q41" s="264">
        <f>'[24]Lead E'!$E$36</f>
        <v>138514.25</v>
      </c>
      <c r="Z41" s="253">
        <f t="shared" si="5"/>
        <v>29</v>
      </c>
      <c r="AA41" s="358"/>
      <c r="AB41" s="157"/>
      <c r="AC41" s="167"/>
      <c r="AD41" s="208"/>
      <c r="AE41" s="208"/>
      <c r="AF41" s="208"/>
      <c r="AG41" s="208"/>
      <c r="AH41" s="208"/>
      <c r="AI41" s="208"/>
      <c r="AX41" s="253"/>
      <c r="BL41" s="253"/>
      <c r="CD41" s="213"/>
      <c r="CE41" s="213"/>
      <c r="CF41" s="213"/>
      <c r="CG41" s="213"/>
      <c r="CH41" s="213"/>
      <c r="CQ41" s="253"/>
      <c r="CS41" s="213"/>
      <c r="CT41" s="213"/>
      <c r="CU41" s="213"/>
      <c r="CV41" s="213"/>
      <c r="CW41" s="213"/>
    </row>
    <row r="42" spans="1:111" ht="15.75" customHeight="1" thickBot="1">
      <c r="A42" s="9">
        <f t="shared" si="0"/>
        <v>31</v>
      </c>
      <c r="B42" s="255" t="s">
        <v>33</v>
      </c>
      <c r="C42" s="266">
        <f>+'EXHIBIT MCC-3'!$P$15</f>
        <v>3.8456999999999998E-2</v>
      </c>
      <c r="D42" s="205">
        <f>+$E$33*C42</f>
        <v>-1109919.5490414018</v>
      </c>
      <c r="E42" s="208"/>
      <c r="F42" s="9">
        <f t="shared" si="1"/>
        <v>30</v>
      </c>
      <c r="G42" s="230"/>
      <c r="H42" s="230"/>
      <c r="I42" s="138"/>
      <c r="J42" s="138"/>
      <c r="K42" s="199"/>
      <c r="L42" s="252"/>
      <c r="M42" s="253">
        <f t="shared" si="2"/>
        <v>30</v>
      </c>
      <c r="N42" s="245" t="s">
        <v>380</v>
      </c>
      <c r="O42" s="252"/>
      <c r="P42" s="186"/>
      <c r="Q42" s="264">
        <f>'[24]Lead E'!$E$37</f>
        <v>-979067.74</v>
      </c>
      <c r="Z42" s="253">
        <f t="shared" si="5"/>
        <v>30</v>
      </c>
      <c r="AA42" s="167" t="s">
        <v>517</v>
      </c>
      <c r="AB42" s="167"/>
      <c r="AC42" s="167"/>
      <c r="AD42" s="1205">
        <f>SUM(AD39:AD41)</f>
        <v>-10662867.013874311</v>
      </c>
      <c r="AE42" s="199"/>
      <c r="AF42" s="199"/>
      <c r="AG42" s="199"/>
      <c r="AH42" s="199"/>
      <c r="AI42" s="199"/>
      <c r="AX42" s="253"/>
      <c r="BL42" s="253"/>
      <c r="CD42" s="213"/>
      <c r="CE42" s="213"/>
      <c r="CF42" s="213"/>
      <c r="CG42" s="213"/>
      <c r="CH42" s="213"/>
      <c r="CS42" s="213"/>
      <c r="CT42" s="213"/>
      <c r="CU42" s="213"/>
      <c r="CV42" s="213"/>
      <c r="CW42" s="213"/>
    </row>
    <row r="43" spans="1:111" ht="13.5" thickTop="1">
      <c r="A43" s="9">
        <f t="shared" si="0"/>
        <v>32</v>
      </c>
      <c r="B43" s="388" t="s">
        <v>429</v>
      </c>
      <c r="C43" s="266"/>
      <c r="D43" s="604"/>
      <c r="E43" s="715"/>
      <c r="F43" s="9">
        <f t="shared" si="1"/>
        <v>31</v>
      </c>
      <c r="G43" s="255" t="s">
        <v>31</v>
      </c>
      <c r="H43" s="255"/>
      <c r="I43" s="255"/>
      <c r="J43" s="189">
        <f>+'EXHIBIT MCC-3'!P13</f>
        <v>7.1570000000000002E-3</v>
      </c>
      <c r="K43" s="208">
        <f>ROUND(L41*J43,0)</f>
        <v>237669</v>
      </c>
      <c r="L43" s="208"/>
      <c r="M43" s="253">
        <f t="shared" si="2"/>
        <v>31</v>
      </c>
      <c r="N43" s="245" t="s">
        <v>327</v>
      </c>
      <c r="O43" s="251"/>
      <c r="P43" s="186"/>
      <c r="Q43" s="264">
        <f>'[24]Lead E'!$E$38</f>
        <v>-41429.58</v>
      </c>
      <c r="Z43" s="208"/>
      <c r="AA43" s="167"/>
      <c r="AB43" s="167"/>
      <c r="AC43" s="167"/>
      <c r="AD43" s="167"/>
      <c r="AE43" s="167"/>
      <c r="AF43" s="167"/>
      <c r="AG43" s="167"/>
      <c r="AH43" s="167"/>
      <c r="AI43" s="167"/>
      <c r="AX43" s="253"/>
      <c r="BL43" s="253"/>
      <c r="BM43" s="208"/>
      <c r="BN43" s="208"/>
      <c r="BO43" s="208"/>
      <c r="CD43" s="213"/>
      <c r="CE43" s="213"/>
      <c r="CF43" s="213"/>
      <c r="CG43" s="213"/>
      <c r="CH43" s="213"/>
      <c r="CS43" s="213"/>
      <c r="CT43" s="213"/>
      <c r="CU43" s="213"/>
      <c r="CV43" s="213"/>
      <c r="CW43" s="213"/>
    </row>
    <row r="44" spans="1:111">
      <c r="A44" s="9">
        <f t="shared" si="0"/>
        <v>33</v>
      </c>
      <c r="B44" s="715"/>
      <c r="C44" s="715"/>
      <c r="D44" s="715"/>
      <c r="E44" s="479">
        <f>SUM(D40:D42)</f>
        <v>-1374202.6005163509</v>
      </c>
      <c r="F44" s="9">
        <f t="shared" si="1"/>
        <v>32</v>
      </c>
      <c r="G44" s="255" t="s">
        <v>32</v>
      </c>
      <c r="H44" s="255"/>
      <c r="I44" s="255"/>
      <c r="J44" s="189">
        <f>+'EXHIBIT MCC-3'!P14</f>
        <v>2E-3</v>
      </c>
      <c r="K44" s="605">
        <f>ROUND(L41*J44,0)</f>
        <v>66416</v>
      </c>
      <c r="L44" s="208"/>
      <c r="M44" s="253">
        <f t="shared" si="2"/>
        <v>32</v>
      </c>
      <c r="N44" s="245" t="s">
        <v>328</v>
      </c>
      <c r="O44" s="251"/>
      <c r="P44" s="186"/>
      <c r="Q44" s="264">
        <f>'[24]Lead E'!$E$39</f>
        <v>-11150.8</v>
      </c>
      <c r="Z44" s="200"/>
      <c r="AA44" s="199"/>
      <c r="AB44" s="199"/>
      <c r="AC44" s="199"/>
      <c r="AD44" s="199"/>
      <c r="AE44" s="199"/>
      <c r="AF44" s="199"/>
      <c r="AG44" s="199"/>
      <c r="AH44" s="199"/>
      <c r="AI44" s="199"/>
      <c r="AX44" s="253"/>
      <c r="BL44" s="253"/>
      <c r="BM44" s="208"/>
      <c r="BN44" s="208"/>
      <c r="BO44" s="208"/>
      <c r="CD44" s="213"/>
      <c r="CE44" s="213"/>
      <c r="CF44" s="213"/>
      <c r="CG44" s="213"/>
      <c r="CH44" s="213"/>
      <c r="CS44" s="213"/>
      <c r="CT44" s="213"/>
      <c r="CU44" s="213"/>
      <c r="CV44" s="213"/>
      <c r="CW44" s="213"/>
    </row>
    <row r="45" spans="1:111">
      <c r="A45" s="9">
        <v>31</v>
      </c>
      <c r="B45" s="224" t="s">
        <v>15</v>
      </c>
      <c r="C45" s="35"/>
      <c r="D45" s="167"/>
      <c r="E45" s="715"/>
      <c r="F45" s="9">
        <f t="shared" si="1"/>
        <v>33</v>
      </c>
      <c r="G45" s="34" t="s">
        <v>8</v>
      </c>
      <c r="H45" s="255"/>
      <c r="I45" s="255"/>
      <c r="J45" s="189"/>
      <c r="K45" s="167"/>
      <c r="L45" s="208">
        <f>SUM(K43:K44)</f>
        <v>304085</v>
      </c>
      <c r="M45" s="253">
        <f t="shared" si="2"/>
        <v>33</v>
      </c>
      <c r="N45" s="241" t="s">
        <v>381</v>
      </c>
      <c r="O45" s="251"/>
      <c r="P45" s="186"/>
      <c r="Q45" s="420">
        <f>'[24]Lead E'!$E$40</f>
        <v>226820.57</v>
      </c>
      <c r="Z45" s="200"/>
      <c r="AX45" s="253"/>
      <c r="AY45" s="218"/>
      <c r="AZ45" s="218"/>
      <c r="BA45" s="218"/>
      <c r="BB45" s="218"/>
      <c r="BL45" s="253"/>
      <c r="BM45" s="208"/>
      <c r="BN45" s="208"/>
      <c r="BO45" s="208"/>
      <c r="CD45" s="213"/>
      <c r="CE45" s="213"/>
      <c r="CF45" s="213"/>
      <c r="CG45" s="213"/>
      <c r="CH45" s="213"/>
      <c r="CS45" s="213"/>
    </row>
    <row r="46" spans="1:111">
      <c r="A46" s="9">
        <f>+A45+1</f>
        <v>32</v>
      </c>
      <c r="B46" s="224"/>
      <c r="C46" s="159"/>
      <c r="D46" s="167"/>
      <c r="E46" s="419">
        <f>+E33-E39-E44</f>
        <v>-44829405.429601498</v>
      </c>
      <c r="F46" s="9">
        <f t="shared" si="1"/>
        <v>34</v>
      </c>
      <c r="G46" s="255"/>
      <c r="H46" s="255"/>
      <c r="I46" s="255"/>
      <c r="J46" s="189"/>
      <c r="K46" s="138"/>
      <c r="L46" s="208"/>
      <c r="M46" s="253">
        <f t="shared" si="2"/>
        <v>34</v>
      </c>
      <c r="N46" s="241" t="s">
        <v>57</v>
      </c>
      <c r="O46" s="251"/>
      <c r="P46" s="186"/>
      <c r="Q46" s="264">
        <f>SUM(Q36:Q45)</f>
        <v>-182117177.86000004</v>
      </c>
      <c r="Z46" s="199"/>
      <c r="AA46" s="208"/>
      <c r="AB46" s="208"/>
      <c r="AC46" s="208"/>
      <c r="AD46" s="198"/>
      <c r="AE46" s="198"/>
      <c r="AF46" s="198"/>
      <c r="AG46" s="198"/>
      <c r="AH46" s="198"/>
      <c r="AI46" s="198"/>
      <c r="AX46" s="253"/>
      <c r="AY46" s="218"/>
      <c r="AZ46" s="218"/>
      <c r="BA46" s="218"/>
      <c r="BB46" s="218"/>
      <c r="BL46" s="253"/>
      <c r="BM46" s="208"/>
      <c r="BN46" s="208"/>
      <c r="BO46" s="208"/>
      <c r="CD46" s="213"/>
      <c r="CE46" s="213"/>
      <c r="CF46" s="213"/>
      <c r="CG46" s="213"/>
      <c r="CH46" s="213"/>
      <c r="CS46" s="213"/>
    </row>
    <row r="47" spans="1:111">
      <c r="A47" s="9">
        <f>+A46+1</f>
        <v>33</v>
      </c>
      <c r="B47" s="265"/>
      <c r="D47" s="265"/>
      <c r="E47" s="199"/>
      <c r="F47" s="9">
        <f t="shared" si="1"/>
        <v>35</v>
      </c>
      <c r="G47" s="255" t="s">
        <v>33</v>
      </c>
      <c r="H47" s="255"/>
      <c r="I47" s="255"/>
      <c r="J47" s="189">
        <f>+'EXHIBIT MCC-3'!P15</f>
        <v>3.8456999999999998E-2</v>
      </c>
      <c r="K47" s="419">
        <f>ROUND(L41*J47,0)</f>
        <v>1277076</v>
      </c>
      <c r="L47" s="208"/>
      <c r="M47" s="253">
        <f t="shared" si="2"/>
        <v>35</v>
      </c>
      <c r="N47" s="251"/>
      <c r="O47" s="251"/>
      <c r="P47" s="208"/>
      <c r="Q47" s="200"/>
      <c r="Z47" s="251"/>
      <c r="AA47" s="200"/>
      <c r="AB47" s="200"/>
      <c r="AC47" s="200"/>
      <c r="AD47" s="208"/>
      <c r="AE47" s="208"/>
      <c r="AF47" s="208"/>
      <c r="AG47" s="208"/>
      <c r="AH47" s="208"/>
      <c r="AI47" s="208"/>
      <c r="AX47" s="253"/>
      <c r="AY47" s="218"/>
      <c r="AZ47" s="218"/>
      <c r="BA47" s="218"/>
      <c r="BB47" s="218"/>
      <c r="BL47" s="253"/>
      <c r="BM47" s="208"/>
      <c r="BN47" s="208"/>
      <c r="BO47" s="208"/>
      <c r="CD47" s="213"/>
      <c r="CE47" s="213"/>
      <c r="CF47" s="213"/>
      <c r="CG47" s="213"/>
      <c r="CH47" s="213"/>
      <c r="CS47" s="213"/>
    </row>
    <row r="48" spans="1:111">
      <c r="A48" s="9">
        <f>+A47+1</f>
        <v>34</v>
      </c>
      <c r="B48" s="265" t="s">
        <v>12</v>
      </c>
      <c r="C48" s="192">
        <v>0.35</v>
      </c>
      <c r="D48" s="199"/>
      <c r="E48" s="200">
        <f>E46*C48</f>
        <v>-15690291.900360523</v>
      </c>
      <c r="F48" s="9">
        <f t="shared" si="1"/>
        <v>36</v>
      </c>
      <c r="G48" s="34" t="s">
        <v>9</v>
      </c>
      <c r="H48" s="255"/>
      <c r="I48" s="255"/>
      <c r="J48" s="252"/>
      <c r="K48" s="138"/>
      <c r="L48" s="419">
        <f>SUM(K47:K47)</f>
        <v>1277076</v>
      </c>
      <c r="M48" s="253">
        <f t="shared" si="2"/>
        <v>36</v>
      </c>
      <c r="N48" s="251" t="s">
        <v>243</v>
      </c>
      <c r="O48" s="251"/>
      <c r="P48" s="208"/>
      <c r="Q48" s="200">
        <f>-Q27-Q33-Q46</f>
        <v>-1539292.7857013047</v>
      </c>
      <c r="Z48" s="251"/>
      <c r="AA48" s="200"/>
      <c r="AB48" s="200"/>
      <c r="AC48" s="200"/>
      <c r="AD48" s="200"/>
      <c r="AE48" s="200"/>
      <c r="AF48" s="200"/>
      <c r="AG48" s="200"/>
      <c r="AH48" s="200"/>
      <c r="AI48" s="200"/>
      <c r="AX48" s="253"/>
      <c r="BL48" s="253"/>
      <c r="BM48" s="208"/>
      <c r="BN48" s="208"/>
      <c r="BO48" s="208"/>
      <c r="CD48" s="213"/>
      <c r="CE48" s="213"/>
      <c r="CF48" s="213"/>
      <c r="CG48" s="213"/>
      <c r="CH48" s="213"/>
      <c r="CS48" s="213"/>
    </row>
    <row r="49" spans="1:120" ht="18" customHeight="1" thickBot="1">
      <c r="A49" s="9">
        <f>+A48+1</f>
        <v>35</v>
      </c>
      <c r="B49" s="265" t="s">
        <v>109</v>
      </c>
      <c r="E49" s="222">
        <f>E46-E48</f>
        <v>-29139113.529240973</v>
      </c>
      <c r="F49" s="9">
        <f t="shared" si="1"/>
        <v>37</v>
      </c>
      <c r="G49" s="255"/>
      <c r="H49" s="255"/>
      <c r="I49" s="255"/>
      <c r="J49" s="252"/>
      <c r="K49" s="252"/>
      <c r="L49" s="208"/>
      <c r="M49" s="253">
        <f t="shared" si="2"/>
        <v>37</v>
      </c>
      <c r="N49" s="251" t="s">
        <v>17</v>
      </c>
      <c r="O49" s="251"/>
      <c r="P49" s="208"/>
      <c r="Q49" s="208">
        <f>Q48*0.35</f>
        <v>-538752.47499545664</v>
      </c>
      <c r="Z49" s="251"/>
      <c r="AA49" s="199"/>
      <c r="AB49" s="199"/>
      <c r="AC49" s="199"/>
      <c r="AD49" s="199"/>
      <c r="AE49" s="199"/>
      <c r="AF49" s="199"/>
      <c r="AG49" s="199"/>
      <c r="AH49" s="199"/>
      <c r="AI49" s="199"/>
      <c r="AX49" s="253"/>
      <c r="BL49" s="253"/>
      <c r="BM49" s="208"/>
      <c r="BN49" s="208"/>
      <c r="BO49" s="208"/>
      <c r="BY49" s="253"/>
      <c r="CD49" s="213"/>
      <c r="CE49" s="213"/>
      <c r="CF49" s="213"/>
      <c r="CG49" s="213"/>
      <c r="CH49" s="213"/>
    </row>
    <row r="50" spans="1:120" ht="14.25" thickTop="1" thickBot="1">
      <c r="A50" s="9"/>
      <c r="B50" s="255"/>
      <c r="F50" s="9">
        <f t="shared" si="1"/>
        <v>38</v>
      </c>
      <c r="G50" s="255" t="s">
        <v>15</v>
      </c>
      <c r="H50" s="255"/>
      <c r="I50" s="255"/>
      <c r="J50" s="252"/>
      <c r="K50" s="167"/>
      <c r="L50" s="208">
        <f>L41-L45-L48</f>
        <v>31626743.659274291</v>
      </c>
      <c r="M50" s="253">
        <f t="shared" si="2"/>
        <v>38</v>
      </c>
      <c r="N50" s="251" t="s">
        <v>109</v>
      </c>
      <c r="O50" s="251"/>
      <c r="P50" s="186"/>
      <c r="Q50" s="219">
        <f>Q48-Q49</f>
        <v>-1000540.310705848</v>
      </c>
      <c r="Z50" s="200"/>
      <c r="AA50" s="251"/>
      <c r="AB50" s="251"/>
      <c r="AC50" s="251"/>
      <c r="AD50" s="251"/>
      <c r="AE50" s="251"/>
      <c r="AF50" s="251"/>
      <c r="AG50" s="251"/>
      <c r="AH50" s="251"/>
      <c r="AI50" s="251"/>
      <c r="AX50" s="253"/>
      <c r="BL50" s="253"/>
      <c r="BM50" s="208"/>
      <c r="BN50" s="208"/>
      <c r="BO50" s="208"/>
      <c r="CD50" s="213"/>
      <c r="CE50" s="213"/>
      <c r="CF50" s="213"/>
      <c r="CG50" s="213"/>
      <c r="CH50" s="213"/>
    </row>
    <row r="51" spans="1:120" ht="13.5" thickTop="1">
      <c r="A51" s="9"/>
      <c r="B51" s="255"/>
      <c r="F51" s="9">
        <f t="shared" si="1"/>
        <v>39</v>
      </c>
      <c r="G51" s="255"/>
      <c r="H51" s="255"/>
      <c r="I51" s="255"/>
      <c r="J51" s="252"/>
      <c r="K51" s="167"/>
      <c r="L51" s="167"/>
      <c r="M51" s="253"/>
      <c r="Q51" s="218"/>
      <c r="Z51" s="200"/>
      <c r="AA51" s="251"/>
      <c r="AB51" s="251"/>
      <c r="AC51" s="251"/>
      <c r="AD51" s="251"/>
      <c r="AE51" s="251"/>
      <c r="AF51" s="251"/>
      <c r="AG51" s="251"/>
      <c r="AH51" s="251"/>
      <c r="AI51" s="251"/>
      <c r="AX51" s="253"/>
      <c r="BL51" s="253"/>
      <c r="BM51" s="208"/>
      <c r="BN51" s="208"/>
      <c r="BO51" s="208"/>
      <c r="CD51" s="213"/>
      <c r="CE51" s="213"/>
      <c r="CF51" s="213"/>
      <c r="CG51" s="213"/>
      <c r="CH51" s="213"/>
    </row>
    <row r="52" spans="1:120">
      <c r="A52" s="9"/>
      <c r="F52" s="9">
        <f t="shared" si="1"/>
        <v>40</v>
      </c>
      <c r="G52" s="255" t="s">
        <v>12</v>
      </c>
      <c r="H52" s="255"/>
      <c r="I52" s="255"/>
      <c r="J52" s="35">
        <f>k_FITrate</f>
        <v>0.35</v>
      </c>
      <c r="K52" s="167"/>
      <c r="L52" s="200">
        <f>ROUND(L50*J52,0)</f>
        <v>11069360</v>
      </c>
      <c r="Q52" s="218"/>
      <c r="Z52" s="251"/>
      <c r="AA52" s="251"/>
      <c r="AB52" s="251"/>
      <c r="AC52" s="251"/>
      <c r="AD52" s="251"/>
      <c r="AE52" s="251"/>
      <c r="AF52" s="251"/>
      <c r="AG52" s="251"/>
      <c r="AH52" s="251"/>
      <c r="AI52" s="251"/>
      <c r="AX52" s="253"/>
      <c r="BL52" s="253"/>
      <c r="BM52" s="208"/>
      <c r="BN52" s="208"/>
      <c r="BO52" s="208"/>
      <c r="CD52" s="213"/>
      <c r="CE52" s="213"/>
      <c r="CF52" s="213"/>
      <c r="CG52" s="213"/>
      <c r="CH52" s="213"/>
    </row>
    <row r="53" spans="1:120" ht="13.5" thickBot="1">
      <c r="A53" s="9"/>
      <c r="F53" s="9">
        <f t="shared" si="1"/>
        <v>41</v>
      </c>
      <c r="G53" s="255" t="s">
        <v>109</v>
      </c>
      <c r="H53" s="255"/>
      <c r="I53" s="255"/>
      <c r="J53" s="252"/>
      <c r="K53" s="167"/>
      <c r="L53" s="606">
        <f>L50-L52</f>
        <v>20557383.659274291</v>
      </c>
      <c r="Q53" s="218"/>
      <c r="Z53" s="199"/>
      <c r="AA53" s="200"/>
      <c r="AB53" s="200"/>
      <c r="AC53" s="200"/>
      <c r="AD53" s="200"/>
      <c r="AE53" s="200"/>
      <c r="AF53" s="200"/>
      <c r="AG53" s="200"/>
      <c r="AH53" s="200"/>
      <c r="AI53" s="200"/>
      <c r="AX53" s="253"/>
      <c r="BL53" s="208"/>
      <c r="BM53" s="208"/>
      <c r="BN53" s="208"/>
      <c r="BO53" s="208"/>
      <c r="CD53" s="213"/>
      <c r="CE53" s="213"/>
      <c r="CF53" s="213"/>
      <c r="CG53" s="213"/>
      <c r="CH53" s="213"/>
      <c r="CT53" s="627"/>
      <c r="CU53" s="627"/>
      <c r="CV53" s="627"/>
      <c r="CW53" s="627">
        <v>-924675.04937016219</v>
      </c>
    </row>
    <row r="54" spans="1:120" ht="13.5" thickTop="1">
      <c r="A54" s="9"/>
      <c r="F54" s="9"/>
      <c r="G54" s="252"/>
      <c r="H54" s="252"/>
      <c r="I54" s="252"/>
      <c r="J54" s="252"/>
      <c r="K54" s="252"/>
      <c r="L54" s="252"/>
      <c r="Q54" s="218"/>
      <c r="Z54" s="251"/>
      <c r="AA54" s="200"/>
      <c r="AB54" s="200"/>
      <c r="AC54" s="200"/>
      <c r="AD54" s="200"/>
      <c r="AE54" s="200"/>
      <c r="AF54" s="200"/>
      <c r="AG54" s="200"/>
      <c r="AH54" s="200"/>
      <c r="AI54" s="200"/>
      <c r="AX54" s="253"/>
      <c r="BL54" s="242"/>
      <c r="BM54" s="208"/>
      <c r="BN54" s="208"/>
      <c r="BO54" s="208"/>
      <c r="CD54" s="213"/>
      <c r="CE54" s="213"/>
      <c r="CF54" s="213"/>
      <c r="CG54" s="213"/>
      <c r="CH54" s="213"/>
      <c r="CT54" s="213"/>
      <c r="CU54" s="213"/>
      <c r="CV54" s="213"/>
      <c r="CW54" s="213"/>
    </row>
    <row r="55" spans="1:120">
      <c r="A55" s="242"/>
      <c r="D55" s="231"/>
      <c r="F55" s="9"/>
      <c r="L55" s="648"/>
      <c r="Q55" s="218"/>
      <c r="AA55" s="251"/>
      <c r="AB55" s="251"/>
      <c r="AC55" s="251"/>
      <c r="AD55" s="251"/>
      <c r="AE55" s="251"/>
      <c r="AF55" s="251"/>
      <c r="AG55" s="251"/>
      <c r="AH55" s="251"/>
      <c r="AI55" s="251"/>
      <c r="AX55" s="253"/>
      <c r="BL55" s="208"/>
      <c r="CD55" s="213"/>
      <c r="CE55" s="213"/>
      <c r="CF55" s="213"/>
      <c r="CG55" s="213"/>
      <c r="CH55" s="213"/>
      <c r="CT55" s="627"/>
      <c r="CU55" s="627"/>
      <c r="CV55" s="627"/>
      <c r="CW55" s="627">
        <f>CW22-CW53</f>
        <v>371888.46737016214</v>
      </c>
    </row>
    <row r="56" spans="1:120">
      <c r="F56" s="9"/>
      <c r="Q56" s="218"/>
      <c r="AA56" s="199"/>
      <c r="AB56" s="199"/>
      <c r="AC56" s="199"/>
      <c r="AD56" s="199"/>
      <c r="AE56" s="199"/>
      <c r="AF56" s="199"/>
      <c r="AG56" s="199"/>
      <c r="AH56" s="199"/>
      <c r="AI56" s="199"/>
      <c r="AX56" s="253"/>
      <c r="BL56" s="208"/>
      <c r="CD56" s="213"/>
      <c r="CE56" s="213"/>
      <c r="CF56" s="213"/>
      <c r="CG56" s="213"/>
      <c r="CH56" s="231"/>
    </row>
    <row r="57" spans="1:120" outlineLevel="1">
      <c r="A57" s="9">
        <v>45</v>
      </c>
      <c r="B57" s="629" t="s">
        <v>928</v>
      </c>
      <c r="E57" s="627">
        <v>-29139113.529240973</v>
      </c>
      <c r="F57" s="9"/>
      <c r="G57" s="252"/>
      <c r="H57" s="252"/>
      <c r="I57" s="252"/>
      <c r="J57" s="252"/>
      <c r="K57" s="198"/>
      <c r="L57" s="627">
        <v>17527344</v>
      </c>
      <c r="M57" s="627"/>
      <c r="N57" s="627"/>
      <c r="O57" s="627"/>
      <c r="P57" s="627"/>
      <c r="Q57" s="627">
        <v>-1000540.310705848</v>
      </c>
      <c r="R57" s="627"/>
      <c r="S57" s="627"/>
      <c r="T57" s="627"/>
      <c r="U57" s="627">
        <v>-27023238.806572676</v>
      </c>
      <c r="V57" s="627"/>
      <c r="W57" s="627"/>
      <c r="X57" s="627"/>
      <c r="Y57" s="627">
        <v>53347930.4173996</v>
      </c>
      <c r="Z57" s="627"/>
      <c r="AA57" s="627"/>
      <c r="AB57" s="627"/>
      <c r="AC57" s="627"/>
      <c r="AD57" s="627">
        <v>-34610611.020140424</v>
      </c>
      <c r="AE57" s="627"/>
      <c r="AF57" s="627"/>
      <c r="AG57" s="627"/>
      <c r="AH57" s="627"/>
      <c r="AI57" s="627"/>
      <c r="AJ57" s="627"/>
      <c r="AK57" s="627"/>
      <c r="AL57" s="627"/>
      <c r="AM57" s="627"/>
      <c r="AN57" s="627">
        <v>69387.278670666696</v>
      </c>
      <c r="AO57" s="627"/>
      <c r="AP57" s="627"/>
      <c r="AQ57" s="627"/>
      <c r="AR57" s="627"/>
      <c r="AS57" s="627"/>
      <c r="AT57" s="627"/>
      <c r="AU57" s="627"/>
      <c r="AV57" s="627"/>
      <c r="AW57" s="627">
        <v>681065</v>
      </c>
      <c r="AX57" s="627"/>
      <c r="AY57" s="627"/>
      <c r="AZ57" s="627"/>
      <c r="BA57" s="627"/>
      <c r="BB57" s="627">
        <v>-109903.18925372683</v>
      </c>
      <c r="BC57" s="627"/>
      <c r="BD57" s="627"/>
      <c r="BE57" s="627"/>
      <c r="BF57" s="627"/>
      <c r="BG57" s="627">
        <v>16141.122864383684</v>
      </c>
      <c r="BH57" s="627"/>
      <c r="BI57" s="627"/>
      <c r="BJ57" s="627"/>
      <c r="BK57" s="627">
        <v>-176605.63064400846</v>
      </c>
      <c r="BL57" s="627"/>
      <c r="BM57" s="627"/>
      <c r="BN57" s="627"/>
      <c r="BO57" s="627">
        <v>-264904.5667814</v>
      </c>
      <c r="BP57" s="627"/>
      <c r="BQ57" s="627"/>
      <c r="BR57" s="627"/>
      <c r="BS57" s="627">
        <v>171199.77983333383</v>
      </c>
      <c r="BT57" s="627"/>
      <c r="BU57" s="627"/>
      <c r="BV57" s="627"/>
      <c r="BW57" s="627"/>
      <c r="BX57" s="627">
        <v>66147.120545911268</v>
      </c>
      <c r="BY57" s="627"/>
      <c r="BZ57" s="627"/>
      <c r="CA57" s="627"/>
      <c r="CB57" s="627"/>
      <c r="CC57" s="627">
        <v>-1184945.4451730854</v>
      </c>
      <c r="CD57" s="627"/>
      <c r="CE57" s="627"/>
      <c r="CF57" s="627"/>
      <c r="CG57" s="627"/>
      <c r="CH57" s="627">
        <v>-1357715.5890578774</v>
      </c>
      <c r="CI57" s="627"/>
      <c r="CJ57" s="627"/>
      <c r="CK57" s="627"/>
      <c r="CL57" s="627"/>
      <c r="CM57" s="627">
        <v>-96704.676397892646</v>
      </c>
      <c r="CN57" s="627"/>
      <c r="CO57" s="627"/>
      <c r="CP57" s="627"/>
      <c r="CQ57" s="627"/>
      <c r="CR57" s="627">
        <v>-121750.92923393101</v>
      </c>
      <c r="CS57" s="627"/>
      <c r="CW57" s="627">
        <v>0</v>
      </c>
      <c r="CX57" s="627"/>
      <c r="CY57" s="627"/>
      <c r="CZ57" s="627"/>
      <c r="DA57" s="627"/>
      <c r="DB57" s="627">
        <v>-3087501.2730555004</v>
      </c>
      <c r="DC57" s="627"/>
      <c r="DD57" s="627"/>
      <c r="DE57" s="627"/>
      <c r="DF57" s="627"/>
      <c r="DG57" s="627">
        <v>434046.43987045588</v>
      </c>
      <c r="DH57" s="627"/>
      <c r="DI57" s="627"/>
      <c r="DJ57" s="627"/>
      <c r="DK57" s="627"/>
      <c r="DL57" s="627">
        <v>10262.31709798798</v>
      </c>
      <c r="DM57" s="627"/>
      <c r="DN57" s="627"/>
      <c r="DO57" s="627"/>
      <c r="DP57" s="627"/>
    </row>
    <row r="58" spans="1:120" outlineLevel="1">
      <c r="A58" s="9">
        <v>46</v>
      </c>
      <c r="C58" s="231"/>
      <c r="Z58" s="213"/>
      <c r="AA58" s="213"/>
      <c r="AB58" s="213"/>
      <c r="AC58" s="213"/>
      <c r="AD58" s="213"/>
      <c r="AE58" s="213"/>
      <c r="AF58" s="213"/>
      <c r="AG58" s="213"/>
      <c r="AH58" s="213"/>
      <c r="AI58" s="213"/>
      <c r="AX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c r="CP58" s="213"/>
      <c r="CQ58" s="213"/>
      <c r="CR58" s="213"/>
      <c r="CS58" s="213"/>
      <c r="CW58" s="213"/>
    </row>
    <row r="59" spans="1:120" outlineLevel="1">
      <c r="A59" s="9">
        <v>47</v>
      </c>
      <c r="B59" s="629" t="s">
        <v>888</v>
      </c>
      <c r="E59" s="627">
        <f>E49-E57</f>
        <v>0</v>
      </c>
      <c r="L59" s="627">
        <f>L53-L57</f>
        <v>3030039.6592742912</v>
      </c>
      <c r="M59" s="627"/>
      <c r="N59" s="627"/>
      <c r="O59" s="627"/>
      <c r="P59" s="627"/>
      <c r="Q59" s="627">
        <f>Q50-Q57</f>
        <v>0</v>
      </c>
      <c r="R59" s="627"/>
      <c r="S59" s="627"/>
      <c r="T59" s="627"/>
      <c r="U59" s="627">
        <f>U32-U57</f>
        <v>0</v>
      </c>
      <c r="V59" s="627"/>
      <c r="W59" s="627"/>
      <c r="X59" s="627"/>
      <c r="Y59" s="627">
        <f>Y23-Y57</f>
        <v>-940976.40740459412</v>
      </c>
      <c r="Z59" s="627"/>
      <c r="AA59" s="627"/>
      <c r="AB59" s="627"/>
      <c r="AC59" s="627"/>
      <c r="AD59" s="627">
        <f>AD35-AD57</f>
        <v>13284876.992391784</v>
      </c>
      <c r="AE59" s="627"/>
      <c r="AF59" s="627"/>
      <c r="AG59" s="627"/>
      <c r="AH59" s="627"/>
      <c r="AI59" s="627"/>
      <c r="AJ59" s="627"/>
      <c r="AK59" s="627"/>
      <c r="AL59" s="627"/>
      <c r="AM59" s="627"/>
      <c r="AN59" s="627">
        <f>AN20-AN57</f>
        <v>0</v>
      </c>
      <c r="AO59" s="627"/>
      <c r="AP59" s="627"/>
      <c r="AQ59" s="627"/>
      <c r="AR59" s="627"/>
      <c r="AS59" s="627"/>
      <c r="AT59" s="627"/>
      <c r="AU59" s="627"/>
      <c r="AV59" s="627"/>
      <c r="AW59" s="627">
        <f>AW29-AW57</f>
        <v>0</v>
      </c>
      <c r="AX59" s="627"/>
      <c r="AY59" s="627"/>
      <c r="AZ59" s="627"/>
      <c r="BA59" s="627"/>
      <c r="BB59" s="627">
        <f>BB30-BB57</f>
        <v>0</v>
      </c>
      <c r="BC59" s="627"/>
      <c r="BD59" s="627"/>
      <c r="BE59" s="627"/>
      <c r="BF59" s="627"/>
      <c r="BG59" s="627">
        <f>BG19-BG57</f>
        <v>0</v>
      </c>
      <c r="BH59" s="627"/>
      <c r="BI59" s="627"/>
      <c r="BJ59" s="627"/>
      <c r="BK59" s="627">
        <f>BK15-BK57</f>
        <v>0</v>
      </c>
      <c r="BL59" s="627"/>
      <c r="BM59" s="627"/>
      <c r="BN59" s="627"/>
      <c r="BO59" s="627">
        <f>BO31-BO57</f>
        <v>264904.5667814</v>
      </c>
      <c r="BP59" s="627"/>
      <c r="BQ59" s="627"/>
      <c r="BR59" s="627"/>
      <c r="BS59" s="627">
        <f>BS31-BS57</f>
        <v>0</v>
      </c>
      <c r="BT59" s="627"/>
      <c r="BU59" s="627"/>
      <c r="BV59" s="627"/>
      <c r="BW59" s="627"/>
      <c r="BX59" s="627">
        <f>BX20-BX57</f>
        <v>0</v>
      </c>
      <c r="BY59" s="627"/>
      <c r="BZ59" s="627"/>
      <c r="CA59" s="627"/>
      <c r="CB59" s="627"/>
      <c r="CC59" s="627">
        <f>CC18-CC57</f>
        <v>0</v>
      </c>
      <c r="CD59" s="627"/>
      <c r="CE59" s="627"/>
      <c r="CF59" s="627"/>
      <c r="CG59" s="627"/>
      <c r="CH59" s="627">
        <f>CH29-CH57</f>
        <v>0</v>
      </c>
      <c r="CI59" s="627"/>
      <c r="CJ59" s="627"/>
      <c r="CK59" s="627"/>
      <c r="CL59" s="627"/>
      <c r="CM59" s="627">
        <f>CM35-CM57</f>
        <v>0</v>
      </c>
      <c r="CN59" s="627"/>
      <c r="CO59" s="627"/>
      <c r="CP59" s="627"/>
      <c r="CQ59" s="627"/>
      <c r="CR59" s="627">
        <f>CR24-CR57</f>
        <v>0</v>
      </c>
      <c r="CS59" s="627"/>
      <c r="CW59" s="627">
        <v>0</v>
      </c>
      <c r="CX59" s="627"/>
      <c r="CY59" s="627"/>
      <c r="CZ59" s="627"/>
      <c r="DA59" s="627"/>
      <c r="DB59" s="627">
        <f>DB27-DB57</f>
        <v>1077280.1159967619</v>
      </c>
      <c r="DC59" s="627"/>
      <c r="DD59" s="627"/>
      <c r="DE59" s="627"/>
      <c r="DF59" s="627"/>
      <c r="DG59" s="627">
        <f>DG34-DG57</f>
        <v>0</v>
      </c>
      <c r="DH59" s="627"/>
      <c r="DI59" s="627"/>
      <c r="DJ59" s="627"/>
      <c r="DK59" s="627"/>
      <c r="DL59" s="627">
        <f>DL19-DL57</f>
        <v>0</v>
      </c>
      <c r="DM59" s="627"/>
      <c r="DN59" s="627"/>
      <c r="DO59" s="627"/>
      <c r="DP59" s="627"/>
    </row>
    <row r="60" spans="1:120" outlineLevel="1">
      <c r="A60" s="9">
        <v>48</v>
      </c>
      <c r="Q60" s="218"/>
      <c r="AX60" s="253"/>
      <c r="BL60" s="208"/>
    </row>
    <row r="61" spans="1:120" outlineLevel="1">
      <c r="A61" s="9">
        <v>49</v>
      </c>
      <c r="B61" s="629" t="s">
        <v>929</v>
      </c>
      <c r="E61" s="627">
        <v>0</v>
      </c>
      <c r="L61" s="627">
        <v>0</v>
      </c>
      <c r="Q61" s="627">
        <v>0</v>
      </c>
      <c r="U61" s="627">
        <v>0</v>
      </c>
      <c r="Y61" s="627">
        <v>0</v>
      </c>
      <c r="AD61" s="627">
        <v>-17305305.510070201</v>
      </c>
      <c r="AE61" s="627"/>
      <c r="AF61" s="627"/>
      <c r="AG61" s="627"/>
      <c r="AH61" s="627"/>
      <c r="AI61" s="627"/>
      <c r="AN61" s="627">
        <v>0</v>
      </c>
      <c r="AW61" s="627">
        <v>0</v>
      </c>
      <c r="AX61" s="253"/>
      <c r="BB61" s="627">
        <v>0</v>
      </c>
      <c r="BG61" s="627">
        <v>0</v>
      </c>
      <c r="BK61" s="627">
        <v>0</v>
      </c>
      <c r="BL61" s="208"/>
      <c r="BO61" s="627">
        <v>0</v>
      </c>
      <c r="BS61" s="627">
        <v>0</v>
      </c>
      <c r="BT61" s="70"/>
      <c r="BX61" s="627">
        <v>0</v>
      </c>
      <c r="CC61" s="627">
        <v>0</v>
      </c>
      <c r="CH61" s="627">
        <v>0</v>
      </c>
      <c r="CM61" s="627">
        <v>0</v>
      </c>
      <c r="CR61" s="627">
        <v>0</v>
      </c>
      <c r="DB61" s="627">
        <v>0</v>
      </c>
      <c r="DG61" s="627">
        <v>15915060.097866783</v>
      </c>
      <c r="DL61" s="627">
        <v>0</v>
      </c>
    </row>
    <row r="62" spans="1:120" outlineLevel="1">
      <c r="A62" s="9">
        <v>50</v>
      </c>
      <c r="B62" s="218"/>
      <c r="AD62" s="213"/>
      <c r="AE62" s="213"/>
      <c r="AF62" s="213"/>
      <c r="AG62" s="213"/>
      <c r="AH62" s="213"/>
      <c r="AI62" s="213"/>
      <c r="AX62" s="253"/>
      <c r="BK62" s="213"/>
      <c r="BL62" s="208"/>
      <c r="BO62" s="213"/>
      <c r="BS62" s="213"/>
      <c r="BX62" s="213"/>
      <c r="CC62" s="213"/>
      <c r="CH62" s="213"/>
      <c r="CM62" s="213"/>
      <c r="CR62" s="213"/>
    </row>
    <row r="63" spans="1:120" outlineLevel="1">
      <c r="A63" s="9">
        <v>51</v>
      </c>
      <c r="B63" s="629" t="s">
        <v>888</v>
      </c>
      <c r="E63" s="627">
        <v>0</v>
      </c>
      <c r="L63" s="627">
        <v>0</v>
      </c>
      <c r="Q63" s="627">
        <v>0</v>
      </c>
      <c r="U63" s="627">
        <v>0</v>
      </c>
      <c r="Y63" s="627">
        <v>0</v>
      </c>
      <c r="AD63" s="627">
        <f>AD42-AD61</f>
        <v>6642438.49619589</v>
      </c>
      <c r="AE63" s="627"/>
      <c r="AF63" s="627"/>
      <c r="AG63" s="627"/>
      <c r="AH63" s="627"/>
      <c r="AI63" s="627"/>
      <c r="AN63" s="627">
        <v>0</v>
      </c>
      <c r="AW63" s="627">
        <v>0</v>
      </c>
      <c r="AX63" s="253"/>
      <c r="BB63" s="627">
        <v>0</v>
      </c>
      <c r="BG63" s="627">
        <v>0</v>
      </c>
      <c r="BK63" s="627">
        <v>0</v>
      </c>
      <c r="BL63" s="208"/>
      <c r="BO63" s="627">
        <v>0</v>
      </c>
      <c r="BS63" s="627">
        <v>0</v>
      </c>
      <c r="BX63" s="627">
        <v>0</v>
      </c>
      <c r="CC63" s="627">
        <v>0</v>
      </c>
      <c r="CH63" s="627">
        <v>0</v>
      </c>
      <c r="CM63" s="627">
        <v>0</v>
      </c>
      <c r="CR63" s="627">
        <v>0</v>
      </c>
      <c r="DB63" s="627">
        <v>0</v>
      </c>
      <c r="DG63" s="627">
        <f>DG22-DG61</f>
        <v>0</v>
      </c>
      <c r="DL63" s="627">
        <v>0</v>
      </c>
    </row>
    <row r="64" spans="1:120">
      <c r="A64" s="9"/>
      <c r="AX64" s="253"/>
      <c r="BL64" s="208"/>
    </row>
    <row r="65" spans="26:64">
      <c r="AX65" s="253"/>
      <c r="BL65" s="208"/>
    </row>
    <row r="66" spans="26:64">
      <c r="AX66" s="253"/>
      <c r="BL66" s="208"/>
    </row>
    <row r="69" spans="26:64">
      <c r="Z69" s="218"/>
    </row>
    <row r="70" spans="26:64">
      <c r="Z70" s="218"/>
      <c r="AX70" s="253"/>
    </row>
    <row r="71" spans="26:64">
      <c r="Z71" s="218"/>
      <c r="AX71" s="253"/>
    </row>
    <row r="72" spans="26:64">
      <c r="Z72" s="218"/>
      <c r="AA72" s="218"/>
      <c r="AB72" s="218"/>
      <c r="AC72" s="218"/>
      <c r="AD72" s="218"/>
      <c r="AE72" s="218"/>
      <c r="AF72" s="218"/>
      <c r="AG72" s="218"/>
      <c r="AH72" s="218"/>
      <c r="AI72" s="218"/>
      <c r="AX72" s="253"/>
    </row>
    <row r="73" spans="26:64">
      <c r="AX73" s="253"/>
    </row>
    <row r="76" spans="26:64">
      <c r="Z76" s="218"/>
      <c r="AA76" s="218"/>
      <c r="AB76" s="218"/>
      <c r="AC76" s="218"/>
      <c r="AD76" s="218"/>
      <c r="AE76" s="218"/>
      <c r="AF76" s="218"/>
      <c r="AG76" s="218"/>
      <c r="AH76" s="218"/>
      <c r="AI76" s="218"/>
    </row>
    <row r="77" spans="26:64">
      <c r="Z77" s="200"/>
      <c r="AA77" s="199"/>
      <c r="AB77" s="199"/>
      <c r="AC77" s="199"/>
      <c r="AD77" s="199"/>
      <c r="AE77" s="199"/>
      <c r="AF77" s="199"/>
      <c r="AG77" s="199"/>
      <c r="AH77" s="199"/>
      <c r="AI77" s="199"/>
    </row>
    <row r="78" spans="26:64">
      <c r="Z78" s="200"/>
    </row>
    <row r="79" spans="26:64">
      <c r="Z79" s="199"/>
      <c r="AA79" s="208"/>
      <c r="AB79" s="208"/>
      <c r="AC79" s="208"/>
      <c r="AD79" s="198"/>
      <c r="AE79" s="198"/>
      <c r="AF79" s="198"/>
      <c r="AG79" s="198"/>
      <c r="AH79" s="198"/>
      <c r="AI79" s="198"/>
      <c r="AY79" s="252"/>
      <c r="AZ79" s="252"/>
      <c r="BA79" s="252"/>
      <c r="BB79" s="252"/>
    </row>
    <row r="80" spans="26:64">
      <c r="Z80" s="251"/>
      <c r="AA80" s="200"/>
      <c r="AB80" s="200"/>
      <c r="AC80" s="200"/>
      <c r="AD80" s="200"/>
      <c r="AE80" s="200"/>
      <c r="AF80" s="200"/>
      <c r="AG80" s="200"/>
      <c r="AH80" s="200"/>
      <c r="AI80" s="200"/>
      <c r="AY80" s="252"/>
      <c r="AZ80" s="252"/>
      <c r="BA80" s="252"/>
      <c r="BB80" s="252"/>
    </row>
    <row r="81" spans="26:54">
      <c r="Z81" s="251"/>
      <c r="AA81" s="200"/>
      <c r="AB81" s="200"/>
      <c r="AC81" s="200"/>
      <c r="AD81" s="200"/>
      <c r="AE81" s="200"/>
      <c r="AF81" s="200"/>
      <c r="AG81" s="200"/>
      <c r="AH81" s="200"/>
      <c r="AI81" s="200"/>
      <c r="AY81" s="252"/>
      <c r="AZ81" s="252"/>
      <c r="BA81" s="252"/>
      <c r="BB81" s="252"/>
    </row>
    <row r="82" spans="26:54">
      <c r="Z82" s="251"/>
      <c r="AA82" s="199"/>
      <c r="AB82" s="200"/>
      <c r="AC82" s="200"/>
      <c r="AD82" s="200"/>
      <c r="AE82" s="200"/>
      <c r="AF82" s="200"/>
      <c r="AG82" s="200"/>
      <c r="AH82" s="200"/>
      <c r="AI82" s="200"/>
    </row>
    <row r="83" spans="26:54">
      <c r="Z83" s="200"/>
      <c r="AA83" s="251"/>
      <c r="AB83" s="200"/>
      <c r="AC83" s="200"/>
      <c r="AD83" s="200"/>
      <c r="AE83" s="200"/>
      <c r="AF83" s="200"/>
      <c r="AG83" s="200"/>
      <c r="AH83" s="200"/>
      <c r="AI83" s="200"/>
    </row>
    <row r="84" spans="26:54">
      <c r="Z84" s="200"/>
      <c r="AA84" s="251"/>
      <c r="AB84" s="200"/>
      <c r="AC84" s="200"/>
      <c r="AD84" s="200"/>
      <c r="AE84" s="200"/>
      <c r="AF84" s="200"/>
      <c r="AG84" s="200"/>
      <c r="AH84" s="200"/>
      <c r="AI84" s="200"/>
    </row>
    <row r="85" spans="26:54">
      <c r="Z85" s="251"/>
      <c r="AA85" s="251"/>
      <c r="AB85" s="200"/>
      <c r="AC85" s="200"/>
      <c r="AD85" s="200"/>
      <c r="AE85" s="200"/>
      <c r="AF85" s="200"/>
      <c r="AG85" s="200"/>
      <c r="AH85" s="200"/>
      <c r="AI85" s="200"/>
    </row>
    <row r="86" spans="26:54">
      <c r="Z86" s="199"/>
      <c r="AA86" s="200"/>
      <c r="AB86" s="200"/>
      <c r="AC86" s="200"/>
      <c r="AD86" s="200"/>
      <c r="AE86" s="200"/>
      <c r="AF86" s="200"/>
      <c r="AG86" s="200"/>
      <c r="AH86" s="200"/>
      <c r="AI86" s="200"/>
    </row>
    <row r="87" spans="26:54">
      <c r="Z87" s="251"/>
      <c r="AA87" s="200"/>
      <c r="AB87" s="200"/>
      <c r="AC87" s="200"/>
      <c r="AD87" s="200"/>
      <c r="AE87" s="200"/>
      <c r="AF87" s="200"/>
      <c r="AG87" s="200"/>
      <c r="AH87" s="200"/>
      <c r="AI87" s="200"/>
    </row>
    <row r="88" spans="26:54">
      <c r="AA88" s="251"/>
      <c r="AB88" s="200"/>
      <c r="AC88" s="200"/>
      <c r="AD88" s="200"/>
      <c r="AE88" s="200"/>
      <c r="AF88" s="200"/>
      <c r="AG88" s="200"/>
      <c r="AH88" s="200"/>
      <c r="AI88" s="200"/>
    </row>
    <row r="89" spans="26:54">
      <c r="AA89" s="199"/>
      <c r="AB89" s="200"/>
      <c r="AC89" s="200"/>
      <c r="AD89" s="200"/>
      <c r="AE89" s="200"/>
      <c r="AF89" s="200"/>
      <c r="AG89" s="200"/>
      <c r="AH89" s="200"/>
      <c r="AI89" s="200"/>
    </row>
    <row r="90" spans="26:54">
      <c r="AA90" s="251"/>
      <c r="AB90" s="200"/>
      <c r="AC90" s="200"/>
      <c r="AD90" s="200"/>
      <c r="AE90" s="200"/>
      <c r="AF90" s="200"/>
      <c r="AG90" s="200"/>
      <c r="AH90" s="200"/>
      <c r="AI90" s="200"/>
    </row>
    <row r="91" spans="26:54">
      <c r="AB91" s="200"/>
      <c r="AC91" s="200"/>
      <c r="AD91" s="200"/>
      <c r="AE91" s="200"/>
      <c r="AF91" s="200"/>
      <c r="AG91" s="200"/>
      <c r="AH91" s="200"/>
      <c r="AI91" s="200"/>
    </row>
    <row r="92" spans="26:54">
      <c r="AB92" s="200"/>
      <c r="AC92" s="200"/>
      <c r="AD92" s="200"/>
      <c r="AE92" s="200"/>
      <c r="AF92" s="200"/>
      <c r="AG92" s="200"/>
      <c r="AH92" s="200"/>
      <c r="AI92" s="200"/>
    </row>
    <row r="93" spans="26:54">
      <c r="AB93" s="200"/>
      <c r="AC93" s="200"/>
      <c r="AD93" s="200"/>
      <c r="AE93" s="200"/>
      <c r="AF93" s="200"/>
      <c r="AG93" s="200"/>
      <c r="AH93" s="200"/>
      <c r="AI93" s="200"/>
    </row>
    <row r="94" spans="26:54">
      <c r="AB94" s="200"/>
      <c r="AC94" s="200"/>
      <c r="AD94" s="200"/>
      <c r="AE94" s="200"/>
      <c r="AF94" s="200"/>
      <c r="AG94" s="200"/>
      <c r="AH94" s="200"/>
      <c r="AI94" s="200"/>
    </row>
    <row r="95" spans="26:54">
      <c r="AB95" s="200"/>
      <c r="AC95" s="200"/>
      <c r="AD95" s="200"/>
      <c r="AE95" s="200"/>
      <c r="AF95" s="200"/>
      <c r="AG95" s="200"/>
      <c r="AH95" s="200"/>
      <c r="AI95" s="200"/>
    </row>
    <row r="96" spans="26:54">
      <c r="AB96" s="200"/>
      <c r="AC96" s="200"/>
      <c r="AD96" s="200"/>
      <c r="AE96" s="200"/>
      <c r="AF96" s="200"/>
      <c r="AG96" s="200"/>
      <c r="AH96" s="200"/>
      <c r="AI96" s="200"/>
    </row>
    <row r="97" spans="26:35">
      <c r="AB97" s="200"/>
      <c r="AC97" s="200"/>
      <c r="AD97" s="200"/>
      <c r="AE97" s="200"/>
      <c r="AF97" s="200"/>
      <c r="AG97" s="200"/>
      <c r="AH97" s="200"/>
      <c r="AI97" s="200"/>
    </row>
    <row r="98" spans="26:35">
      <c r="AB98" s="200"/>
      <c r="AC98" s="200"/>
      <c r="AD98" s="200"/>
      <c r="AE98" s="200"/>
      <c r="AF98" s="200"/>
      <c r="AG98" s="200"/>
      <c r="AH98" s="200"/>
      <c r="AI98" s="200"/>
    </row>
    <row r="99" spans="26:35">
      <c r="AB99" s="200"/>
      <c r="AC99" s="200"/>
      <c r="AD99" s="200"/>
      <c r="AE99" s="200"/>
      <c r="AF99" s="200"/>
      <c r="AG99" s="200"/>
      <c r="AH99" s="200"/>
      <c r="AI99" s="200"/>
    </row>
    <row r="100" spans="26:35">
      <c r="AB100" s="200"/>
      <c r="AC100" s="200"/>
      <c r="AD100" s="200"/>
      <c r="AE100" s="200"/>
      <c r="AF100" s="200"/>
      <c r="AG100" s="200"/>
      <c r="AH100" s="200"/>
      <c r="AI100" s="200"/>
    </row>
    <row r="101" spans="26:35">
      <c r="AB101" s="200"/>
      <c r="AC101" s="200"/>
      <c r="AD101" s="200"/>
      <c r="AE101" s="200"/>
      <c r="AF101" s="200"/>
      <c r="AG101" s="200"/>
      <c r="AH101" s="200"/>
      <c r="AI101" s="200"/>
    </row>
    <row r="102" spans="26:35">
      <c r="Z102" s="218"/>
      <c r="AB102" s="200"/>
      <c r="AC102" s="200"/>
      <c r="AD102" s="200"/>
      <c r="AE102" s="200"/>
      <c r="AF102" s="200"/>
      <c r="AG102" s="200"/>
      <c r="AH102" s="200"/>
      <c r="AI102" s="200"/>
    </row>
    <row r="103" spans="26:35">
      <c r="Z103" s="218"/>
      <c r="AB103" s="200"/>
      <c r="AC103" s="200"/>
      <c r="AD103" s="200"/>
      <c r="AE103" s="200"/>
      <c r="AF103" s="200"/>
      <c r="AG103" s="200"/>
      <c r="AH103" s="200"/>
      <c r="AI103" s="200"/>
    </row>
    <row r="104" spans="26:35">
      <c r="Z104" s="218"/>
      <c r="AB104" s="200"/>
      <c r="AC104" s="200"/>
      <c r="AD104" s="200"/>
      <c r="AE104" s="200"/>
      <c r="AF104" s="200"/>
      <c r="AG104" s="200"/>
      <c r="AH104" s="200"/>
      <c r="AI104" s="200"/>
    </row>
    <row r="105" spans="26:35">
      <c r="Z105" s="218"/>
      <c r="AA105" s="218"/>
      <c r="AB105" s="200"/>
      <c r="AC105" s="200"/>
      <c r="AD105" s="200"/>
      <c r="AE105" s="200"/>
      <c r="AF105" s="200"/>
      <c r="AG105" s="200"/>
      <c r="AH105" s="200"/>
      <c r="AI105" s="200"/>
    </row>
    <row r="106" spans="26:35">
      <c r="AB106" s="200"/>
      <c r="AC106" s="200"/>
      <c r="AD106" s="200"/>
      <c r="AE106" s="200"/>
      <c r="AF106" s="200"/>
      <c r="AG106" s="200"/>
      <c r="AH106" s="200"/>
      <c r="AI106" s="200"/>
    </row>
    <row r="107" spans="26:35">
      <c r="AB107" s="200"/>
      <c r="AC107" s="200"/>
      <c r="AD107" s="200"/>
      <c r="AE107" s="200"/>
      <c r="AF107" s="200"/>
      <c r="AG107" s="200"/>
      <c r="AH107" s="200"/>
      <c r="AI107" s="200"/>
    </row>
    <row r="108" spans="26:35">
      <c r="AB108" s="200"/>
      <c r="AC108" s="200"/>
      <c r="AD108" s="200"/>
      <c r="AE108" s="200"/>
      <c r="AF108" s="200"/>
      <c r="AG108" s="200"/>
      <c r="AH108" s="200"/>
      <c r="AI108" s="200"/>
    </row>
  </sheetData>
  <mergeCells count="22">
    <mergeCell ref="DM3:DO3"/>
    <mergeCell ref="CF10:CH10"/>
    <mergeCell ref="M6:Q6"/>
    <mergeCell ref="BC7:BG7"/>
    <mergeCell ref="BC8:BG8"/>
    <mergeCell ref="BY6:CC6"/>
    <mergeCell ref="BT6:BX6"/>
    <mergeCell ref="CT3:CV3"/>
    <mergeCell ref="AA2:AB2"/>
    <mergeCell ref="G3:K3"/>
    <mergeCell ref="CY3:DA3"/>
    <mergeCell ref="DH7:DL7"/>
    <mergeCell ref="DH8:DL8"/>
    <mergeCell ref="DC7:DG7"/>
    <mergeCell ref="DC8:DG8"/>
    <mergeCell ref="CX7:DB7"/>
    <mergeCell ref="CX8:DB8"/>
    <mergeCell ref="V3:X3"/>
    <mergeCell ref="BL3:BN3"/>
    <mergeCell ref="AA3:AC3"/>
    <mergeCell ref="AE3:AH3"/>
    <mergeCell ref="AE4:AH4"/>
  </mergeCells>
  <phoneticPr fontId="17" type="noConversion"/>
  <printOptions horizontalCentered="1"/>
  <pageMargins left="1"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39997558519241921"/>
    <pageSetUpPr fitToPage="1"/>
  </sheetPr>
  <dimension ref="A1:CG300"/>
  <sheetViews>
    <sheetView view="pageBreakPreview" topLeftCell="Y1" zoomScale="60" zoomScaleNormal="100" workbookViewId="0">
      <pane ySplit="11" topLeftCell="A12" activePane="bottomLeft" state="frozen"/>
      <selection activeCell="BB16" sqref="BB16"/>
      <selection pane="bottomLeft" activeCell="Y3" sqref="Y3"/>
    </sheetView>
  </sheetViews>
  <sheetFormatPr defaultColWidth="19.33203125" defaultRowHeight="12.75" outlineLevelRow="1"/>
  <cols>
    <col min="1" max="1" width="7" style="252" customWidth="1"/>
    <col min="2" max="2" width="65.5" style="252" customWidth="1"/>
    <col min="3" max="5" width="20.6640625" style="252" customWidth="1"/>
    <col min="6" max="6" width="5.5" style="252" customWidth="1"/>
    <col min="7" max="7" width="51.6640625" style="252" customWidth="1"/>
    <col min="8" max="8" width="5.5" style="252" customWidth="1"/>
    <col min="9" max="9" width="16" style="252" bestFit="1" customWidth="1"/>
    <col min="10" max="10" width="15.1640625" style="252" customWidth="1"/>
    <col min="11" max="11" width="6.1640625" style="252" customWidth="1"/>
    <col min="12" max="12" width="66.1640625" style="252" customWidth="1"/>
    <col min="13" max="15" width="15.33203125" style="252" customWidth="1"/>
    <col min="16" max="16" width="6.5" style="252" bestFit="1" customWidth="1"/>
    <col min="17" max="17" width="38.5" style="252" customWidth="1"/>
    <col min="18" max="20" width="17.33203125" style="252" customWidth="1"/>
    <col min="21" max="21" width="6.83203125" style="252" customWidth="1"/>
    <col min="22" max="22" width="81.33203125" style="252" bestFit="1" customWidth="1"/>
    <col min="23" max="23" width="17" style="252" customWidth="1"/>
    <col min="24" max="24" width="17.83203125" style="252" customWidth="1"/>
    <col min="25" max="25" width="16.1640625" style="252" customWidth="1"/>
    <col min="26" max="26" width="6.5" style="252" bestFit="1" customWidth="1"/>
    <col min="27" max="27" width="81.83203125" style="252" customWidth="1"/>
    <col min="28" max="28" width="17" style="252" customWidth="1"/>
    <col min="29" max="29" width="17.6640625" style="252" customWidth="1"/>
    <col min="30" max="30" width="17" style="252" customWidth="1"/>
    <col min="31" max="31" width="5.83203125" style="252" customWidth="1"/>
    <col min="32" max="32" width="46.83203125" style="252" customWidth="1"/>
    <col min="33" max="33" width="16.6640625" style="252" customWidth="1"/>
    <col min="34" max="34" width="16.33203125" style="252" customWidth="1"/>
    <col min="35" max="35" width="15.83203125" style="252" customWidth="1"/>
    <col min="36" max="36" width="5.83203125" style="252" customWidth="1"/>
    <col min="37" max="37" width="39.6640625" style="252" customWidth="1"/>
    <col min="38" max="38" width="13.33203125" style="252" bestFit="1" customWidth="1"/>
    <col min="39" max="39" width="15.83203125" style="252" bestFit="1" customWidth="1"/>
    <col min="40" max="40" width="22" style="252" customWidth="1"/>
    <col min="41" max="41" width="5.1640625" style="252" customWidth="1"/>
    <col min="42" max="42" width="60.6640625" style="252" customWidth="1"/>
    <col min="43" max="43" width="16" style="252" customWidth="1"/>
    <col min="44" max="44" width="16.5" style="252" customWidth="1"/>
    <col min="45" max="45" width="16.6640625" style="252" customWidth="1"/>
    <col min="46" max="46" width="5.1640625" style="252" customWidth="1"/>
    <col min="47" max="47" width="45.5" style="252" customWidth="1"/>
    <col min="48" max="48" width="18.6640625" style="252" customWidth="1"/>
    <col min="49" max="49" width="18.1640625" style="252" customWidth="1"/>
    <col min="50" max="50" width="19.6640625" style="252" customWidth="1"/>
    <col min="51" max="51" width="5.1640625" style="252" customWidth="1"/>
    <col min="52" max="52" width="67" style="252" customWidth="1"/>
    <col min="53" max="53" width="18.6640625" style="252" customWidth="1"/>
    <col min="54" max="54" width="18.1640625" style="252" customWidth="1"/>
    <col min="55" max="55" width="19.83203125" style="252" customWidth="1"/>
    <col min="56" max="56" width="7.5" style="252" bestFit="1" customWidth="1"/>
    <col min="57" max="57" width="82.83203125" style="252" customWidth="1"/>
    <col min="58" max="58" width="18.1640625" style="252" bestFit="1" customWidth="1"/>
    <col min="59" max="59" width="16.6640625" style="252" bestFit="1" customWidth="1"/>
    <col min="60" max="60" width="26.33203125" style="252" bestFit="1" customWidth="1"/>
    <col min="61" max="61" width="7" style="252" customWidth="1"/>
    <col min="62" max="62" width="73" style="252" customWidth="1"/>
    <col min="63" max="63" width="17.83203125" style="252" customWidth="1"/>
    <col min="64" max="64" width="17.1640625" style="252" customWidth="1"/>
    <col min="65" max="65" width="18.6640625" style="252" customWidth="1"/>
    <col min="66" max="80" width="19.33203125" style="209"/>
    <col min="81" max="81" width="5.83203125" style="252" customWidth="1"/>
    <col min="82" max="82" width="55.1640625" style="72" customWidth="1"/>
    <col min="83" max="83" width="17" style="72" customWidth="1"/>
    <col min="84" max="84" width="15.6640625" style="72" customWidth="1"/>
    <col min="85" max="85" width="22.33203125" style="72" customWidth="1"/>
    <col min="86" max="16384" width="19.33203125" style="209"/>
  </cols>
  <sheetData>
    <row r="1" spans="1:85" s="252" customFormat="1">
      <c r="A1" s="250"/>
      <c r="B1" s="250"/>
      <c r="C1" s="11"/>
      <c r="D1" s="11"/>
      <c r="E1" s="8" t="s">
        <v>1097</v>
      </c>
      <c r="F1" s="250"/>
      <c r="J1" s="8" t="str">
        <f>+$E$1</f>
        <v>Exh. MCC-2</v>
      </c>
      <c r="K1" s="8"/>
      <c r="L1" s="8"/>
      <c r="M1" s="8"/>
      <c r="N1" s="8"/>
      <c r="O1" s="8" t="str">
        <f>+$E$1</f>
        <v>Exh. MCC-2</v>
      </c>
      <c r="P1" s="250"/>
      <c r="T1" s="8" t="str">
        <f>+$E$1</f>
        <v>Exh. MCC-2</v>
      </c>
      <c r="U1" s="250"/>
      <c r="V1" s="74"/>
      <c r="W1" s="74"/>
      <c r="X1" s="74"/>
      <c r="Y1" s="8" t="str">
        <f>+$E$1</f>
        <v>Exh. MCC-2</v>
      </c>
      <c r="Z1" s="250"/>
      <c r="AA1" s="8"/>
      <c r="AB1" s="8"/>
      <c r="AC1" s="8"/>
      <c r="AD1" s="8" t="str">
        <f>+$E$1</f>
        <v>Exh. MCC-2</v>
      </c>
      <c r="AE1" s="8"/>
      <c r="AF1" s="8"/>
      <c r="AG1" s="8"/>
      <c r="AH1" s="8"/>
      <c r="AI1" s="8" t="str">
        <f>+$E$1</f>
        <v>Exh. MCC-2</v>
      </c>
      <c r="AK1" s="117"/>
      <c r="AL1" s="117"/>
      <c r="AM1" s="117"/>
      <c r="AN1" s="8" t="str">
        <f>+$E$1</f>
        <v>Exh. MCC-2</v>
      </c>
      <c r="AO1" s="182"/>
      <c r="AP1" s="182"/>
      <c r="AQ1" s="182"/>
      <c r="AR1" s="182"/>
      <c r="AS1" s="8" t="str">
        <f>+$E$1</f>
        <v>Exh. MCC-2</v>
      </c>
      <c r="AT1" s="182"/>
      <c r="AU1" s="182"/>
      <c r="AV1" s="182"/>
      <c r="AX1" s="8" t="str">
        <f>+$E$1</f>
        <v>Exh. MCC-2</v>
      </c>
      <c r="AY1" s="182"/>
      <c r="AZ1" s="182"/>
      <c r="BA1" s="182"/>
      <c r="BC1" s="8" t="str">
        <f>+$E$1</f>
        <v>Exh. MCC-2</v>
      </c>
      <c r="BD1" s="182"/>
      <c r="BE1" s="182"/>
      <c r="BF1" s="182"/>
      <c r="BH1" s="8" t="str">
        <f>+$E$1</f>
        <v>Exh. MCC-2</v>
      </c>
      <c r="BI1" s="250"/>
      <c r="BK1" s="8"/>
      <c r="BM1" s="8" t="str">
        <f>+$E$1</f>
        <v>Exh. MCC-2</v>
      </c>
    </row>
    <row r="2" spans="1:85" s="252" customFormat="1">
      <c r="A2" s="250"/>
      <c r="B2" s="250"/>
      <c r="C2" s="11"/>
      <c r="E2" s="8" t="str">
        <f>'MCC-2 page 1-6'!BB2</f>
        <v>Dockets UE-170033/UG-170034</v>
      </c>
      <c r="F2" s="250"/>
      <c r="J2" s="8" t="str">
        <f>E2</f>
        <v>Dockets UE-170033/UG-170034</v>
      </c>
      <c r="K2" s="8"/>
      <c r="L2" s="8"/>
      <c r="M2" s="8"/>
      <c r="O2" s="8" t="str">
        <f>E2</f>
        <v>Dockets UE-170033/UG-170034</v>
      </c>
      <c r="P2" s="250"/>
      <c r="T2" s="8" t="str">
        <f>E2</f>
        <v>Dockets UE-170033/UG-170034</v>
      </c>
      <c r="U2" s="250"/>
      <c r="V2" s="74" t="s">
        <v>832</v>
      </c>
      <c r="W2" s="74"/>
      <c r="Y2" s="8" t="str">
        <f>E2</f>
        <v>Dockets UE-170033/UG-170034</v>
      </c>
      <c r="Z2" s="250"/>
      <c r="AA2" s="8"/>
      <c r="AB2" s="8"/>
      <c r="AD2" s="8" t="str">
        <f>E2</f>
        <v>Dockets UE-170033/UG-170034</v>
      </c>
      <c r="AE2" s="8"/>
      <c r="AF2" s="8"/>
      <c r="AG2" s="8"/>
      <c r="AI2" s="8" t="str">
        <f>E2</f>
        <v>Dockets UE-170033/UG-170034</v>
      </c>
      <c r="AK2" s="117"/>
      <c r="AL2" s="117"/>
      <c r="AN2" s="8" t="str">
        <f>E2</f>
        <v>Dockets UE-170033/UG-170034</v>
      </c>
      <c r="AO2" s="182"/>
      <c r="AP2" s="182"/>
      <c r="AQ2" s="182"/>
      <c r="AS2" s="8" t="str">
        <f>E2</f>
        <v>Dockets UE-170033/UG-170034</v>
      </c>
      <c r="AW2" s="182"/>
      <c r="AX2" s="8" t="str">
        <f>E2</f>
        <v>Dockets UE-170033/UG-170034</v>
      </c>
      <c r="AY2" s="182"/>
      <c r="AZ2" s="182"/>
      <c r="BA2" s="182"/>
      <c r="BB2" s="182"/>
      <c r="BC2" s="8" t="str">
        <f>E2</f>
        <v>Dockets UE-170033/UG-170034</v>
      </c>
      <c r="BD2" s="182"/>
      <c r="BE2" s="182"/>
      <c r="BF2" s="182"/>
      <c r="BG2" s="182"/>
      <c r="BH2" s="8" t="str">
        <f>E2</f>
        <v>Dockets UE-170033/UG-170034</v>
      </c>
      <c r="BI2" s="250"/>
      <c r="BK2" s="8"/>
      <c r="BM2" s="8" t="str">
        <f>E2</f>
        <v>Dockets UE-170033/UG-170034</v>
      </c>
    </row>
    <row r="3" spans="1:85" s="8" customFormat="1" ht="13.5" thickBot="1">
      <c r="B3" s="1290" t="s">
        <v>997</v>
      </c>
      <c r="C3" s="1290"/>
      <c r="D3" s="1290"/>
      <c r="E3" s="8" t="s">
        <v>1177</v>
      </c>
      <c r="J3" s="8" t="s">
        <v>1178</v>
      </c>
      <c r="O3" s="8" t="s">
        <v>1179</v>
      </c>
      <c r="T3" s="8" t="s">
        <v>1180</v>
      </c>
      <c r="V3" s="1290" t="s">
        <v>884</v>
      </c>
      <c r="W3" s="1290"/>
      <c r="X3" s="1290"/>
      <c r="Y3" s="8" t="s">
        <v>1181</v>
      </c>
      <c r="AD3" s="8" t="s">
        <v>1183</v>
      </c>
      <c r="AI3" s="8" t="s">
        <v>1184</v>
      </c>
      <c r="AK3" s="1290" t="s">
        <v>884</v>
      </c>
      <c r="AL3" s="1290"/>
      <c r="AM3" s="1290"/>
      <c r="AN3" s="8" t="s">
        <v>1185</v>
      </c>
      <c r="AS3" s="8" t="s">
        <v>1186</v>
      </c>
      <c r="AU3" s="1290"/>
      <c r="AV3" s="1290"/>
      <c r="AW3" s="1290"/>
      <c r="AX3" s="8" t="s">
        <v>1187</v>
      </c>
      <c r="AZ3" s="1290" t="s">
        <v>884</v>
      </c>
      <c r="BA3" s="1290"/>
      <c r="BB3" s="1290"/>
      <c r="BC3" s="8" t="s">
        <v>1188</v>
      </c>
      <c r="BE3" s="1290" t="s">
        <v>884</v>
      </c>
      <c r="BF3" s="1290"/>
      <c r="BG3" s="1290"/>
      <c r="BH3" s="8" t="s">
        <v>1189</v>
      </c>
      <c r="BJ3" s="1290" t="s">
        <v>884</v>
      </c>
      <c r="BK3" s="1290"/>
      <c r="BL3" s="1290"/>
      <c r="BM3" s="8" t="s">
        <v>1190</v>
      </c>
    </row>
    <row r="4" spans="1:85" s="250" customFormat="1" ht="13.5" thickBot="1">
      <c r="B4" s="76"/>
      <c r="C4" s="54"/>
      <c r="D4" s="54"/>
      <c r="E4" s="620" t="s">
        <v>902</v>
      </c>
      <c r="J4" s="620">
        <f>+'MCC-2 page 1-6'!AE14</f>
        <v>14.02</v>
      </c>
      <c r="K4" s="257"/>
      <c r="L4" s="257"/>
      <c r="M4" s="257"/>
      <c r="N4" s="257"/>
      <c r="O4" s="475">
        <f>+'MCC-2 page 1-6'!AF14</f>
        <v>14.03</v>
      </c>
      <c r="P4" s="256"/>
      <c r="Q4" s="8"/>
      <c r="R4" s="8"/>
      <c r="S4" s="8"/>
      <c r="T4" s="475">
        <f>+'MCC-2 page 1-6'!AG14</f>
        <v>14.04</v>
      </c>
      <c r="U4" s="79"/>
      <c r="V4" s="79"/>
      <c r="W4" s="79"/>
      <c r="X4" s="79"/>
      <c r="Y4" s="620">
        <f>+'MCC-2 page 1-6'!AH14</f>
        <v>14.05</v>
      </c>
      <c r="Z4" s="120"/>
      <c r="AA4" s="120"/>
      <c r="AB4" s="115"/>
      <c r="AC4" s="120"/>
      <c r="AD4" s="475">
        <f>+'MCC-2 page 1-6'!AI14</f>
        <v>14.06</v>
      </c>
      <c r="AE4" s="182"/>
      <c r="AF4" s="182"/>
      <c r="AG4" s="182"/>
      <c r="AH4" s="182"/>
      <c r="AI4" s="475">
        <f>+'MCC-2 page 1-6'!AJ14</f>
        <v>14.07</v>
      </c>
      <c r="AN4" s="475">
        <f>+'MCC-2 page 1-6'!AK14</f>
        <v>14.08</v>
      </c>
      <c r="AO4" s="182"/>
      <c r="AP4" s="185"/>
      <c r="AQ4" s="182"/>
      <c r="AR4" s="182"/>
      <c r="AS4" s="475">
        <f>+'MCC-2 page 1-6'!AL14</f>
        <v>14.09</v>
      </c>
      <c r="AT4" s="182"/>
      <c r="AU4" s="185"/>
      <c r="AV4" s="182"/>
      <c r="AW4" s="182"/>
      <c r="AX4" s="475">
        <f>+'MCC-2 page 1-6'!AM14</f>
        <v>14.1</v>
      </c>
      <c r="AY4" s="182"/>
      <c r="AZ4" s="185"/>
      <c r="BA4" s="182"/>
      <c r="BB4" s="182"/>
      <c r="BC4" s="620">
        <f>+'MCC-2 page 1-6'!AN14</f>
        <v>14.11</v>
      </c>
      <c r="BD4" s="182"/>
      <c r="BE4" s="185"/>
      <c r="BF4" s="182"/>
      <c r="BG4" s="182"/>
      <c r="BH4" s="475">
        <f>+'MCC-2 page 1-6'!AO14</f>
        <v>14.12</v>
      </c>
      <c r="BM4" s="620">
        <f>+'MCC-2 page 1-6'!AP14</f>
        <v>14.13</v>
      </c>
    </row>
    <row r="5" spans="1:85" s="252" customFormat="1">
      <c r="A5" s="103" t="s">
        <v>312</v>
      </c>
      <c r="B5" s="103"/>
      <c r="C5" s="104"/>
      <c r="D5" s="104"/>
      <c r="E5" s="14"/>
      <c r="F5" s="175" t="s">
        <v>312</v>
      </c>
      <c r="G5" s="248"/>
      <c r="H5" s="248"/>
      <c r="I5" s="248"/>
      <c r="J5" s="248"/>
      <c r="K5" s="175" t="s">
        <v>312</v>
      </c>
      <c r="L5" s="248"/>
      <c r="M5" s="248"/>
      <c r="N5" s="248"/>
      <c r="O5" s="248"/>
      <c r="P5" s="175" t="s">
        <v>312</v>
      </c>
      <c r="Q5" s="248"/>
      <c r="R5" s="248"/>
      <c r="S5" s="248"/>
      <c r="T5" s="248"/>
      <c r="U5" s="175" t="s">
        <v>312</v>
      </c>
      <c r="V5" s="248"/>
      <c r="W5" s="248"/>
      <c r="X5" s="248"/>
      <c r="Y5" s="248"/>
      <c r="Z5" s="103" t="s">
        <v>312</v>
      </c>
      <c r="AA5" s="103"/>
      <c r="AB5" s="104"/>
      <c r="AC5" s="104"/>
      <c r="AD5" s="104"/>
      <c r="AE5" s="175" t="s">
        <v>312</v>
      </c>
      <c r="AF5" s="248"/>
      <c r="AG5" s="248"/>
      <c r="AH5" s="248"/>
      <c r="AI5" s="248"/>
      <c r="AJ5" s="103" t="s">
        <v>312</v>
      </c>
      <c r="AK5" s="103"/>
      <c r="AL5" s="104"/>
      <c r="AM5" s="104"/>
      <c r="AN5" s="104"/>
      <c r="AO5" s="1296" t="s">
        <v>312</v>
      </c>
      <c r="AP5" s="1296"/>
      <c r="AQ5" s="1296"/>
      <c r="AR5" s="1296"/>
      <c r="AS5" s="1296"/>
      <c r="AT5" s="1296" t="s">
        <v>312</v>
      </c>
      <c r="AU5" s="1296"/>
      <c r="AV5" s="1296"/>
      <c r="AW5" s="1296"/>
      <c r="AX5" s="1296"/>
      <c r="AY5" s="1296" t="s">
        <v>312</v>
      </c>
      <c r="AZ5" s="1296"/>
      <c r="BA5" s="1296"/>
      <c r="BB5" s="1296"/>
      <c r="BC5" s="1296"/>
      <c r="BD5" s="1296" t="s">
        <v>312</v>
      </c>
      <c r="BE5" s="1296"/>
      <c r="BF5" s="1296"/>
      <c r="BG5" s="1296"/>
      <c r="BH5" s="1296"/>
      <c r="BI5" s="1290" t="s">
        <v>312</v>
      </c>
      <c r="BJ5" s="1290"/>
      <c r="BK5" s="1290"/>
      <c r="BL5" s="1290"/>
      <c r="BM5" s="1290"/>
    </row>
    <row r="6" spans="1:85" s="252" customFormat="1">
      <c r="A6" s="104" t="s">
        <v>37</v>
      </c>
      <c r="B6" s="104"/>
      <c r="C6" s="104"/>
      <c r="D6" s="104"/>
      <c r="E6" s="14"/>
      <c r="F6" s="248" t="s">
        <v>255</v>
      </c>
      <c r="G6" s="248"/>
      <c r="H6" s="248"/>
      <c r="I6" s="248"/>
      <c r="J6" s="14"/>
      <c r="K6" s="248" t="s">
        <v>174</v>
      </c>
      <c r="L6" s="248"/>
      <c r="M6" s="248"/>
      <c r="N6" s="248"/>
      <c r="O6" s="248"/>
      <c r="P6" s="248" t="s">
        <v>69</v>
      </c>
      <c r="Q6" s="14"/>
      <c r="R6" s="14"/>
      <c r="S6" s="14"/>
      <c r="T6" s="14"/>
      <c r="U6" s="248" t="s">
        <v>175</v>
      </c>
      <c r="V6" s="248"/>
      <c r="W6" s="248"/>
      <c r="X6" s="248"/>
      <c r="Y6" s="248"/>
      <c r="Z6" s="104" t="s">
        <v>176</v>
      </c>
      <c r="AA6" s="104"/>
      <c r="AB6" s="104"/>
      <c r="AC6" s="104"/>
      <c r="AD6" s="14"/>
      <c r="AE6" s="248" t="s">
        <v>453</v>
      </c>
      <c r="AF6" s="248"/>
      <c r="AG6" s="248"/>
      <c r="AH6" s="248"/>
      <c r="AI6" s="248"/>
      <c r="AJ6" s="248" t="s">
        <v>452</v>
      </c>
      <c r="AK6" s="27"/>
      <c r="AL6" s="104"/>
      <c r="AM6" s="104"/>
      <c r="AN6" s="14"/>
      <c r="AO6" s="1296" t="s">
        <v>618</v>
      </c>
      <c r="AP6" s="1296"/>
      <c r="AQ6" s="1296"/>
      <c r="AR6" s="1296"/>
      <c r="AS6" s="1296"/>
      <c r="AT6" s="1296" t="s">
        <v>626</v>
      </c>
      <c r="AU6" s="1296"/>
      <c r="AV6" s="1296"/>
      <c r="AW6" s="1296"/>
      <c r="AX6" s="1296"/>
      <c r="AY6" s="1296" t="s">
        <v>652</v>
      </c>
      <c r="AZ6" s="1296"/>
      <c r="BA6" s="1296"/>
      <c r="BB6" s="1296"/>
      <c r="BC6" s="1296"/>
      <c r="BD6" s="1296" t="s">
        <v>701</v>
      </c>
      <c r="BE6" s="1296"/>
      <c r="BF6" s="1296"/>
      <c r="BG6" s="1296"/>
      <c r="BH6" s="1296"/>
      <c r="BI6" s="248" t="s">
        <v>36</v>
      </c>
      <c r="BJ6" s="248"/>
      <c r="BK6" s="248"/>
      <c r="BL6" s="248"/>
      <c r="BM6" s="14"/>
    </row>
    <row r="7" spans="1:85">
      <c r="A7" s="248" t="str">
        <f>keep_TESTYEAR</f>
        <v>FOR THE TWELVE MONTHS ENDED SEPTEMBER 30, 2016</v>
      </c>
      <c r="B7" s="248"/>
      <c r="C7" s="175"/>
      <c r="D7" s="248"/>
      <c r="E7" s="248"/>
      <c r="F7" s="248" t="str">
        <f>keep_TESTYEAR</f>
        <v>FOR THE TWELVE MONTHS ENDED SEPTEMBER 30, 2016</v>
      </c>
      <c r="G7" s="248"/>
      <c r="H7" s="248"/>
      <c r="I7" s="248"/>
      <c r="J7" s="15"/>
      <c r="K7" s="248" t="str">
        <f>keep_TESTYEAR</f>
        <v>FOR THE TWELVE MONTHS ENDED SEPTEMBER 30, 2016</v>
      </c>
      <c r="L7" s="248"/>
      <c r="M7" s="248"/>
      <c r="N7" s="248"/>
      <c r="O7" s="248"/>
      <c r="P7" s="248" t="str">
        <f>keep_TESTYEAR</f>
        <v>FOR THE TWELVE MONTHS ENDED SEPTEMBER 30, 2016</v>
      </c>
      <c r="Q7" s="15"/>
      <c r="R7" s="15"/>
      <c r="S7" s="15"/>
      <c r="T7" s="15"/>
      <c r="U7" s="248" t="str">
        <f>keep_TESTYEAR</f>
        <v>FOR THE TWELVE MONTHS ENDED SEPTEMBER 30, 2016</v>
      </c>
      <c r="V7" s="248"/>
      <c r="W7" s="248"/>
      <c r="X7" s="248"/>
      <c r="Y7" s="248"/>
      <c r="Z7" s="248" t="str">
        <f>keep_TESTYEAR</f>
        <v>FOR THE TWELVE MONTHS ENDED SEPTEMBER 30, 2016</v>
      </c>
      <c r="AA7" s="104"/>
      <c r="AB7" s="104"/>
      <c r="AC7" s="104"/>
      <c r="AD7" s="15"/>
      <c r="AE7" s="248" t="str">
        <f>keep_TESTYEAR</f>
        <v>FOR THE TWELVE MONTHS ENDED SEPTEMBER 30, 2016</v>
      </c>
      <c r="AF7" s="248"/>
      <c r="AG7" s="248"/>
      <c r="AH7" s="248"/>
      <c r="AI7" s="248"/>
      <c r="AJ7" s="104" t="s">
        <v>650</v>
      </c>
      <c r="AK7" s="104"/>
      <c r="AL7" s="104"/>
      <c r="AM7" s="104"/>
      <c r="AN7" s="15"/>
      <c r="AO7" s="1296" t="str">
        <f>keep_TESTYEAR</f>
        <v>FOR THE TWELVE MONTHS ENDED SEPTEMBER 30, 2016</v>
      </c>
      <c r="AP7" s="1296"/>
      <c r="AQ7" s="1296"/>
      <c r="AR7" s="1296"/>
      <c r="AS7" s="1296"/>
      <c r="AT7" s="1296" t="str">
        <f>keep_TESTYEAR</f>
        <v>FOR THE TWELVE MONTHS ENDED SEPTEMBER 30, 2016</v>
      </c>
      <c r="AU7" s="1296"/>
      <c r="AV7" s="1296"/>
      <c r="AW7" s="1296"/>
      <c r="AX7" s="1296"/>
      <c r="AY7" s="1296" t="str">
        <f>keep_TESTYEAR</f>
        <v>FOR THE TWELVE MONTHS ENDED SEPTEMBER 30, 2016</v>
      </c>
      <c r="AZ7" s="1296"/>
      <c r="BA7" s="1296"/>
      <c r="BB7" s="1296"/>
      <c r="BC7" s="1296"/>
      <c r="BD7" s="1296" t="str">
        <f>keep_TESTYEAR</f>
        <v>FOR THE TWELVE MONTHS ENDED SEPTEMBER 30, 2016</v>
      </c>
      <c r="BE7" s="1296"/>
      <c r="BF7" s="1296"/>
      <c r="BG7" s="1296"/>
      <c r="BH7" s="1296"/>
      <c r="BI7" s="248" t="str">
        <f>keep_TESTYEAR</f>
        <v>FOR THE TWELVE MONTHS ENDED SEPTEMBER 30, 2016</v>
      </c>
      <c r="BJ7" s="248"/>
      <c r="BK7" s="248"/>
      <c r="BL7" s="248"/>
      <c r="BM7" s="15"/>
    </row>
    <row r="8" spans="1:85" s="252" customFormat="1">
      <c r="A8" s="175" t="s">
        <v>58</v>
      </c>
      <c r="B8" s="248"/>
      <c r="C8" s="175"/>
      <c r="D8" s="175"/>
      <c r="E8" s="175"/>
      <c r="F8" s="99" t="s">
        <v>58</v>
      </c>
      <c r="G8" s="99"/>
      <c r="H8" s="175"/>
      <c r="I8" s="99"/>
      <c r="J8" s="99"/>
      <c r="K8" s="248" t="s">
        <v>58</v>
      </c>
      <c r="L8" s="248"/>
      <c r="M8" s="248"/>
      <c r="N8" s="248"/>
      <c r="O8" s="248"/>
      <c r="P8" s="175" t="s">
        <v>58</v>
      </c>
      <c r="Q8" s="248"/>
      <c r="R8" s="248"/>
      <c r="S8" s="248"/>
      <c r="T8" s="248"/>
      <c r="U8" s="175" t="s">
        <v>58</v>
      </c>
      <c r="V8" s="248"/>
      <c r="W8" s="248"/>
      <c r="X8" s="248"/>
      <c r="Y8" s="248"/>
      <c r="Z8" s="153" t="s">
        <v>477</v>
      </c>
      <c r="AA8" s="104"/>
      <c r="AB8" s="104"/>
      <c r="AC8" s="104"/>
      <c r="AD8" s="15"/>
      <c r="AE8" s="248" t="s">
        <v>58</v>
      </c>
      <c r="AF8" s="248"/>
      <c r="AG8" s="248"/>
      <c r="AH8" s="248"/>
      <c r="AI8" s="248"/>
      <c r="AJ8" s="104" t="s">
        <v>58</v>
      </c>
      <c r="AK8" s="104"/>
      <c r="AL8" s="104"/>
      <c r="AM8" s="104"/>
      <c r="AN8" s="15"/>
      <c r="AO8" s="1290" t="s">
        <v>58</v>
      </c>
      <c r="AP8" s="1290"/>
      <c r="AQ8" s="1290"/>
      <c r="AR8" s="1290"/>
      <c r="AS8" s="1290"/>
      <c r="AT8" s="1290" t="s">
        <v>58</v>
      </c>
      <c r="AU8" s="1290"/>
      <c r="AV8" s="1290"/>
      <c r="AW8" s="1290"/>
      <c r="AX8" s="1290"/>
      <c r="AY8" s="1290" t="s">
        <v>58</v>
      </c>
      <c r="AZ8" s="1290"/>
      <c r="BA8" s="1290"/>
      <c r="BB8" s="1290"/>
      <c r="BC8" s="1290"/>
      <c r="BD8" s="1290" t="s">
        <v>58</v>
      </c>
      <c r="BE8" s="1290"/>
      <c r="BF8" s="1290"/>
      <c r="BG8" s="1290"/>
      <c r="BH8" s="1290"/>
      <c r="BI8" s="248" t="s">
        <v>58</v>
      </c>
      <c r="BJ8" s="248"/>
      <c r="BK8" s="248"/>
      <c r="BL8" s="248"/>
      <c r="BM8" s="15"/>
      <c r="CD8" s="72"/>
      <c r="CE8" s="72"/>
      <c r="CF8" s="72"/>
      <c r="CG8" s="72"/>
    </row>
    <row r="9" spans="1:85" s="252" customFormat="1" ht="13.5">
      <c r="A9" s="250"/>
      <c r="C9" s="250"/>
      <c r="D9" s="171"/>
      <c r="E9" s="694" t="s">
        <v>851</v>
      </c>
      <c r="F9" s="250"/>
      <c r="G9" s="77"/>
      <c r="H9" s="77"/>
      <c r="I9" s="171"/>
      <c r="J9" s="694" t="s">
        <v>851</v>
      </c>
      <c r="K9" s="27"/>
      <c r="L9" s="27"/>
      <c r="M9" s="27"/>
      <c r="N9" s="27"/>
      <c r="O9" s="27"/>
      <c r="P9" s="259"/>
      <c r="Q9" s="259"/>
      <c r="R9" s="259"/>
      <c r="S9" s="259"/>
      <c r="T9" s="259"/>
      <c r="U9" s="250"/>
      <c r="V9" s="77"/>
      <c r="W9" s="77"/>
      <c r="X9" s="77"/>
      <c r="Y9" s="250"/>
      <c r="Z9" s="120"/>
      <c r="AA9" s="117"/>
      <c r="AB9" s="120"/>
      <c r="AC9" s="171"/>
      <c r="AD9" s="171"/>
      <c r="AE9" s="174"/>
      <c r="AF9" s="248"/>
      <c r="AG9" s="248"/>
      <c r="AH9" s="248"/>
      <c r="AI9" s="248"/>
      <c r="AM9" s="171"/>
      <c r="AN9" s="171"/>
      <c r="AO9" s="250"/>
      <c r="AP9" s="250"/>
      <c r="AQ9" s="250"/>
      <c r="AR9" s="171"/>
      <c r="AS9" s="171"/>
      <c r="AT9" s="250"/>
      <c r="AU9" s="250"/>
      <c r="AV9" s="250"/>
      <c r="AW9" s="171"/>
      <c r="AX9" s="171"/>
      <c r="AY9" s="250"/>
      <c r="AZ9" s="250"/>
      <c r="BA9" s="250"/>
      <c r="BB9" s="171"/>
      <c r="BC9" s="694" t="s">
        <v>851</v>
      </c>
      <c r="BD9" s="250"/>
      <c r="BE9" s="250"/>
      <c r="BF9" s="250"/>
      <c r="BG9" s="171"/>
      <c r="BH9" s="171"/>
      <c r="BI9" s="250"/>
      <c r="BJ9" s="640"/>
      <c r="BK9" s="171"/>
      <c r="BL9" s="694"/>
      <c r="BM9" s="171"/>
      <c r="BN9" s="209"/>
      <c r="BO9" s="209"/>
      <c r="BP9" s="209"/>
      <c r="BQ9" s="209"/>
      <c r="BR9" s="209"/>
      <c r="BS9" s="209"/>
      <c r="BT9" s="209"/>
      <c r="BU9" s="209"/>
      <c r="BV9" s="209"/>
      <c r="BW9" s="209"/>
      <c r="BX9" s="209"/>
      <c r="CD9" s="72"/>
      <c r="CE9" s="72"/>
      <c r="CF9" s="72"/>
      <c r="CG9" s="72"/>
    </row>
    <row r="10" spans="1:85" ht="15.75" customHeight="1">
      <c r="A10" s="690" t="s">
        <v>284</v>
      </c>
      <c r="B10" s="77"/>
      <c r="C10" s="108"/>
      <c r="D10" s="692"/>
      <c r="E10" s="692" t="s">
        <v>285</v>
      </c>
      <c r="F10" s="692" t="s">
        <v>284</v>
      </c>
      <c r="G10" s="250"/>
      <c r="H10" s="250"/>
      <c r="K10" s="690" t="s">
        <v>284</v>
      </c>
      <c r="L10" s="77"/>
      <c r="M10" s="78"/>
      <c r="N10" s="692"/>
      <c r="O10" s="692"/>
      <c r="P10" s="692" t="s">
        <v>284</v>
      </c>
      <c r="Q10" s="38"/>
      <c r="R10" s="38"/>
      <c r="S10" s="38"/>
      <c r="T10" s="38"/>
      <c r="U10" s="821" t="s">
        <v>284</v>
      </c>
      <c r="V10" s="77"/>
      <c r="W10" s="77"/>
      <c r="X10" s="77"/>
      <c r="Y10" s="820"/>
      <c r="Z10" s="105" t="s">
        <v>284</v>
      </c>
      <c r="AA10" s="120"/>
      <c r="AB10" s="106" t="s">
        <v>331</v>
      </c>
      <c r="AC10" s="106" t="s">
        <v>99</v>
      </c>
      <c r="AD10" s="106"/>
      <c r="AE10" s="690" t="s">
        <v>284</v>
      </c>
      <c r="AF10" s="77"/>
      <c r="AG10" s="78"/>
      <c r="AH10" s="692" t="s">
        <v>309</v>
      </c>
      <c r="AI10" s="692"/>
      <c r="AJ10" s="182" t="s">
        <v>284</v>
      </c>
      <c r="AK10" s="182"/>
      <c r="AL10" s="182"/>
      <c r="AO10" s="182" t="s">
        <v>284</v>
      </c>
      <c r="AP10" s="182"/>
      <c r="AQ10" s="182"/>
      <c r="AR10" s="691" t="s">
        <v>334</v>
      </c>
      <c r="AS10" s="691" t="s">
        <v>334</v>
      </c>
      <c r="AT10" s="182" t="s">
        <v>284</v>
      </c>
      <c r="AU10" s="182"/>
      <c r="AV10" s="182"/>
      <c r="AW10" s="691" t="s">
        <v>334</v>
      </c>
      <c r="AX10" s="691" t="s">
        <v>334</v>
      </c>
      <c r="AY10" s="182" t="s">
        <v>284</v>
      </c>
      <c r="AZ10" s="182"/>
      <c r="BA10" s="182"/>
      <c r="BB10" s="691" t="s">
        <v>334</v>
      </c>
      <c r="BC10" s="691" t="s">
        <v>334</v>
      </c>
      <c r="BD10" s="182" t="s">
        <v>284</v>
      </c>
      <c r="BE10" s="182"/>
      <c r="BF10" s="182"/>
      <c r="BG10" s="691" t="s">
        <v>334</v>
      </c>
      <c r="BH10" s="691" t="s">
        <v>334</v>
      </c>
      <c r="BI10" s="692" t="s">
        <v>284</v>
      </c>
      <c r="BJ10" s="250"/>
      <c r="BK10" s="690" t="s">
        <v>297</v>
      </c>
      <c r="BL10" s="690" t="s">
        <v>296</v>
      </c>
      <c r="BM10" s="690" t="s">
        <v>132</v>
      </c>
    </row>
    <row r="11" spans="1:85" ht="16.5" customHeight="1">
      <c r="A11" s="176" t="s">
        <v>301</v>
      </c>
      <c r="B11" s="177" t="s">
        <v>73</v>
      </c>
      <c r="C11" s="16" t="s">
        <v>300</v>
      </c>
      <c r="D11" s="16" t="s">
        <v>297</v>
      </c>
      <c r="E11" s="16" t="s">
        <v>75</v>
      </c>
      <c r="F11" s="16" t="s">
        <v>301</v>
      </c>
      <c r="G11" s="84" t="s">
        <v>73</v>
      </c>
      <c r="H11" s="176"/>
      <c r="I11" s="176" t="s">
        <v>297</v>
      </c>
      <c r="J11" s="176" t="s">
        <v>76</v>
      </c>
      <c r="K11" s="176" t="s">
        <v>301</v>
      </c>
      <c r="L11" s="177" t="s">
        <v>73</v>
      </c>
      <c r="M11" s="44" t="s">
        <v>300</v>
      </c>
      <c r="N11" s="16" t="s">
        <v>297</v>
      </c>
      <c r="O11" s="16" t="s">
        <v>77</v>
      </c>
      <c r="P11" s="16" t="s">
        <v>301</v>
      </c>
      <c r="Q11" s="39"/>
      <c r="R11" s="176" t="s">
        <v>300</v>
      </c>
      <c r="S11" s="176" t="s">
        <v>74</v>
      </c>
      <c r="T11" s="16" t="s">
        <v>77</v>
      </c>
      <c r="U11" s="16" t="s">
        <v>301</v>
      </c>
      <c r="V11" s="177" t="s">
        <v>73</v>
      </c>
      <c r="W11" s="176" t="s">
        <v>16</v>
      </c>
      <c r="X11" s="176" t="s">
        <v>20</v>
      </c>
      <c r="Y11" s="176" t="s">
        <v>76</v>
      </c>
      <c r="Z11" s="107" t="s">
        <v>301</v>
      </c>
      <c r="AA11" s="122" t="s">
        <v>73</v>
      </c>
      <c r="AB11" s="107" t="s">
        <v>79</v>
      </c>
      <c r="AC11" s="107" t="s">
        <v>839</v>
      </c>
      <c r="AD11" s="107" t="s">
        <v>77</v>
      </c>
      <c r="AE11" s="176" t="s">
        <v>301</v>
      </c>
      <c r="AF11" s="177" t="s">
        <v>73</v>
      </c>
      <c r="AG11" s="16" t="s">
        <v>78</v>
      </c>
      <c r="AH11" s="16" t="s">
        <v>78</v>
      </c>
      <c r="AI11" s="16" t="s">
        <v>77</v>
      </c>
      <c r="AJ11" s="207" t="s">
        <v>301</v>
      </c>
      <c r="AK11" s="207" t="s">
        <v>73</v>
      </c>
      <c r="AL11" s="206" t="s">
        <v>78</v>
      </c>
      <c r="AM11" s="206" t="s">
        <v>297</v>
      </c>
      <c r="AN11" s="206" t="s">
        <v>77</v>
      </c>
      <c r="AO11" s="207" t="s">
        <v>301</v>
      </c>
      <c r="AP11" s="207" t="s">
        <v>73</v>
      </c>
      <c r="AQ11" s="206" t="s">
        <v>78</v>
      </c>
      <c r="AR11" s="206" t="s">
        <v>85</v>
      </c>
      <c r="AS11" s="206" t="s">
        <v>77</v>
      </c>
      <c r="AT11" s="207" t="s">
        <v>301</v>
      </c>
      <c r="AU11" s="207" t="s">
        <v>73</v>
      </c>
      <c r="AV11" s="206" t="s">
        <v>78</v>
      </c>
      <c r="AW11" s="206" t="s">
        <v>85</v>
      </c>
      <c r="AX11" s="206" t="s">
        <v>77</v>
      </c>
      <c r="AY11" s="207" t="s">
        <v>301</v>
      </c>
      <c r="AZ11" s="207" t="s">
        <v>73</v>
      </c>
      <c r="BA11" s="206" t="s">
        <v>78</v>
      </c>
      <c r="BB11" s="206" t="s">
        <v>85</v>
      </c>
      <c r="BC11" s="206" t="s">
        <v>77</v>
      </c>
      <c r="BD11" s="207" t="s">
        <v>301</v>
      </c>
      <c r="BE11" s="207" t="s">
        <v>73</v>
      </c>
      <c r="BF11" s="206" t="s">
        <v>78</v>
      </c>
      <c r="BG11" s="206" t="s">
        <v>85</v>
      </c>
      <c r="BH11" s="206" t="s">
        <v>77</v>
      </c>
      <c r="BI11" s="176" t="s">
        <v>301</v>
      </c>
      <c r="BJ11" s="177" t="s">
        <v>73</v>
      </c>
      <c r="BK11" s="176" t="s">
        <v>162</v>
      </c>
      <c r="BL11" s="176" t="s">
        <v>842</v>
      </c>
      <c r="BM11" s="49">
        <f>k_FITrate</f>
        <v>0.35</v>
      </c>
    </row>
    <row r="12" spans="1:85">
      <c r="A12" s="12"/>
      <c r="B12" s="62"/>
      <c r="C12" s="62"/>
      <c r="D12" s="62"/>
      <c r="E12" s="62"/>
      <c r="F12" s="253"/>
      <c r="G12" s="251"/>
      <c r="H12" s="63"/>
      <c r="I12" s="260"/>
      <c r="J12" s="260"/>
      <c r="K12" s="62"/>
      <c r="L12" s="62"/>
      <c r="M12" s="62"/>
      <c r="N12" s="62"/>
      <c r="O12" s="62"/>
      <c r="P12" s="253"/>
      <c r="Q12" s="40"/>
      <c r="R12" s="179"/>
      <c r="S12" s="179"/>
      <c r="T12" s="179"/>
      <c r="Z12" s="117"/>
      <c r="AA12" s="117"/>
      <c r="AB12" s="117"/>
      <c r="AC12" s="117"/>
      <c r="AD12" s="117"/>
      <c r="AE12" s="142"/>
      <c r="AF12" s="142"/>
      <c r="AG12" s="142"/>
      <c r="AH12" s="142"/>
      <c r="AI12" s="142"/>
      <c r="AO12" s="209"/>
      <c r="AP12" s="209"/>
      <c r="AQ12" s="209"/>
      <c r="AR12" s="209"/>
      <c r="AS12" s="209"/>
      <c r="AT12" s="209"/>
      <c r="AU12" s="209"/>
      <c r="AV12" s="209"/>
      <c r="AW12" s="209"/>
      <c r="AX12" s="209"/>
      <c r="AY12" s="209"/>
      <c r="AZ12" s="209"/>
      <c r="BA12" s="209"/>
      <c r="BB12" s="209"/>
      <c r="BC12" s="209"/>
      <c r="BD12" s="209"/>
      <c r="BE12" s="209"/>
      <c r="BF12" s="209"/>
      <c r="BG12" s="209"/>
      <c r="BH12" s="209"/>
      <c r="BM12" s="14"/>
    </row>
    <row r="13" spans="1:85" s="252" customFormat="1" ht="15">
      <c r="A13" s="253">
        <v>1</v>
      </c>
      <c r="B13" s="245" t="s">
        <v>342</v>
      </c>
      <c r="F13" s="253">
        <f t="shared" ref="F13:F26" si="0">F12+1</f>
        <v>1</v>
      </c>
      <c r="G13" s="302" t="s">
        <v>695</v>
      </c>
      <c r="H13" s="302"/>
      <c r="I13" s="720">
        <f>+'[40]Lead E'!$E$12</f>
        <v>4224063645.7362509</v>
      </c>
      <c r="K13" s="253">
        <v>1</v>
      </c>
      <c r="M13" s="200"/>
      <c r="N13" s="200"/>
      <c r="O13" s="200"/>
      <c r="P13" s="253">
        <v>1</v>
      </c>
      <c r="Q13" s="41" t="s">
        <v>282</v>
      </c>
      <c r="R13" s="195">
        <f>'MCC-2 page 1-6'!D43</f>
        <v>-64111667.629999898</v>
      </c>
      <c r="S13" s="195">
        <v>0</v>
      </c>
      <c r="T13" s="195">
        <f>S13-R13</f>
        <v>64111667.629999898</v>
      </c>
      <c r="U13" s="253">
        <v>1</v>
      </c>
      <c r="V13" s="176" t="s">
        <v>2</v>
      </c>
      <c r="W13" s="260"/>
      <c r="X13" s="260"/>
      <c r="Y13" s="260"/>
      <c r="Z13" s="253">
        <v>1</v>
      </c>
      <c r="AA13" s="154" t="s">
        <v>135</v>
      </c>
      <c r="AB13" s="227"/>
      <c r="AC13" s="227"/>
      <c r="AD13" s="227"/>
      <c r="AE13" s="138">
        <v>1</v>
      </c>
      <c r="AF13" s="52" t="s">
        <v>281</v>
      </c>
      <c r="AG13" s="329"/>
      <c r="AH13" s="329"/>
      <c r="AI13" s="142"/>
      <c r="AJ13" s="360">
        <v>1</v>
      </c>
      <c r="AK13" s="361" t="s">
        <v>619</v>
      </c>
      <c r="AL13" s="362"/>
      <c r="AM13" s="362"/>
      <c r="AN13" s="362"/>
      <c r="AO13" s="360">
        <v>1</v>
      </c>
      <c r="AP13" s="442" t="s">
        <v>738</v>
      </c>
      <c r="AQ13" s="441"/>
      <c r="AR13" s="441"/>
      <c r="AS13" s="441"/>
      <c r="AT13" s="209">
        <v>1</v>
      </c>
      <c r="AU13" s="361" t="s">
        <v>627</v>
      </c>
      <c r="AV13" s="362"/>
      <c r="AW13" s="362"/>
      <c r="AX13" s="362"/>
      <c r="AY13" s="209">
        <v>1</v>
      </c>
      <c r="AZ13" s="433" t="s">
        <v>703</v>
      </c>
      <c r="BA13" s="362"/>
      <c r="BB13" s="362"/>
      <c r="BC13" s="362"/>
      <c r="BD13" s="298">
        <v>1</v>
      </c>
      <c r="BE13" s="431" t="s">
        <v>691</v>
      </c>
      <c r="BF13" s="423"/>
      <c r="BG13" s="423"/>
      <c r="BH13" s="423"/>
      <c r="BI13" s="298">
        <v>1</v>
      </c>
      <c r="BJ13" s="148" t="s">
        <v>1195</v>
      </c>
      <c r="BK13" s="319" t="s">
        <v>1196</v>
      </c>
      <c r="BL13" s="463">
        <f>1-1</f>
        <v>0</v>
      </c>
      <c r="BN13" s="209"/>
      <c r="BO13" s="209"/>
      <c r="BP13" s="209"/>
      <c r="BQ13" s="209"/>
      <c r="BR13" s="209"/>
      <c r="BS13" s="209"/>
      <c r="BT13" s="209"/>
      <c r="BU13" s="209"/>
      <c r="BV13" s="209"/>
      <c r="BW13" s="209"/>
      <c r="BX13" s="209"/>
      <c r="CD13" s="72"/>
      <c r="CE13" s="72"/>
      <c r="CF13" s="72"/>
      <c r="CG13" s="72"/>
    </row>
    <row r="14" spans="1:85" s="252" customFormat="1" ht="15">
      <c r="A14" s="253">
        <f t="shared" ref="A14:A35" si="1">A13+1</f>
        <v>2</v>
      </c>
      <c r="B14" s="300" t="s">
        <v>343</v>
      </c>
      <c r="C14" s="478">
        <f>+'Power Cost WP'!I16</f>
        <v>85246014.709999993</v>
      </c>
      <c r="D14" s="721">
        <f>+'Power Cost WP'!O16</f>
        <v>77997834.053736418</v>
      </c>
      <c r="E14" s="721">
        <f>+D14-C14</f>
        <v>-7248180.656263575</v>
      </c>
      <c r="F14" s="253">
        <f t="shared" si="0"/>
        <v>2</v>
      </c>
      <c r="G14" s="319" t="s">
        <v>830</v>
      </c>
      <c r="H14" s="302"/>
      <c r="I14" s="342">
        <f>+'[40]Lead E'!$E$13</f>
        <v>0.05</v>
      </c>
      <c r="K14" s="253">
        <f t="shared" ref="K14:K28" si="2">K13+1</f>
        <v>2</v>
      </c>
      <c r="L14" s="154" t="s">
        <v>281</v>
      </c>
      <c r="M14" s="227"/>
      <c r="N14" s="227"/>
      <c r="O14" s="227"/>
      <c r="P14" s="253">
        <f t="shared" ref="P14:P21" si="3">P13+1</f>
        <v>2</v>
      </c>
      <c r="Q14" s="255"/>
      <c r="R14" s="216"/>
      <c r="S14" s="215"/>
      <c r="T14" s="215"/>
      <c r="U14" s="253">
        <f t="shared" ref="U14:U30" si="4">U13+1</f>
        <v>2</v>
      </c>
      <c r="V14" s="217" t="s">
        <v>1</v>
      </c>
      <c r="W14" s="52"/>
      <c r="X14" s="52"/>
      <c r="Y14" s="90"/>
      <c r="Z14" s="253">
        <f>Z13+1</f>
        <v>2</v>
      </c>
      <c r="AA14" s="196" t="str">
        <f>'[13]Lead E'!B14</f>
        <v>BEP</v>
      </c>
      <c r="AB14" s="199">
        <f>'[13]Lead E'!C14</f>
        <v>2930264.5350000057</v>
      </c>
      <c r="AC14" s="199">
        <f>'[13]Lead E'!D14</f>
        <v>0</v>
      </c>
      <c r="AD14" s="199">
        <f>+AC14-AB14</f>
        <v>-2930264.5350000057</v>
      </c>
      <c r="AE14" s="138">
        <f t="shared" ref="AE14:AE29" si="5">AE13+1</f>
        <v>2</v>
      </c>
      <c r="AF14" s="203" t="s">
        <v>133</v>
      </c>
      <c r="AG14" s="198">
        <f>'[41]Lead E'!$C$15</f>
        <v>2532527.2133333334</v>
      </c>
      <c r="AH14" s="198">
        <f>'[41]Lead E'!$D$15</f>
        <v>7815669.9016000014</v>
      </c>
      <c r="AI14" s="198">
        <f>AH14-AG14</f>
        <v>5283142.6882666685</v>
      </c>
      <c r="AJ14" s="360">
        <f>+AJ13+1</f>
        <v>2</v>
      </c>
      <c r="AK14" s="361" t="s">
        <v>620</v>
      </c>
      <c r="AL14" s="363"/>
      <c r="AM14" s="363"/>
      <c r="AN14" s="363"/>
      <c r="AO14" s="360">
        <f>+AO13+1</f>
        <v>2</v>
      </c>
      <c r="AP14" s="224" t="s">
        <v>133</v>
      </c>
      <c r="AQ14" s="722">
        <f>+'[42]Lead E'!C13</f>
        <v>21985164.197500002</v>
      </c>
      <c r="AR14" s="722">
        <f>+'[42]Lead E'!D13</f>
        <v>0</v>
      </c>
      <c r="AS14" s="722">
        <f t="shared" ref="AS14:AS18" si="6">AR14-AQ14</f>
        <v>-21985164.197500002</v>
      </c>
      <c r="AT14" s="209">
        <f>AT13+1</f>
        <v>2</v>
      </c>
      <c r="AU14" s="361" t="s">
        <v>620</v>
      </c>
      <c r="AV14" s="363"/>
      <c r="AW14" s="363"/>
      <c r="AX14" s="363"/>
      <c r="AY14" s="209">
        <f>+AY13+1</f>
        <v>2</v>
      </c>
      <c r="AZ14" s="434" t="s">
        <v>704</v>
      </c>
      <c r="BA14" s="541">
        <f>'[43]Lead E'!C11</f>
        <v>59841513.397916675</v>
      </c>
      <c r="BB14" s="723">
        <f>'[43]Lead E'!D11</f>
        <v>59343051.710000001</v>
      </c>
      <c r="BC14" s="723">
        <f>BB14-BA14</f>
        <v>-498461.68791667372</v>
      </c>
      <c r="BD14" s="298">
        <f t="shared" ref="BD14:BD24" si="7">BD13+1</f>
        <v>2</v>
      </c>
      <c r="BE14" s="159" t="s">
        <v>840</v>
      </c>
      <c r="BF14" s="531">
        <f>+'[44]Lead E'!C14</f>
        <v>-101559498.97984974</v>
      </c>
      <c r="BG14" s="531">
        <f>'[45]Treasury Grant Summary'!$E$14</f>
        <v>-31919884</v>
      </c>
      <c r="BH14" s="478">
        <f>BG14-BF14</f>
        <v>69639614.979849741</v>
      </c>
      <c r="BI14" s="298">
        <f>+BI13+1</f>
        <v>2</v>
      </c>
      <c r="BJ14" s="148" t="s">
        <v>1197</v>
      </c>
      <c r="BK14" s="319" t="s">
        <v>1198</v>
      </c>
      <c r="BL14" s="463">
        <f>'[34]Variable Cost Production Factor'!$G$29</f>
        <v>3.6321942459646706E-2</v>
      </c>
      <c r="BM14" s="388"/>
      <c r="BN14" s="209"/>
      <c r="BP14" s="209"/>
      <c r="BQ14" s="209"/>
      <c r="BR14" s="209"/>
      <c r="BS14" s="209"/>
      <c r="BT14" s="209"/>
      <c r="BU14" s="209"/>
      <c r="BV14" s="209"/>
      <c r="BW14" s="209"/>
      <c r="BX14" s="209"/>
      <c r="CD14" s="72"/>
      <c r="CE14" s="72"/>
      <c r="CF14" s="72"/>
      <c r="CG14" s="72"/>
    </row>
    <row r="15" spans="1:85" s="252" customFormat="1" ht="15.75" thickBot="1">
      <c r="A15" s="253">
        <f t="shared" si="1"/>
        <v>3</v>
      </c>
      <c r="B15" s="300" t="s">
        <v>344</v>
      </c>
      <c r="C15" s="196">
        <f>+'Power Cost WP'!I17</f>
        <v>149756871.78999999</v>
      </c>
      <c r="D15" s="644">
        <f>+'Power Cost WP'!O17</f>
        <v>127019674.77452219</v>
      </c>
      <c r="E15" s="644">
        <f t="shared" ref="E15:E25" si="8">+D15-C15</f>
        <v>-22737197.015477806</v>
      </c>
      <c r="F15" s="253">
        <f t="shared" si="0"/>
        <v>3</v>
      </c>
      <c r="G15" s="388" t="s">
        <v>696</v>
      </c>
      <c r="H15" s="302"/>
      <c r="I15" s="302">
        <f>+'[40]Lead E'!$E$14</f>
        <v>1.4999999999999999E-4</v>
      </c>
      <c r="K15" s="253">
        <f t="shared" si="2"/>
        <v>3</v>
      </c>
      <c r="L15" s="144" t="s">
        <v>133</v>
      </c>
      <c r="M15" s="198">
        <f>'[46]Lead E'!$D16</f>
        <v>4539303</v>
      </c>
      <c r="N15" s="199">
        <v>0</v>
      </c>
      <c r="O15" s="199">
        <f>+N15-M15</f>
        <v>-4539303</v>
      </c>
      <c r="P15" s="253">
        <f t="shared" si="3"/>
        <v>3</v>
      </c>
      <c r="Q15" s="34" t="s">
        <v>10</v>
      </c>
      <c r="R15" s="28">
        <f>SUM(R13:R14)</f>
        <v>-64111667.629999898</v>
      </c>
      <c r="S15" s="200">
        <f>SUM(S13:S14)</f>
        <v>0</v>
      </c>
      <c r="T15" s="200">
        <f>SUM(T13:T14)</f>
        <v>64111667.629999898</v>
      </c>
      <c r="U15" s="253">
        <f t="shared" si="4"/>
        <v>3</v>
      </c>
      <c r="V15" s="11" t="s">
        <v>833</v>
      </c>
      <c r="W15" s="268">
        <f>'[47]Storm Damage Summary'!C17</f>
        <v>146577.86000000002</v>
      </c>
      <c r="X15" s="268">
        <f>'[47]Storm Damage Summary'!D17</f>
        <v>9324412.6900000013</v>
      </c>
      <c r="Y15" s="101">
        <f t="shared" ref="Y15:Y20" si="9">SUM(W15+X15)</f>
        <v>9470990.5500000007</v>
      </c>
      <c r="Z15" s="253">
        <f t="shared" ref="Z15:Z66" si="10">+Z14+1</f>
        <v>3</v>
      </c>
      <c r="AA15" s="196" t="str">
        <f>'[13]Lead E'!B15</f>
        <v>WESTCOAST PIPELINE CAPACITY - UE-082013 (FB ENERGY)</v>
      </c>
      <c r="AB15" s="196">
        <f>'[13]Lead E'!C15</f>
        <v>-658518.54083333327</v>
      </c>
      <c r="AC15" s="196">
        <f>'[13]Lead E'!D15</f>
        <v>-88510.49771296572</v>
      </c>
      <c r="AD15" s="155">
        <f>+AC15-AB15</f>
        <v>570008.04312036757</v>
      </c>
      <c r="AE15" s="138">
        <f t="shared" si="5"/>
        <v>3</v>
      </c>
      <c r="AF15" s="203" t="s">
        <v>200</v>
      </c>
      <c r="AG15" s="200">
        <f>'[41]Lead E'!$C$16</f>
        <v>-23967.255261935759</v>
      </c>
      <c r="AH15" s="200">
        <f>'[41]Lead E'!$D$16</f>
        <v>-746090.14322181221</v>
      </c>
      <c r="AI15" s="200">
        <f>AH15-AG15</f>
        <v>-722122.88795987645</v>
      </c>
      <c r="AJ15" s="360">
        <f t="shared" ref="AJ15:AJ29" si="11">+AJ14+1</f>
        <v>3</v>
      </c>
      <c r="AK15" s="364" t="s">
        <v>133</v>
      </c>
      <c r="AL15" s="365">
        <v>0</v>
      </c>
      <c r="AM15" s="366">
        <v>0</v>
      </c>
      <c r="AN15" s="366">
        <f>AM15-AL15</f>
        <v>0</v>
      </c>
      <c r="AO15" s="360">
        <f t="shared" ref="AO15:AO39" si="12">+AO14+1</f>
        <v>3</v>
      </c>
      <c r="AP15" s="224" t="s">
        <v>200</v>
      </c>
      <c r="AQ15" s="724">
        <f>+'[42]Lead E'!C14</f>
        <v>-4782184.9428318273</v>
      </c>
      <c r="AR15" s="724">
        <f>+'[42]Lead E'!D14</f>
        <v>17053554.294432983</v>
      </c>
      <c r="AS15" s="724">
        <f t="shared" si="6"/>
        <v>21835739.237264812</v>
      </c>
      <c r="AT15" s="209">
        <f>AT14+1</f>
        <v>3</v>
      </c>
      <c r="AU15" s="364" t="s">
        <v>133</v>
      </c>
      <c r="AV15" s="365">
        <f>'[48]Lead E'!C14</f>
        <v>0</v>
      </c>
      <c r="AW15" s="365">
        <f>'[48]Lead E'!D14</f>
        <v>24765516.030000001</v>
      </c>
      <c r="AX15" s="365">
        <f>'[48]Lead E'!E14</f>
        <v>24765516.030000001</v>
      </c>
      <c r="AY15" s="209">
        <f>AY14+1</f>
        <v>3</v>
      </c>
      <c r="AZ15" s="434" t="s">
        <v>705</v>
      </c>
      <c r="BA15" s="542">
        <f>'[43]Lead E'!C12</f>
        <v>0</v>
      </c>
      <c r="BB15" s="542">
        <f>'[43]Lead E'!D12</f>
        <v>18825.34</v>
      </c>
      <c r="BC15" s="542">
        <f>BB15-BA15</f>
        <v>18825.34</v>
      </c>
      <c r="BD15" s="298">
        <f t="shared" si="7"/>
        <v>3</v>
      </c>
      <c r="BE15" s="424" t="s">
        <v>686</v>
      </c>
      <c r="BF15" s="219">
        <f>SUM(BF14:BF14)</f>
        <v>-101559498.97984974</v>
      </c>
      <c r="BG15" s="219">
        <f>SUM(BG14:BG14)</f>
        <v>-31919884</v>
      </c>
      <c r="BH15" s="219">
        <f>SUM(BH14:BH14)</f>
        <v>69639614.979849741</v>
      </c>
      <c r="BI15" s="298">
        <f t="shared" ref="BI15:BI81" si="13">+BI14+1</f>
        <v>3</v>
      </c>
      <c r="BJ15" s="252" t="s">
        <v>841</v>
      </c>
      <c r="BP15" s="209"/>
      <c r="BQ15" s="209"/>
      <c r="BR15" s="209"/>
      <c r="BS15" s="209"/>
      <c r="BT15" s="209"/>
      <c r="BU15" s="209"/>
      <c r="BV15" s="209"/>
      <c r="BW15" s="209"/>
      <c r="BX15" s="209"/>
      <c r="CD15" s="72"/>
      <c r="CE15" s="72"/>
      <c r="CF15" s="72"/>
      <c r="CG15" s="72"/>
    </row>
    <row r="16" spans="1:85" s="252" customFormat="1" ht="15.75" thickTop="1">
      <c r="A16" s="253">
        <f t="shared" si="1"/>
        <v>4</v>
      </c>
      <c r="B16" s="300" t="s">
        <v>345</v>
      </c>
      <c r="C16" s="196">
        <f>+'Power Cost WP'!I18</f>
        <v>523037995.81000006</v>
      </c>
      <c r="D16" s="644">
        <f>+'Power Cost WP'!O18</f>
        <v>404481745.98367381</v>
      </c>
      <c r="E16" s="644">
        <f t="shared" si="8"/>
        <v>-118556249.82632625</v>
      </c>
      <c r="F16" s="253">
        <f t="shared" si="0"/>
        <v>4</v>
      </c>
      <c r="G16" s="319" t="s">
        <v>697</v>
      </c>
      <c r="H16" s="302"/>
      <c r="I16" s="725">
        <f>+I13*(1-I14)*I15</f>
        <v>601929.06951741572</v>
      </c>
      <c r="K16" s="253">
        <f t="shared" si="2"/>
        <v>4</v>
      </c>
      <c r="L16" s="124" t="s">
        <v>200</v>
      </c>
      <c r="M16" s="28">
        <f>'[46]Lead E'!$D17</f>
        <v>-1578037</v>
      </c>
      <c r="N16" s="200"/>
      <c r="O16" s="200">
        <f>+N16-M16</f>
        <v>1578037</v>
      </c>
      <c r="P16" s="253">
        <f t="shared" si="3"/>
        <v>4</v>
      </c>
      <c r="Q16" s="255"/>
      <c r="R16" s="42"/>
      <c r="S16" s="42"/>
      <c r="T16" s="42"/>
      <c r="U16" s="253">
        <f t="shared" si="4"/>
        <v>4</v>
      </c>
      <c r="V16" s="11" t="s">
        <v>834</v>
      </c>
      <c r="W16" s="955">
        <f>'[47]Storm Damage Summary'!C18</f>
        <v>345320.97947031242</v>
      </c>
      <c r="X16" s="955">
        <f>'[47]Storm Damage Summary'!D18</f>
        <v>12020048.450529687</v>
      </c>
      <c r="Y16" s="102">
        <f t="shared" si="9"/>
        <v>12365369.43</v>
      </c>
      <c r="Z16" s="253">
        <f t="shared" si="10"/>
        <v>4</v>
      </c>
      <c r="AA16" s="196" t="str">
        <f>'[13]Lead E'!B16</f>
        <v>WESTCOAST PIPELINE CAPACITY - UE-100503 (BNP PARIBUS)</v>
      </c>
      <c r="AB16" s="196">
        <f>'[13]Lead E'!C16</f>
        <v>-902764.31833333336</v>
      </c>
      <c r="AC16" s="196">
        <f>'[13]Lead E'!D16</f>
        <v>-121339.24959547223</v>
      </c>
      <c r="AD16" s="155">
        <f>+AC16-AB16</f>
        <v>781425.06873786112</v>
      </c>
      <c r="AE16" s="138">
        <f t="shared" si="5"/>
        <v>4</v>
      </c>
      <c r="AF16" s="203" t="s">
        <v>731</v>
      </c>
      <c r="AG16" s="200">
        <f>'[41]Lead E'!$C$17</f>
        <v>1602.450349846451</v>
      </c>
      <c r="AH16" s="200">
        <f>'[41]Lead E'!$D$17</f>
        <v>0</v>
      </c>
      <c r="AI16" s="200">
        <f t="shared" ref="AI16:AI18" si="14">AH16-AG16</f>
        <v>-1602.450349846451</v>
      </c>
      <c r="AJ16" s="360">
        <f t="shared" si="11"/>
        <v>4</v>
      </c>
      <c r="AK16" s="364" t="s">
        <v>200</v>
      </c>
      <c r="AL16" s="200">
        <v>0</v>
      </c>
      <c r="AM16" s="200">
        <v>0</v>
      </c>
      <c r="AN16" s="200">
        <f>AM16-AL16</f>
        <v>0</v>
      </c>
      <c r="AO16" s="360">
        <f t="shared" si="12"/>
        <v>4</v>
      </c>
      <c r="AP16" s="224" t="s">
        <v>759</v>
      </c>
      <c r="AQ16" s="724">
        <f>+'[42]Lead E'!C15</f>
        <v>-770444.58162956533</v>
      </c>
      <c r="AR16" s="724">
        <f>+'[42]Lead E'!D15</f>
        <v>0</v>
      </c>
      <c r="AS16" s="724">
        <f t="shared" si="6"/>
        <v>770444.58162956533</v>
      </c>
      <c r="AT16" s="209">
        <f>AT15+1</f>
        <v>4</v>
      </c>
      <c r="AU16" s="364" t="s">
        <v>200</v>
      </c>
      <c r="AV16" s="367">
        <f>'[48]Lead E'!C15</f>
        <v>0</v>
      </c>
      <c r="AW16" s="367">
        <f>'[48]Lead E'!D15</f>
        <v>-1572187.2608600797</v>
      </c>
      <c r="AX16" s="367">
        <f>'[48]Lead E'!E15</f>
        <v>-1572187.2608600797</v>
      </c>
      <c r="AY16" s="209">
        <f t="shared" ref="AY16:AY29" si="15">AY15+1</f>
        <v>4</v>
      </c>
      <c r="AZ16" s="434" t="s">
        <v>706</v>
      </c>
      <c r="BA16" s="543">
        <f>'[43]Lead E'!C13</f>
        <v>0</v>
      </c>
      <c r="BB16" s="543">
        <f>'[43]Lead E'!D13</f>
        <v>26606.68</v>
      </c>
      <c r="BC16" s="543">
        <f>BB16-BA16</f>
        <v>26606.68</v>
      </c>
      <c r="BD16" s="298">
        <f t="shared" si="7"/>
        <v>4</v>
      </c>
      <c r="BE16" s="224"/>
      <c r="BF16" s="199"/>
      <c r="BG16" s="199"/>
      <c r="BH16" s="199"/>
      <c r="BI16" s="298">
        <f t="shared" si="13"/>
        <v>4</v>
      </c>
      <c r="BJ16" s="299" t="s">
        <v>503</v>
      </c>
      <c r="BN16" s="213"/>
      <c r="BO16" s="209"/>
      <c r="BP16" s="209"/>
      <c r="BQ16" s="209"/>
      <c r="BR16" s="209"/>
      <c r="BS16" s="209"/>
      <c r="BT16" s="209"/>
      <c r="BU16" s="209"/>
      <c r="BV16" s="209"/>
      <c r="BW16" s="209"/>
      <c r="BX16" s="209"/>
      <c r="CD16" s="72"/>
      <c r="CE16" s="72"/>
      <c r="CF16" s="72"/>
      <c r="CG16" s="72"/>
    </row>
    <row r="17" spans="1:85" ht="15">
      <c r="A17" s="253">
        <f t="shared" si="1"/>
        <v>5</v>
      </c>
      <c r="B17" s="300" t="s">
        <v>630</v>
      </c>
      <c r="C17" s="196">
        <f>SUM('Power Cost WP'!I19:I20)</f>
        <v>9308463.5600000005</v>
      </c>
      <c r="D17" s="196">
        <f>SUM('Power Cost WP'!O19:O20)</f>
        <v>6811347.9685537536</v>
      </c>
      <c r="E17" s="196">
        <f t="shared" si="8"/>
        <v>-2497115.591446247</v>
      </c>
      <c r="F17" s="253">
        <f t="shared" si="0"/>
        <v>5</v>
      </c>
      <c r="G17" s="388"/>
      <c r="H17" s="302"/>
      <c r="I17" s="302"/>
      <c r="K17" s="253">
        <f t="shared" si="2"/>
        <v>5</v>
      </c>
      <c r="L17" s="201" t="s">
        <v>831</v>
      </c>
      <c r="M17" s="28">
        <f>'[46]Lead E'!$D18</f>
        <v>-11978.689327298343</v>
      </c>
      <c r="N17" s="200"/>
      <c r="O17" s="200">
        <f>+N17-M17</f>
        <v>11978.689327298343</v>
      </c>
      <c r="P17" s="253">
        <f t="shared" si="3"/>
        <v>5</v>
      </c>
      <c r="Q17" s="255" t="s">
        <v>5</v>
      </c>
      <c r="R17" s="42"/>
      <c r="S17" s="42"/>
      <c r="T17" s="28">
        <f>-T15</f>
        <v>-64111667.629999898</v>
      </c>
      <c r="U17" s="253">
        <f t="shared" si="4"/>
        <v>5</v>
      </c>
      <c r="V17" s="11" t="s">
        <v>835</v>
      </c>
      <c r="W17" s="955">
        <f>'[47]Storm Damage Summary'!C19</f>
        <v>168306.6472019369</v>
      </c>
      <c r="X17" s="955">
        <f>'[47]Storm Damage Summary'!D19</f>
        <v>6580199.412798062</v>
      </c>
      <c r="Y17" s="102">
        <f t="shared" si="9"/>
        <v>6748506.0599999987</v>
      </c>
      <c r="Z17" s="253">
        <f t="shared" si="10"/>
        <v>5</v>
      </c>
      <c r="AA17" s="196" t="str">
        <f>'[13]Lead E'!B17</f>
        <v>MINT FARM DEFFRED - UE-090704 (FERC 407.3)</v>
      </c>
      <c r="AB17" s="196">
        <f>'[13]Lead E'!C17</f>
        <v>16769498.08</v>
      </c>
      <c r="AC17" s="196">
        <f>'[13]Lead E'!D17</f>
        <v>12550110.290861849</v>
      </c>
      <c r="AD17" s="196">
        <f t="shared" ref="AD17:AD30" si="16">+AC17-AB17</f>
        <v>-4219387.7891381513</v>
      </c>
      <c r="AE17" s="138">
        <f t="shared" si="5"/>
        <v>5</v>
      </c>
      <c r="AF17" s="138" t="s">
        <v>734</v>
      </c>
      <c r="AG17" s="200">
        <f>'[41]Lead E'!$C$18</f>
        <v>-205321.18453019747</v>
      </c>
      <c r="AH17" s="200">
        <f>'[41]Lead E'!$D$18</f>
        <v>-1922512.3307887327</v>
      </c>
      <c r="AI17" s="200">
        <f t="shared" si="14"/>
        <v>-1717191.1462585353</v>
      </c>
      <c r="AJ17" s="360">
        <f t="shared" si="11"/>
        <v>5</v>
      </c>
      <c r="AK17" s="368" t="s">
        <v>621</v>
      </c>
      <c r="AL17" s="200">
        <v>0</v>
      </c>
      <c r="AM17" s="200">
        <v>0</v>
      </c>
      <c r="AN17" s="200">
        <f>AM17-AL17</f>
        <v>0</v>
      </c>
      <c r="AO17" s="360">
        <f t="shared" si="12"/>
        <v>5</v>
      </c>
      <c r="AP17" s="255" t="s">
        <v>739</v>
      </c>
      <c r="AQ17" s="724">
        <f>+'[42]Lead E'!C16</f>
        <v>-1771037.4357740821</v>
      </c>
      <c r="AR17" s="724">
        <f>+'[42]Lead E'!D16</f>
        <v>0</v>
      </c>
      <c r="AS17" s="724">
        <f t="shared" si="6"/>
        <v>1771037.4357740821</v>
      </c>
      <c r="AT17" s="209">
        <f>AT16+1</f>
        <v>5</v>
      </c>
      <c r="AU17" s="368" t="s">
        <v>621</v>
      </c>
      <c r="AV17" s="367">
        <f>'[48]Lead E'!C16</f>
        <v>0</v>
      </c>
      <c r="AW17" s="367">
        <f>'[48]Lead E'!D16</f>
        <v>-4188738.7602319769</v>
      </c>
      <c r="AX17" s="367">
        <f>'[48]Lead E'!E16</f>
        <v>-4188738.7602319769</v>
      </c>
      <c r="AY17" s="209">
        <f t="shared" si="15"/>
        <v>5</v>
      </c>
      <c r="AZ17" s="434" t="s">
        <v>707</v>
      </c>
      <c r="BA17" s="542">
        <f>SUM(BA14:BA16)</f>
        <v>59841513.397916675</v>
      </c>
      <c r="BB17" s="726">
        <f t="shared" ref="BB17:BC17" si="17">SUM(BB14:BB16)</f>
        <v>59388483.730000004</v>
      </c>
      <c r="BC17" s="726">
        <f t="shared" si="17"/>
        <v>-453029.6679166737</v>
      </c>
      <c r="BD17" s="298">
        <f t="shared" si="7"/>
        <v>5</v>
      </c>
      <c r="BE17" s="224"/>
      <c r="BF17" s="199"/>
      <c r="BG17" s="199"/>
      <c r="BH17" s="199"/>
      <c r="BI17" s="298">
        <f t="shared" si="13"/>
        <v>5</v>
      </c>
      <c r="BJ17" s="255" t="s">
        <v>603</v>
      </c>
      <c r="BK17" s="727">
        <f>SUM('For Prod Adj Expense'!G13,'For Prod Adj Expense'!G15)</f>
        <v>140926.45741654641</v>
      </c>
      <c r="BL17" s="727">
        <f>-BK17*$BL$13</f>
        <v>0</v>
      </c>
      <c r="BM17" s="727">
        <f>ROUND(+BL17*-$BM$11,0)</f>
        <v>0</v>
      </c>
      <c r="BN17" s="213"/>
    </row>
    <row r="18" spans="1:85" ht="15.75" thickBot="1">
      <c r="A18" s="253">
        <f t="shared" si="1"/>
        <v>6</v>
      </c>
      <c r="B18" s="243" t="s">
        <v>632</v>
      </c>
      <c r="C18" s="196">
        <f>+'Power Cost WP'!I21</f>
        <v>113800193.22</v>
      </c>
      <c r="D18" s="644">
        <f>+'Power Cost WP'!O21</f>
        <v>108794683.40084627</v>
      </c>
      <c r="E18" s="644">
        <f t="shared" si="8"/>
        <v>-5005509.8191537261</v>
      </c>
      <c r="F18" s="253">
        <f t="shared" si="0"/>
        <v>6</v>
      </c>
      <c r="G18" s="388" t="s">
        <v>698</v>
      </c>
      <c r="H18" s="302"/>
      <c r="I18" s="302">
        <f>+'[40]Lead E'!$E$17</f>
        <v>2.0000000000000001E-4</v>
      </c>
      <c r="K18" s="253">
        <f t="shared" si="2"/>
        <v>6</v>
      </c>
      <c r="L18" s="124" t="s">
        <v>315</v>
      </c>
      <c r="M18" s="28">
        <f>'[46]Lead E'!$D19</f>
        <v>-984138.515625</v>
      </c>
      <c r="N18" s="200"/>
      <c r="O18" s="200">
        <f>+N18-M18</f>
        <v>984138.515625</v>
      </c>
      <c r="P18" s="253">
        <f t="shared" si="3"/>
        <v>6</v>
      </c>
      <c r="Q18" s="255"/>
      <c r="R18" s="42"/>
      <c r="S18" s="35"/>
      <c r="U18" s="253">
        <f t="shared" si="4"/>
        <v>6</v>
      </c>
      <c r="V18" s="11" t="s">
        <v>1068</v>
      </c>
      <c r="W18" s="955">
        <f>'[47]Storm Damage Summary'!C20</f>
        <v>428007.16507628211</v>
      </c>
      <c r="X18" s="955">
        <f>'[47]Storm Damage Summary'!D20</f>
        <v>12682042.714923715</v>
      </c>
      <c r="Y18" s="102">
        <f t="shared" si="9"/>
        <v>13110049.879999997</v>
      </c>
      <c r="Z18" s="253">
        <f t="shared" si="10"/>
        <v>6</v>
      </c>
      <c r="AA18" s="196" t="str">
        <f>'[13]Lead E'!B18</f>
        <v>CHELAN PUD</v>
      </c>
      <c r="AB18" s="196">
        <f>'[13]Lead E'!C18</f>
        <v>96067432.909166694</v>
      </c>
      <c r="AC18" s="196">
        <f>'[13]Lead E'!D18</f>
        <v>82196760.579333305</v>
      </c>
      <c r="AD18" s="196">
        <f t="shared" si="16"/>
        <v>-13870672.329833388</v>
      </c>
      <c r="AE18" s="138">
        <f t="shared" si="5"/>
        <v>6</v>
      </c>
      <c r="AF18" s="138" t="s">
        <v>735</v>
      </c>
      <c r="AG18" s="200">
        <f>'[41]Lead E'!$C$19</f>
        <v>-560.85762244625778</v>
      </c>
      <c r="AH18" s="200">
        <f>'[41]Lead E'!$D$19</f>
        <v>0</v>
      </c>
      <c r="AI18" s="200">
        <f t="shared" si="14"/>
        <v>560.85762244625778</v>
      </c>
      <c r="AJ18" s="360">
        <f t="shared" si="11"/>
        <v>6</v>
      </c>
      <c r="AK18" s="370" t="s">
        <v>622</v>
      </c>
      <c r="AL18" s="486">
        <f>SUM(AL15:AL17)</f>
        <v>0</v>
      </c>
      <c r="AM18" s="486">
        <f>SUM(AM15:AM17)</f>
        <v>0</v>
      </c>
      <c r="AN18" s="486">
        <f>SUM(AN15:AN17)</f>
        <v>0</v>
      </c>
      <c r="AO18" s="360">
        <f t="shared" si="12"/>
        <v>6</v>
      </c>
      <c r="AP18" s="224" t="s">
        <v>760</v>
      </c>
      <c r="AQ18" s="724">
        <f>+'[42]Lead E'!C17</f>
        <v>269655.60357034783</v>
      </c>
      <c r="AR18" s="724">
        <f>+'[42]Lead E'!D17</f>
        <v>0</v>
      </c>
      <c r="AS18" s="724">
        <f t="shared" si="6"/>
        <v>-269655.60357034783</v>
      </c>
      <c r="AT18" s="209">
        <f>AT17+1</f>
        <v>6</v>
      </c>
      <c r="AU18" s="370" t="s">
        <v>622</v>
      </c>
      <c r="AV18" s="371">
        <f>SUM(AV15:AV17)</f>
        <v>0</v>
      </c>
      <c r="AW18" s="371">
        <f>SUM(AW15:AW17)</f>
        <v>19004590.008907948</v>
      </c>
      <c r="AX18" s="371">
        <f>SUM(AX15:AX17)</f>
        <v>19004590.008907948</v>
      </c>
      <c r="AY18" s="209">
        <f t="shared" si="15"/>
        <v>6</v>
      </c>
      <c r="AZ18" s="434" t="s">
        <v>708</v>
      </c>
      <c r="BA18" s="542">
        <f>'[43]Lead E'!C15</f>
        <v>-37066402.04703182</v>
      </c>
      <c r="BB18" s="726">
        <f>'[49]WHITE RIVER SUMMARY'!$D$17</f>
        <v>-40429480.921691619</v>
      </c>
      <c r="BC18" s="726">
        <f>BB18-BA18</f>
        <v>-3363078.874659799</v>
      </c>
      <c r="BD18" s="298">
        <f t="shared" si="7"/>
        <v>6</v>
      </c>
      <c r="BE18" s="432" t="s">
        <v>692</v>
      </c>
      <c r="BF18" s="425"/>
      <c r="BG18" s="426"/>
      <c r="BH18" s="146"/>
      <c r="BI18" s="298">
        <f t="shared" si="13"/>
        <v>6</v>
      </c>
      <c r="BJ18" s="255" t="s">
        <v>597</v>
      </c>
      <c r="BK18" s="644">
        <f>SUM('For Prod Adj Expense'!G14,'For Prod Adj Expense'!G16)</f>
        <v>337826.02625572123</v>
      </c>
      <c r="BL18" s="644">
        <f>-BK18*$BL$13</f>
        <v>0</v>
      </c>
      <c r="BM18" s="644">
        <f>ROUND(+BL18*-$BM$11,0)</f>
        <v>0</v>
      </c>
      <c r="BN18" s="213"/>
    </row>
    <row r="19" spans="1:85" ht="16.5" thickTop="1" thickBot="1">
      <c r="A19" s="253">
        <f t="shared" si="1"/>
        <v>7</v>
      </c>
      <c r="B19" s="245" t="s">
        <v>633</v>
      </c>
      <c r="C19" s="196">
        <f>+'Power Cost WP'!I22</f>
        <v>-201125741.74000001</v>
      </c>
      <c r="D19" s="644">
        <f>+'Power Cost WP'!O22</f>
        <v>-22046223.383484818</v>
      </c>
      <c r="E19" s="644">
        <f t="shared" si="8"/>
        <v>179079518.3565152</v>
      </c>
      <c r="F19" s="253">
        <f t="shared" si="0"/>
        <v>7</v>
      </c>
      <c r="G19" s="319" t="s">
        <v>699</v>
      </c>
      <c r="H19" s="302"/>
      <c r="I19" s="728">
        <f>+I18*I13</f>
        <v>844812.72914725018</v>
      </c>
      <c r="K19" s="253">
        <f t="shared" si="2"/>
        <v>7</v>
      </c>
      <c r="L19" s="124" t="s">
        <v>730</v>
      </c>
      <c r="M19" s="28">
        <f>'[46]Lead E'!$D20</f>
        <v>4192.5412645544202</v>
      </c>
      <c r="N19" s="466"/>
      <c r="O19" s="200">
        <f>+N19-M19</f>
        <v>-4192.5412645544202</v>
      </c>
      <c r="P19" s="253">
        <f t="shared" si="3"/>
        <v>7</v>
      </c>
      <c r="Q19" s="255" t="s">
        <v>146</v>
      </c>
      <c r="R19" s="157">
        <v>0.35</v>
      </c>
      <c r="T19" s="208">
        <f>T17*R19</f>
        <v>-22439083.670499962</v>
      </c>
      <c r="U19" s="253">
        <f t="shared" si="4"/>
        <v>7</v>
      </c>
      <c r="V19" s="11" t="s">
        <v>1069</v>
      </c>
      <c r="W19" s="955">
        <f>'[47]Storm Damage Summary'!C21</f>
        <v>1550963.6913106842</v>
      </c>
      <c r="X19" s="955">
        <f>'[47]Storm Damage Summary'!D21</f>
        <v>35262841.948689312</v>
      </c>
      <c r="Y19" s="102">
        <f t="shared" si="9"/>
        <v>36813805.639999993</v>
      </c>
      <c r="Z19" s="253">
        <f t="shared" si="10"/>
        <v>7</v>
      </c>
      <c r="AA19" s="196" t="str">
        <f>'[13]Lead E'!B19</f>
        <v xml:space="preserve">CHELAN - ROCK ISLAND SECURITY DEPOSIT </v>
      </c>
      <c r="AB19" s="196">
        <f>'[13]Lead E'!C19</f>
        <v>18500000</v>
      </c>
      <c r="AC19" s="196">
        <f>'[13]Lead E'!D19</f>
        <v>18500000</v>
      </c>
      <c r="AD19" s="196">
        <f t="shared" si="16"/>
        <v>0</v>
      </c>
      <c r="AE19" s="138">
        <f t="shared" si="5"/>
        <v>7</v>
      </c>
      <c r="AF19" s="138" t="s">
        <v>659</v>
      </c>
      <c r="AG19" s="486">
        <f>SUM(AG14:AG18)</f>
        <v>2304280.3662686003</v>
      </c>
      <c r="AH19" s="486">
        <f>SUM(AH14:AH18)</f>
        <v>5147067.4275894566</v>
      </c>
      <c r="AI19" s="486">
        <f>SUM(AI14:AI18)</f>
        <v>2842787.0613208562</v>
      </c>
      <c r="AJ19" s="360">
        <f t="shared" si="11"/>
        <v>7</v>
      </c>
      <c r="AK19" s="369"/>
      <c r="AL19" s="372"/>
      <c r="AM19" s="372"/>
      <c r="AN19" s="372"/>
      <c r="AO19" s="360">
        <f t="shared" si="12"/>
        <v>7</v>
      </c>
      <c r="AP19" s="224" t="s">
        <v>622</v>
      </c>
      <c r="AQ19" s="486">
        <f>SUM(AQ14:AQ18)</f>
        <v>14931152.840834877</v>
      </c>
      <c r="AR19" s="486">
        <f t="shared" ref="AR19:AS19" si="18">SUM(AR14:AR18)</f>
        <v>17053554.294432983</v>
      </c>
      <c r="AS19" s="486">
        <f t="shared" si="18"/>
        <v>2122401.45359811</v>
      </c>
      <c r="AT19" s="213"/>
      <c r="AU19" s="213"/>
      <c r="AV19" s="213"/>
      <c r="AW19" s="213"/>
      <c r="AX19" s="213"/>
      <c r="AY19" s="209">
        <f t="shared" si="15"/>
        <v>7</v>
      </c>
      <c r="AZ19" s="434" t="s">
        <v>315</v>
      </c>
      <c r="BA19" s="543">
        <f>'[43]Lead E'!C16</f>
        <v>-7971288.6979166651</v>
      </c>
      <c r="BB19" s="729">
        <f>'[49]WHITE RIVER SUMMARY'!$D$18</f>
        <v>-6619749.3382314919</v>
      </c>
      <c r="BC19" s="729">
        <f>BB19-BA19</f>
        <v>1351539.3596851733</v>
      </c>
      <c r="BD19" s="298">
        <f t="shared" si="7"/>
        <v>7</v>
      </c>
      <c r="BE19" s="546" t="s">
        <v>384</v>
      </c>
      <c r="BF19" s="531">
        <f>+'[44]Lead E'!C20</f>
        <v>-3279780</v>
      </c>
      <c r="BG19" s="531">
        <f>'[45]Treasury Grant Summary'!$E$19</f>
        <v>-861936.66666666663</v>
      </c>
      <c r="BH19" s="478">
        <f>BG19-BF19</f>
        <v>2417843.3333333335</v>
      </c>
      <c r="BI19" s="298">
        <f t="shared" si="13"/>
        <v>7</v>
      </c>
      <c r="BJ19" s="255" t="s">
        <v>605</v>
      </c>
      <c r="BK19" s="644">
        <f>+'For Prod Adj Expense'!H21</f>
        <v>8206061.1260157973</v>
      </c>
      <c r="BL19" s="644">
        <f>-BK19*$BL$13</f>
        <v>0</v>
      </c>
      <c r="BM19" s="644">
        <f>ROUND(+BL19*-$BM$11,0)</f>
        <v>0</v>
      </c>
      <c r="BN19" s="213"/>
    </row>
    <row r="20" spans="1:85" ht="16.5" thickTop="1" thickBot="1">
      <c r="A20" s="253">
        <f t="shared" si="1"/>
        <v>8</v>
      </c>
      <c r="B20" s="245" t="s">
        <v>634</v>
      </c>
      <c r="C20" s="196">
        <f>+'Power Cost WP'!I23</f>
        <v>18023677.969999999</v>
      </c>
      <c r="D20" s="644">
        <f>+'Power Cost WP'!O23</f>
        <v>-16897672.722583361</v>
      </c>
      <c r="E20" s="644">
        <f t="shared" si="8"/>
        <v>-34921350.69258336</v>
      </c>
      <c r="F20" s="253">
        <f t="shared" si="0"/>
        <v>8</v>
      </c>
      <c r="G20" s="388"/>
      <c r="H20" s="302"/>
      <c r="I20" s="302"/>
      <c r="J20" s="302"/>
      <c r="K20" s="253">
        <f t="shared" si="2"/>
        <v>8</v>
      </c>
      <c r="L20" s="111" t="s">
        <v>280</v>
      </c>
      <c r="M20" s="222">
        <f>SUM(M15:M19)</f>
        <v>1969341.3363122563</v>
      </c>
      <c r="N20" s="222">
        <f t="shared" ref="N20:O20" si="19">SUM(N15:N19)</f>
        <v>0</v>
      </c>
      <c r="O20" s="222">
        <f t="shared" si="19"/>
        <v>-1969341.3363122563</v>
      </c>
      <c r="P20" s="253">
        <f t="shared" si="3"/>
        <v>8</v>
      </c>
      <c r="U20" s="253">
        <f t="shared" si="4"/>
        <v>8</v>
      </c>
      <c r="V20" s="11" t="s">
        <v>1070</v>
      </c>
      <c r="W20" s="955">
        <f>'[47]Storm Damage Summary'!C22</f>
        <v>1315344.0876007138</v>
      </c>
      <c r="X20" s="955">
        <f>'[47]Storm Damage Summary'!D22</f>
        <v>32790234.202399284</v>
      </c>
      <c r="Y20" s="102">
        <f t="shared" si="9"/>
        <v>34105578.289999999</v>
      </c>
      <c r="Z20" s="253">
        <f t="shared" si="10"/>
        <v>8</v>
      </c>
      <c r="AA20" s="196" t="str">
        <f>'[13]Lead E'!B20</f>
        <v>COLSTRIP 1&amp;2 (WECo) PREPAYMENT</v>
      </c>
      <c r="AB20" s="196">
        <f>'[13]Lead E'!C20</f>
        <v>1874999.78</v>
      </c>
      <c r="AC20" s="196">
        <f>'[13]Lead E'!D20</f>
        <v>750000.00000000524</v>
      </c>
      <c r="AD20" s="196">
        <f t="shared" si="16"/>
        <v>-1124999.7799999947</v>
      </c>
      <c r="AE20" s="138">
        <f t="shared" si="5"/>
        <v>8</v>
      </c>
      <c r="AF20" s="138"/>
      <c r="AG20" s="138"/>
      <c r="AH20" s="138"/>
      <c r="AI20" s="138"/>
      <c r="AJ20" s="360">
        <f t="shared" si="11"/>
        <v>8</v>
      </c>
      <c r="AK20" s="373" t="s">
        <v>623</v>
      </c>
      <c r="AL20" s="363"/>
      <c r="AM20" s="363"/>
      <c r="AN20" s="363"/>
      <c r="AO20" s="360">
        <f t="shared" si="12"/>
        <v>8</v>
      </c>
      <c r="AP20" s="442"/>
      <c r="AQ20" s="199"/>
      <c r="AR20" s="147"/>
      <c r="AS20" s="199"/>
      <c r="AT20" s="213"/>
      <c r="AU20" s="213"/>
      <c r="AV20" s="213"/>
      <c r="AW20" s="213"/>
      <c r="AX20" s="213"/>
      <c r="AY20" s="209">
        <f t="shared" si="15"/>
        <v>8</v>
      </c>
      <c r="AZ20" s="435" t="s">
        <v>709</v>
      </c>
      <c r="BA20" s="486">
        <f>SUM(BA17:BA19)</f>
        <v>14803822.652968191</v>
      </c>
      <c r="BB20" s="730">
        <f t="shared" ref="BB20:BC20" si="20">SUM(BB17:BB19)</f>
        <v>12339253.470076893</v>
      </c>
      <c r="BC20" s="730">
        <f t="shared" si="20"/>
        <v>-2464569.1828912995</v>
      </c>
      <c r="BD20" s="298">
        <f t="shared" si="7"/>
        <v>8</v>
      </c>
      <c r="BE20" s="424" t="s">
        <v>687</v>
      </c>
      <c r="BF20" s="547">
        <f>SUM(BF19:BF19)</f>
        <v>-3279780</v>
      </c>
      <c r="BG20" s="547">
        <f>SUM(BG19:BG19)</f>
        <v>-861936.66666666663</v>
      </c>
      <c r="BH20" s="547">
        <f>SUM(BH19:BH19)</f>
        <v>2417843.3333333335</v>
      </c>
      <c r="BI20" s="298">
        <f t="shared" si="13"/>
        <v>8</v>
      </c>
      <c r="BJ20" s="255" t="s">
        <v>606</v>
      </c>
      <c r="BK20" s="196">
        <f>+'For Prod Adj Expense'!H26</f>
        <v>214071.82388560369</v>
      </c>
      <c r="BL20" s="196">
        <f>-BK20*$BL$13</f>
        <v>0</v>
      </c>
      <c r="BM20" s="196">
        <f>ROUND(+BL20*-$BM$11,0)</f>
        <v>0</v>
      </c>
      <c r="BN20" s="213"/>
    </row>
    <row r="21" spans="1:85" ht="16.5" thickTop="1" thickBot="1">
      <c r="A21" s="253">
        <f t="shared" si="1"/>
        <v>9</v>
      </c>
      <c r="E21" s="196">
        <f t="shared" si="8"/>
        <v>0</v>
      </c>
      <c r="F21" s="253">
        <f t="shared" si="0"/>
        <v>9</v>
      </c>
      <c r="G21" s="242" t="s">
        <v>700</v>
      </c>
      <c r="H21" s="343"/>
      <c r="I21" s="344"/>
      <c r="J21" s="731">
        <f>+I19+I16</f>
        <v>1446741.7986646658</v>
      </c>
      <c r="K21" s="253">
        <f t="shared" si="2"/>
        <v>9</v>
      </c>
      <c r="L21" s="158"/>
      <c r="M21" s="199"/>
      <c r="N21" s="199"/>
      <c r="O21" s="199"/>
      <c r="P21" s="253">
        <f t="shared" si="3"/>
        <v>9</v>
      </c>
      <c r="Q21" s="255" t="s">
        <v>109</v>
      </c>
      <c r="R21" s="157"/>
      <c r="S21" s="167"/>
      <c r="T21" s="219">
        <f>+T17-T19</f>
        <v>-41672583.95949994</v>
      </c>
      <c r="U21" s="253">
        <f t="shared" si="4"/>
        <v>9</v>
      </c>
      <c r="V21" s="43" t="s">
        <v>4</v>
      </c>
      <c r="W21" s="295">
        <f>SUM(W15:W20)</f>
        <v>3954520.4306599293</v>
      </c>
      <c r="X21" s="295">
        <f>SUM(X15:X20)</f>
        <v>108659779.41934006</v>
      </c>
      <c r="Y21" s="220">
        <f>SUM(Y15:Y20)</f>
        <v>112614299.84999999</v>
      </c>
      <c r="Z21" s="253">
        <f t="shared" si="10"/>
        <v>9</v>
      </c>
      <c r="AA21" s="196" t="str">
        <f>'[13]Lead E'!B21</f>
        <v>FERC PART 12 STUDY NON-CONSTRUCTION COSTS UE-070074 (FERC 407)</v>
      </c>
      <c r="AB21" s="196">
        <f>'[13]Lead E'!C21</f>
        <v>180950.83</v>
      </c>
      <c r="AC21" s="196">
        <f>'[13]Lead E'!D21</f>
        <v>0</v>
      </c>
      <c r="AD21" s="196">
        <f t="shared" si="16"/>
        <v>-180950.83</v>
      </c>
      <c r="AE21" s="138">
        <f t="shared" si="5"/>
        <v>9</v>
      </c>
      <c r="AF21" s="252" t="s">
        <v>0</v>
      </c>
      <c r="AG21" s="227"/>
      <c r="AH21" s="227"/>
      <c r="AI21" s="227"/>
      <c r="AJ21" s="360">
        <f t="shared" si="11"/>
        <v>9</v>
      </c>
      <c r="AK21" s="374" t="s">
        <v>134</v>
      </c>
      <c r="AL21" s="478">
        <v>0</v>
      </c>
      <c r="AM21" s="478">
        <v>0</v>
      </c>
      <c r="AN21" s="478">
        <f>AM21-AL21</f>
        <v>0</v>
      </c>
      <c r="AO21" s="360">
        <f t="shared" si="12"/>
        <v>9</v>
      </c>
      <c r="AP21" s="442" t="s">
        <v>740</v>
      </c>
      <c r="AQ21" s="441"/>
      <c r="AR21" s="441"/>
      <c r="AS21" s="630"/>
      <c r="AT21" s="213"/>
      <c r="AU21" s="213"/>
      <c r="AV21" s="213"/>
      <c r="AW21" s="213"/>
      <c r="AX21" s="213"/>
      <c r="AY21" s="209">
        <f t="shared" si="15"/>
        <v>9</v>
      </c>
      <c r="AZ21" s="435"/>
      <c r="BA21" s="542"/>
      <c r="BB21" s="542"/>
      <c r="BC21" s="542"/>
      <c r="BD21" s="298">
        <f t="shared" si="7"/>
        <v>9</v>
      </c>
      <c r="BE21" s="427"/>
      <c r="BF21" s="428"/>
      <c r="BG21" s="428"/>
      <c r="BH21" s="428"/>
      <c r="BI21" s="298">
        <f t="shared" si="13"/>
        <v>9</v>
      </c>
      <c r="BJ21" s="255" t="s">
        <v>607</v>
      </c>
      <c r="BK21" s="196">
        <f>+'For Prod Adj Expense'!H27</f>
        <v>2763777.09</v>
      </c>
      <c r="BL21" s="196">
        <f>-BK21*$BL$13</f>
        <v>0</v>
      </c>
      <c r="BM21" s="196">
        <f>ROUND(+BL21*-$BM$11,0)</f>
        <v>0</v>
      </c>
      <c r="BN21" s="213"/>
    </row>
    <row r="22" spans="1:85" ht="15.75" thickTop="1">
      <c r="A22" s="253">
        <f t="shared" si="1"/>
        <v>10</v>
      </c>
      <c r="B22" s="243" t="s">
        <v>303</v>
      </c>
      <c r="C22" s="196">
        <f>+'Power Cost WP'!I26</f>
        <v>125897437.02000001</v>
      </c>
      <c r="D22" s="196">
        <f>+'Power Cost WP'!O26</f>
        <v>139005724.06146133</v>
      </c>
      <c r="E22" s="196">
        <f t="shared" si="8"/>
        <v>13108287.041461319</v>
      </c>
      <c r="F22" s="253">
        <f t="shared" si="0"/>
        <v>10</v>
      </c>
      <c r="G22" s="242" t="s">
        <v>7</v>
      </c>
      <c r="H22" s="343"/>
      <c r="I22" s="345"/>
      <c r="J22" s="350">
        <f>+'[40]Lead E'!$E$21</f>
        <v>1540793.07</v>
      </c>
      <c r="K22" s="253">
        <f t="shared" si="2"/>
        <v>10</v>
      </c>
      <c r="L22" s="123" t="s">
        <v>0</v>
      </c>
      <c r="P22" s="253"/>
      <c r="Q22" s="13"/>
      <c r="R22" s="213"/>
      <c r="S22" s="226"/>
      <c r="U22" s="253">
        <f t="shared" si="4"/>
        <v>10</v>
      </c>
      <c r="W22" s="208"/>
      <c r="X22" s="208"/>
      <c r="Y22" s="208"/>
      <c r="Z22" s="253">
        <f t="shared" si="10"/>
        <v>10</v>
      </c>
      <c r="AA22" s="196" t="str">
        <f>'[13]Lead E'!B22</f>
        <v>LOWER SNAKE RIVER PP TRANSM PRINCIPAL $99.8M</v>
      </c>
      <c r="AB22" s="196">
        <f>'[13]Lead E'!C22</f>
        <v>68955037.953333333</v>
      </c>
      <c r="AC22" s="196">
        <f>'[13]Lead E'!D22</f>
        <v>60863794.047865629</v>
      </c>
      <c r="AD22" s="196">
        <f t="shared" si="16"/>
        <v>-8091243.9054677039</v>
      </c>
      <c r="AE22" s="138">
        <f t="shared" si="5"/>
        <v>10</v>
      </c>
      <c r="AF22" s="178" t="s">
        <v>733</v>
      </c>
      <c r="AG22" s="198">
        <f>'[41]Lead E'!$C$23</f>
        <v>123836.50843962499</v>
      </c>
      <c r="AH22" s="198">
        <f>'[41]Lead E'!$D$23</f>
        <v>340033.97615332442</v>
      </c>
      <c r="AI22" s="198">
        <f>+AH22-AG22</f>
        <v>216197.46771369944</v>
      </c>
      <c r="AJ22" s="360">
        <f t="shared" si="11"/>
        <v>10</v>
      </c>
      <c r="AK22" s="375" t="s">
        <v>21</v>
      </c>
      <c r="AL22" s="376">
        <f>SUM(AL21:AL21)</f>
        <v>0</v>
      </c>
      <c r="AM22" s="376">
        <f>SUM(AM21:AM21)</f>
        <v>0</v>
      </c>
      <c r="AN22" s="376">
        <f>SUM(AN21:AN21)</f>
        <v>0</v>
      </c>
      <c r="AO22" s="360">
        <f t="shared" si="12"/>
        <v>10</v>
      </c>
      <c r="AP22" s="224" t="s">
        <v>133</v>
      </c>
      <c r="AQ22" s="722">
        <f>+'[42]Lead E'!C21</f>
        <v>3134072.5099999993</v>
      </c>
      <c r="AR22" s="722">
        <f>+'[42]Lead E'!D21</f>
        <v>25072580.079999987</v>
      </c>
      <c r="AS22" s="722">
        <f t="shared" ref="AS22:AS26" si="21">AR22-AQ22</f>
        <v>21938507.569999989</v>
      </c>
      <c r="AT22" s="213"/>
      <c r="AU22" s="213"/>
      <c r="AV22" s="213"/>
      <c r="AW22" s="213"/>
      <c r="AX22" s="213"/>
      <c r="AY22" s="209">
        <f t="shared" si="15"/>
        <v>10</v>
      </c>
      <c r="AZ22" s="433" t="s">
        <v>710</v>
      </c>
      <c r="BA22" s="542"/>
      <c r="BB22" s="542"/>
      <c r="BC22" s="542"/>
      <c r="BD22" s="298">
        <f t="shared" si="7"/>
        <v>10</v>
      </c>
      <c r="BE22" s="378" t="s">
        <v>12</v>
      </c>
      <c r="BF22" s="379">
        <v>0.35</v>
      </c>
      <c r="BG22" s="380"/>
      <c r="BH22" s="421">
        <f>-BH20*BF22</f>
        <v>-846245.16666666663</v>
      </c>
      <c r="BI22" s="298">
        <f t="shared" si="13"/>
        <v>10</v>
      </c>
      <c r="BJ22" s="242" t="s">
        <v>519</v>
      </c>
      <c r="BK22" s="732">
        <f>SUM(BK17:BK21)</f>
        <v>11662662.523573667</v>
      </c>
      <c r="BL22" s="732">
        <f>SUM(BL17:BL21)</f>
        <v>0</v>
      </c>
      <c r="BM22" s="732">
        <f>SUM(BM17:BM21)</f>
        <v>0</v>
      </c>
      <c r="CD22" s="255"/>
      <c r="CE22" s="42"/>
      <c r="CF22" s="42"/>
      <c r="CG22" s="42"/>
    </row>
    <row r="23" spans="1:85" ht="15.75" thickBot="1">
      <c r="A23" s="253">
        <f t="shared" si="1"/>
        <v>11</v>
      </c>
      <c r="B23" s="245" t="s">
        <v>11</v>
      </c>
      <c r="C23" s="196">
        <f>+'Power Cost WP'!I27</f>
        <v>662134.87</v>
      </c>
      <c r="D23" s="196">
        <f>+'Power Cost WP'!O27</f>
        <v>662134.87</v>
      </c>
      <c r="E23" s="196">
        <f t="shared" si="8"/>
        <v>0</v>
      </c>
      <c r="F23" s="253">
        <f t="shared" si="0"/>
        <v>11</v>
      </c>
      <c r="G23" s="242" t="s">
        <v>15</v>
      </c>
      <c r="H23" s="346"/>
      <c r="I23" s="344"/>
      <c r="J23" s="733">
        <f>J22-J21</f>
        <v>94051.271335334284</v>
      </c>
      <c r="K23" s="253">
        <f t="shared" si="2"/>
        <v>11</v>
      </c>
      <c r="L23" s="129" t="s">
        <v>134</v>
      </c>
      <c r="M23" s="198">
        <f>'[46]Lead E'!$D$26</f>
        <v>188181.00000000003</v>
      </c>
      <c r="N23" s="199">
        <v>0</v>
      </c>
      <c r="O23" s="199">
        <f>N23-M23</f>
        <v>-188181.00000000003</v>
      </c>
      <c r="P23" s="242"/>
      <c r="Q23" s="13"/>
      <c r="R23" s="209"/>
      <c r="S23" s="226"/>
      <c r="T23" s="226"/>
      <c r="U23" s="253">
        <f t="shared" si="4"/>
        <v>11</v>
      </c>
      <c r="V23" s="252" t="s">
        <v>1071</v>
      </c>
      <c r="W23" s="208">
        <f>W21/6</f>
        <v>659086.73844332155</v>
      </c>
      <c r="X23" s="208">
        <f>X21/6</f>
        <v>18109963.236556675</v>
      </c>
      <c r="Y23" s="200">
        <f>+Y21/6</f>
        <v>18769049.974999998</v>
      </c>
      <c r="Z23" s="253">
        <f t="shared" si="10"/>
        <v>11</v>
      </c>
      <c r="AA23" s="196" t="str">
        <f>'[13]Lead E'!B23</f>
        <v>CARRYING CHARGES ON LSR PP TRANSM $99.8M (FERC 407.3)</v>
      </c>
      <c r="AB23" s="196">
        <f>'[13]Lead E'!C23</f>
        <v>9472052.8500000015</v>
      </c>
      <c r="AC23" s="196">
        <f>'[13]Lead E'!D23</f>
        <v>8466701.2744743638</v>
      </c>
      <c r="AD23" s="196">
        <f t="shared" si="16"/>
        <v>-1005351.5755256377</v>
      </c>
      <c r="AE23" s="138">
        <f t="shared" si="5"/>
        <v>11</v>
      </c>
      <c r="AF23" s="158" t="s">
        <v>732</v>
      </c>
      <c r="AG23" s="196">
        <f>'[41]Lead E'!$C$24</f>
        <v>-7633.7978685983253</v>
      </c>
      <c r="AH23" s="196">
        <f>'[41]Lead E'!$D$24</f>
        <v>0</v>
      </c>
      <c r="AI23" s="196">
        <f>AH23-AG23</f>
        <v>7633.7978685983253</v>
      </c>
      <c r="AJ23" s="360">
        <f t="shared" si="11"/>
        <v>11</v>
      </c>
      <c r="AK23" s="375"/>
      <c r="AL23" s="377"/>
      <c r="AM23" s="377"/>
      <c r="AN23" s="377"/>
      <c r="AO23" s="360">
        <f t="shared" si="12"/>
        <v>11</v>
      </c>
      <c r="AP23" s="224" t="s">
        <v>200</v>
      </c>
      <c r="AQ23" s="724">
        <f>+'[42]Lead E'!C22</f>
        <v>-3364.9770921440963</v>
      </c>
      <c r="AR23" s="724">
        <f>+'[42]Lead E'!D22</f>
        <v>-1607188.8953450497</v>
      </c>
      <c r="AS23" s="724">
        <f t="shared" si="21"/>
        <v>-1603823.9182529056</v>
      </c>
      <c r="AT23" s="213"/>
      <c r="AU23" s="213"/>
      <c r="AV23" s="213"/>
      <c r="AW23" s="213"/>
      <c r="AX23" s="213"/>
      <c r="AY23" s="209">
        <f t="shared" si="15"/>
        <v>11</v>
      </c>
      <c r="AZ23" s="434" t="s">
        <v>711</v>
      </c>
      <c r="BA23" s="545">
        <f>'[43]Lead E'!C20</f>
        <v>1494701.7220710218</v>
      </c>
      <c r="BB23" s="734">
        <f>'[49]WHITE RIVER SUMMARY'!$D$22</f>
        <v>1494701.7220710218</v>
      </c>
      <c r="BC23" s="734">
        <f>BB23-BA23</f>
        <v>0</v>
      </c>
      <c r="BD23" s="298">
        <f t="shared" si="7"/>
        <v>11</v>
      </c>
      <c r="BE23" s="378" t="s">
        <v>109</v>
      </c>
      <c r="BF23" s="380"/>
      <c r="BG23" s="380"/>
      <c r="BH23" s="422">
        <f>-BH20-BH22</f>
        <v>-1571598.166666667</v>
      </c>
      <c r="BI23" s="298">
        <f t="shared" si="13"/>
        <v>11</v>
      </c>
      <c r="BJ23" s="242"/>
      <c r="BK23" s="221"/>
      <c r="BL23" s="221"/>
      <c r="BM23" s="221"/>
      <c r="CD23" s="255"/>
      <c r="CE23" s="42"/>
      <c r="CF23" s="42"/>
      <c r="CG23" s="42"/>
    </row>
    <row r="24" spans="1:85" ht="15.75" thickTop="1">
      <c r="A24" s="253">
        <f t="shared" si="1"/>
        <v>12</v>
      </c>
      <c r="B24" s="245" t="s">
        <v>829</v>
      </c>
      <c r="C24" s="196">
        <f>+'Power Cost WP'!I28</f>
        <v>-8228548.5899999999</v>
      </c>
      <c r="D24" s="196">
        <f>+'Power Cost WP'!O28</f>
        <v>-9944078.2818932347</v>
      </c>
      <c r="E24" s="196">
        <f t="shared" si="8"/>
        <v>-1715529.6918932348</v>
      </c>
      <c r="F24" s="253">
        <f t="shared" si="0"/>
        <v>12</v>
      </c>
      <c r="G24" s="388"/>
      <c r="H24" s="341"/>
      <c r="I24" s="341" t="s">
        <v>253</v>
      </c>
      <c r="J24" s="341" t="s">
        <v>253</v>
      </c>
      <c r="K24" s="253">
        <f t="shared" si="2"/>
        <v>12</v>
      </c>
      <c r="L24" s="201" t="s">
        <v>702</v>
      </c>
      <c r="M24" s="28">
        <f>'[46]Lead E'!$D$27</f>
        <v>23957.378654596687</v>
      </c>
      <c r="N24" s="28"/>
      <c r="O24" s="28">
        <f>N24-M24</f>
        <v>-23957.378654596687</v>
      </c>
      <c r="P24" s="253"/>
      <c r="Q24" s="13"/>
      <c r="R24" s="226"/>
      <c r="S24" s="226"/>
      <c r="T24" s="226"/>
      <c r="U24" s="253">
        <f t="shared" si="4"/>
        <v>12</v>
      </c>
      <c r="W24" s="208"/>
      <c r="X24" s="208"/>
      <c r="Y24" s="208"/>
      <c r="Z24" s="253">
        <f t="shared" si="10"/>
        <v>12</v>
      </c>
      <c r="AA24" s="196" t="str">
        <f>'[13]Lead E'!B24</f>
        <v>LOWER SNAKE RIVER PLANT DEFERRAL $18.3M  (FERC 407.3)</v>
      </c>
      <c r="AB24" s="196">
        <f>'[13]Lead E'!C24</f>
        <v>497611.72500000009</v>
      </c>
      <c r="AC24" s="196">
        <f>'[13]Lead E'!D24</f>
        <v>0.16838636322063394</v>
      </c>
      <c r="AD24" s="196">
        <f>+AC24-AB24</f>
        <v>-497611.5566136369</v>
      </c>
      <c r="AE24" s="138">
        <f t="shared" si="5"/>
        <v>12</v>
      </c>
      <c r="AF24" s="178" t="s">
        <v>518</v>
      </c>
      <c r="AG24" s="479">
        <f>SUM(AG22:AG23)</f>
        <v>116202.71057102666</v>
      </c>
      <c r="AH24" s="479">
        <f>SUM(AH22:AH23)</f>
        <v>340033.97615332442</v>
      </c>
      <c r="AI24" s="479">
        <f>SUM(AI22:AI23)</f>
        <v>223831.26558229775</v>
      </c>
      <c r="AJ24" s="360">
        <f t="shared" si="11"/>
        <v>12</v>
      </c>
      <c r="AK24" s="373"/>
      <c r="AL24" s="377"/>
      <c r="AM24" s="377"/>
      <c r="AN24" s="377"/>
      <c r="AO24" s="360">
        <f t="shared" si="12"/>
        <v>12</v>
      </c>
      <c r="AP24" s="224" t="s">
        <v>759</v>
      </c>
      <c r="AQ24" s="724">
        <f>+'[42]Lead E'!C23</f>
        <v>-109553.08143874648</v>
      </c>
      <c r="AR24" s="724">
        <f>+'[42]Lead E'!D23</f>
        <v>0</v>
      </c>
      <c r="AS24" s="724">
        <f t="shared" si="21"/>
        <v>109553.08143874648</v>
      </c>
      <c r="AT24" s="213"/>
      <c r="AU24" s="213"/>
      <c r="AV24" s="213"/>
      <c r="AW24" s="213"/>
      <c r="AX24" s="213"/>
      <c r="AY24" s="209">
        <f t="shared" si="15"/>
        <v>12</v>
      </c>
      <c r="AZ24" s="435" t="s">
        <v>712</v>
      </c>
      <c r="BA24" s="479">
        <f>SUM(BA23)</f>
        <v>1494701.7220710218</v>
      </c>
      <c r="BB24" s="697">
        <f t="shared" ref="BB24:BC24" si="22">SUM(BB23)</f>
        <v>1494701.7220710218</v>
      </c>
      <c r="BC24" s="697">
        <f t="shared" si="22"/>
        <v>0</v>
      </c>
      <c r="BD24" s="298">
        <f t="shared" si="7"/>
        <v>12</v>
      </c>
      <c r="BE24" s="239"/>
      <c r="BF24" s="333"/>
      <c r="BG24" s="333"/>
      <c r="BH24" s="333"/>
      <c r="BI24" s="298">
        <f t="shared" si="13"/>
        <v>12</v>
      </c>
      <c r="BJ24" s="301" t="s">
        <v>210</v>
      </c>
      <c r="BK24" s="388"/>
      <c r="BL24" s="388"/>
      <c r="BM24" s="388"/>
      <c r="BN24" s="218"/>
      <c r="CD24" s="255"/>
      <c r="CE24" s="42"/>
      <c r="CF24" s="42"/>
      <c r="CG24" s="42"/>
    </row>
    <row r="25" spans="1:85" ht="15">
      <c r="A25" s="253">
        <f t="shared" si="1"/>
        <v>13</v>
      </c>
      <c r="B25" s="245" t="s">
        <v>346</v>
      </c>
      <c r="C25" s="196"/>
      <c r="D25" s="196">
        <f>+'Power Cost WP'!O29</f>
        <v>4779758.3617310878</v>
      </c>
      <c r="E25" s="196">
        <f t="shared" si="8"/>
        <v>4779758.3617310878</v>
      </c>
      <c r="F25" s="253">
        <f t="shared" si="0"/>
        <v>13</v>
      </c>
      <c r="G25" s="242" t="s">
        <v>19</v>
      </c>
      <c r="H25" s="347">
        <v>0.35</v>
      </c>
      <c r="I25" s="302"/>
      <c r="J25" s="607">
        <f>ROUND(J23*$H$25,0)</f>
        <v>32918</v>
      </c>
      <c r="K25" s="253">
        <f t="shared" si="2"/>
        <v>13</v>
      </c>
      <c r="L25" s="254" t="s">
        <v>260</v>
      </c>
      <c r="M25" s="477">
        <f>SUM(M23:M24)</f>
        <v>212138.37865459672</v>
      </c>
      <c r="N25" s="477">
        <f>SUM(N23:N24)</f>
        <v>0</v>
      </c>
      <c r="O25" s="477">
        <f>SUM(O23:O24)</f>
        <v>-212138.37865459672</v>
      </c>
      <c r="P25" s="253"/>
      <c r="Q25" s="13"/>
      <c r="R25" s="226"/>
      <c r="S25" s="66"/>
      <c r="T25" s="226"/>
      <c r="U25" s="253">
        <f t="shared" si="4"/>
        <v>13</v>
      </c>
      <c r="V25" s="242" t="s">
        <v>1072</v>
      </c>
      <c r="W25" s="208"/>
      <c r="X25" s="208"/>
      <c r="Y25" s="208"/>
      <c r="Z25" s="253">
        <f t="shared" si="10"/>
        <v>13</v>
      </c>
      <c r="AA25" s="196" t="str">
        <f>'[13]Lead E'!B25</f>
        <v>BAKER LICENSE UPGRADE DEFERRAL (2013 PCORC) (FERC 407.3)</v>
      </c>
      <c r="AB25" s="196">
        <f>'[13]Lead E'!C25</f>
        <v>1130665.8299999996</v>
      </c>
      <c r="AC25" s="196">
        <f>'[13]Lead E'!D25</f>
        <v>151971.71732166281</v>
      </c>
      <c r="AD25" s="196">
        <f>+AC25-AB25</f>
        <v>-978694.11267833679</v>
      </c>
      <c r="AE25" s="138">
        <f t="shared" si="5"/>
        <v>13</v>
      </c>
      <c r="AF25" s="178"/>
      <c r="AG25" s="196"/>
      <c r="AH25" s="196"/>
      <c r="AI25" s="196"/>
      <c r="AJ25" s="360">
        <f t="shared" si="11"/>
        <v>13</v>
      </c>
      <c r="AK25" s="370"/>
      <c r="AL25" s="377"/>
      <c r="AM25" s="377"/>
      <c r="AN25" s="377"/>
      <c r="AO25" s="360">
        <f t="shared" si="12"/>
        <v>13</v>
      </c>
      <c r="AP25" s="255" t="s">
        <v>739</v>
      </c>
      <c r="AQ25" s="724">
        <f>+'[42]Lead E'!C24</f>
        <v>-150563.60204358294</v>
      </c>
      <c r="AR25" s="724">
        <f>+'[42]Lead E'!D24</f>
        <v>-4537903.8039487666</v>
      </c>
      <c r="AS25" s="724">
        <f t="shared" si="21"/>
        <v>-4387340.2019051835</v>
      </c>
      <c r="AT25" s="213"/>
      <c r="AU25" s="213"/>
      <c r="AV25" s="213"/>
      <c r="AW25" s="213"/>
      <c r="AX25" s="213"/>
      <c r="AY25" s="209">
        <f t="shared" si="15"/>
        <v>13</v>
      </c>
      <c r="AZ25" s="435"/>
      <c r="BA25" s="542"/>
      <c r="BB25" s="542"/>
      <c r="BC25" s="542"/>
      <c r="BD25" s="298"/>
      <c r="BE25" s="213"/>
      <c r="BF25" s="213"/>
      <c r="BG25" s="213"/>
      <c r="BH25" s="213"/>
      <c r="BI25" s="298">
        <f t="shared" si="13"/>
        <v>13</v>
      </c>
      <c r="BJ25" s="255" t="s">
        <v>332</v>
      </c>
      <c r="BK25" s="331">
        <f>+'For Prod Adj Expense'!F45</f>
        <v>149765347.19094247</v>
      </c>
      <c r="BL25" s="196">
        <f>-BK25*$BL$13</f>
        <v>0</v>
      </c>
      <c r="BM25" s="196">
        <f>+'For Prod Adj Expense'!G60</f>
        <v>0</v>
      </c>
      <c r="BN25" s="252"/>
      <c r="CD25" s="255"/>
      <c r="CE25" s="255"/>
      <c r="CF25" s="255"/>
      <c r="CG25" s="42"/>
    </row>
    <row r="26" spans="1:85" ht="15.75" thickBot="1">
      <c r="A26" s="253">
        <f t="shared" si="1"/>
        <v>14</v>
      </c>
      <c r="B26" s="245" t="s">
        <v>21</v>
      </c>
      <c r="C26" s="221">
        <f>SUM(C14:C25)</f>
        <v>816378498.62</v>
      </c>
      <c r="D26" s="732">
        <f>SUM(D14:D25)</f>
        <v>820664929.08656335</v>
      </c>
      <c r="E26" s="732">
        <f>SUM(E14:E25)</f>
        <v>4286430.4665634166</v>
      </c>
      <c r="F26" s="253">
        <f t="shared" si="0"/>
        <v>14</v>
      </c>
      <c r="G26" s="242" t="s">
        <v>109</v>
      </c>
      <c r="H26" s="347"/>
      <c r="I26" s="183"/>
      <c r="J26" s="735">
        <f>J23-J25</f>
        <v>61133.271335334284</v>
      </c>
      <c r="K26" s="253">
        <f t="shared" si="2"/>
        <v>14</v>
      </c>
      <c r="L26" s="254"/>
      <c r="M26" s="200"/>
      <c r="N26" s="200"/>
      <c r="O26" s="200"/>
      <c r="P26" s="253"/>
      <c r="Q26" s="13"/>
      <c r="R26" s="226"/>
      <c r="S26" s="226"/>
      <c r="T26" s="226"/>
      <c r="U26" s="253">
        <f t="shared" si="4"/>
        <v>14</v>
      </c>
      <c r="V26" s="112" t="s">
        <v>1073</v>
      </c>
      <c r="W26" s="202">
        <f>'[47]Storm Damage Summary'!C28</f>
        <v>506068.88000000006</v>
      </c>
      <c r="X26" s="202">
        <f>'[47]Storm Damage Summary'!D28</f>
        <v>10553488.410000002</v>
      </c>
      <c r="Y26" s="202">
        <f>W26+X26</f>
        <v>11059557.290000003</v>
      </c>
      <c r="Z26" s="253">
        <f t="shared" si="10"/>
        <v>14</v>
      </c>
      <c r="AA26" s="196" t="str">
        <f>'[13]Lead E'!B26</f>
        <v>SNOQUALMIE LICENSE UPGRADE DEFERRAL (2013 PCORC) (FERC 407.3)</v>
      </c>
      <c r="AB26" s="196">
        <f>'[13]Lead E'!C26</f>
        <v>4439919.72</v>
      </c>
      <c r="AC26" s="196">
        <f>'[13]Lead E'!D26</f>
        <v>596763.95810137875</v>
      </c>
      <c r="AD26" s="196">
        <f t="shared" si="16"/>
        <v>-3843155.761898621</v>
      </c>
      <c r="AE26" s="138">
        <f t="shared" si="5"/>
        <v>14</v>
      </c>
      <c r="AF26" s="178" t="s">
        <v>260</v>
      </c>
      <c r="AG26" s="196"/>
      <c r="AH26" s="196"/>
      <c r="AI26" s="200">
        <f>AI24</f>
        <v>223831.26558229775</v>
      </c>
      <c r="AJ26" s="360">
        <f t="shared" si="11"/>
        <v>14</v>
      </c>
      <c r="AK26" s="375" t="s">
        <v>21</v>
      </c>
      <c r="AL26" s="377">
        <f>+AL22</f>
        <v>0</v>
      </c>
      <c r="AM26" s="377">
        <f>+AM22</f>
        <v>0</v>
      </c>
      <c r="AN26" s="377">
        <f>+AN22</f>
        <v>0</v>
      </c>
      <c r="AO26" s="360">
        <f t="shared" si="12"/>
        <v>14</v>
      </c>
      <c r="AP26" s="224" t="s">
        <v>760</v>
      </c>
      <c r="AQ26" s="724">
        <f>+'[42]Lead E'!C25</f>
        <v>38343.578503561264</v>
      </c>
      <c r="AR26" s="724">
        <f>+'[42]Lead E'!D25</f>
        <v>0</v>
      </c>
      <c r="AS26" s="724">
        <f t="shared" si="21"/>
        <v>-38343.578503561264</v>
      </c>
      <c r="AT26" s="213"/>
      <c r="AU26" s="213"/>
      <c r="AV26" s="213"/>
      <c r="AW26" s="213"/>
      <c r="AX26" s="213"/>
      <c r="AY26" s="209">
        <f t="shared" si="15"/>
        <v>14</v>
      </c>
      <c r="AZ26" s="436" t="s">
        <v>713</v>
      </c>
      <c r="BA26" s="542"/>
      <c r="BB26" s="542"/>
      <c r="BC26" s="726">
        <f>BC24</f>
        <v>0</v>
      </c>
      <c r="BD26" s="213"/>
      <c r="BE26" s="213"/>
      <c r="BF26" s="213"/>
      <c r="BG26" s="213"/>
      <c r="BH26" s="213"/>
      <c r="BI26" s="298">
        <f t="shared" si="13"/>
        <v>14</v>
      </c>
      <c r="BJ26" s="255" t="s">
        <v>763</v>
      </c>
      <c r="BK26" s="331">
        <f>BG19</f>
        <v>-861936.66666666663</v>
      </c>
      <c r="BL26" s="196">
        <f>-BK26*$BL$13</f>
        <v>0</v>
      </c>
      <c r="BM26" s="196">
        <f>ROUND(+BL26*-$BM$11,0)</f>
        <v>0</v>
      </c>
      <c r="BN26" s="252"/>
      <c r="CD26" s="255"/>
      <c r="CE26" s="255"/>
      <c r="CF26" s="255"/>
      <c r="CG26" s="42"/>
    </row>
    <row r="27" spans="1:85" ht="16.5" thickTop="1" thickBot="1">
      <c r="A27" s="253">
        <f t="shared" si="1"/>
        <v>15</v>
      </c>
      <c r="F27" s="253"/>
      <c r="K27" s="253">
        <f t="shared" si="2"/>
        <v>15</v>
      </c>
      <c r="L27" s="242" t="s">
        <v>12</v>
      </c>
      <c r="M27" s="226"/>
      <c r="N27" s="100">
        <v>0.35</v>
      </c>
      <c r="O27" s="191">
        <f>ROUND(-O25*$N$27,0)</f>
        <v>74248</v>
      </c>
      <c r="P27" s="253"/>
      <c r="R27" s="226"/>
      <c r="S27" s="200"/>
      <c r="T27" s="200"/>
      <c r="U27" s="253">
        <f t="shared" si="4"/>
        <v>15</v>
      </c>
      <c r="W27" s="208"/>
      <c r="X27" s="208"/>
      <c r="Y27" s="208"/>
      <c r="Z27" s="253">
        <f t="shared" si="10"/>
        <v>15</v>
      </c>
      <c r="AA27" s="196" t="str">
        <f>'[13]Lead E'!B27</f>
        <v>FERNDALE DEFERRAL (2013 PCORC) (FERC 407.3)</v>
      </c>
      <c r="AB27" s="196">
        <f>'[13]Lead E'!C27</f>
        <v>10528816.84</v>
      </c>
      <c r="AC27" s="196">
        <f>'[13]Lead E'!D27</f>
        <v>3917699.507429909</v>
      </c>
      <c r="AD27" s="196">
        <f t="shared" si="16"/>
        <v>-6611117.3325700909</v>
      </c>
      <c r="AE27" s="138">
        <f t="shared" si="5"/>
        <v>15</v>
      </c>
      <c r="AF27" s="178"/>
      <c r="AG27" s="196"/>
      <c r="AH27" s="196"/>
      <c r="AI27" s="200"/>
      <c r="AJ27" s="360">
        <f t="shared" si="11"/>
        <v>15</v>
      </c>
      <c r="AK27" s="369"/>
      <c r="AL27" s="377"/>
      <c r="AM27" s="377"/>
      <c r="AN27" s="377"/>
      <c r="AO27" s="360">
        <f t="shared" si="12"/>
        <v>15</v>
      </c>
      <c r="AP27" s="224" t="s">
        <v>622</v>
      </c>
      <c r="AQ27" s="486">
        <f>SUM(AQ22:AQ26)</f>
        <v>2908934.4279290871</v>
      </c>
      <c r="AR27" s="486">
        <f t="shared" ref="AR27:AS27" si="23">SUM(AR22:AR26)</f>
        <v>18927487.380706169</v>
      </c>
      <c r="AS27" s="486">
        <f t="shared" si="23"/>
        <v>16018552.952777086</v>
      </c>
      <c r="AT27" s="213"/>
      <c r="AU27" s="213"/>
      <c r="AV27" s="213"/>
      <c r="AW27" s="213"/>
      <c r="AX27" s="213"/>
      <c r="AY27" s="209">
        <f t="shared" si="15"/>
        <v>15</v>
      </c>
      <c r="AZ27" s="435"/>
      <c r="BA27" s="542"/>
      <c r="BB27" s="542"/>
      <c r="BC27" s="542"/>
      <c r="BD27" s="213"/>
      <c r="BE27" s="213"/>
      <c r="BF27" s="213"/>
      <c r="BG27" s="213"/>
      <c r="BH27" s="213"/>
      <c r="BI27" s="298">
        <f t="shared" si="13"/>
        <v>15</v>
      </c>
      <c r="BJ27" s="255" t="s">
        <v>156</v>
      </c>
      <c r="BK27" s="196">
        <f>+'For Prod Adj Expense'!F55</f>
        <v>11818341.976000002</v>
      </c>
      <c r="BL27" s="196">
        <f>-BK27*$BL$13</f>
        <v>0</v>
      </c>
      <c r="BM27" s="196">
        <f>+'For Prod Adj Expense'!G61</f>
        <v>0</v>
      </c>
      <c r="BN27" s="252"/>
      <c r="CD27" s="255"/>
      <c r="CE27" s="255"/>
      <c r="CF27" s="255"/>
      <c r="CG27" s="42"/>
    </row>
    <row r="28" spans="1:85" ht="16.5" thickTop="1" thickBot="1">
      <c r="A28" s="253">
        <f t="shared" si="1"/>
        <v>16</v>
      </c>
      <c r="B28" s="245" t="s">
        <v>631</v>
      </c>
      <c r="C28" s="322">
        <f>-C26</f>
        <v>-816378498.62</v>
      </c>
      <c r="D28" s="736">
        <f>-D26</f>
        <v>-820664929.08656335</v>
      </c>
      <c r="E28" s="736">
        <f>-E26</f>
        <v>-4286430.4665634166</v>
      </c>
      <c r="F28" s="73"/>
      <c r="G28" s="640" t="s">
        <v>852</v>
      </c>
      <c r="I28" s="208"/>
      <c r="K28" s="253">
        <f t="shared" si="2"/>
        <v>16</v>
      </c>
      <c r="L28" s="242" t="s">
        <v>109</v>
      </c>
      <c r="M28" s="227"/>
      <c r="N28" s="227"/>
      <c r="O28" s="222">
        <f>-O25-O27</f>
        <v>137890.37865459672</v>
      </c>
      <c r="P28" s="253"/>
      <c r="Q28" s="13"/>
      <c r="R28" s="226"/>
      <c r="S28" s="226"/>
      <c r="T28" s="226"/>
      <c r="U28" s="253">
        <f t="shared" si="4"/>
        <v>16</v>
      </c>
      <c r="V28" s="37" t="s">
        <v>1074</v>
      </c>
      <c r="W28" s="208">
        <f>W23-W26</f>
        <v>153017.85844332149</v>
      </c>
      <c r="X28" s="208">
        <f>X23-X26</f>
        <v>7556474.8265566733</v>
      </c>
      <c r="Y28" s="200">
        <f>Y23-Y26</f>
        <v>7709492.6849999949</v>
      </c>
      <c r="Z28" s="253">
        <f t="shared" si="10"/>
        <v>16</v>
      </c>
      <c r="AA28" s="196" t="str">
        <f>'[13]Lead E'!B28</f>
        <v>BAKER TREASURY GRANT DEFERRAL (2014 PCORC) (FERC 407.4)</v>
      </c>
      <c r="AB28" s="196">
        <f>'[13]Lead E'!C28</f>
        <v>-806046.15000000014</v>
      </c>
      <c r="AC28" s="196">
        <f>'[13]Lead E'!D28</f>
        <v>-108339.16201768839</v>
      </c>
      <c r="AD28" s="196">
        <f t="shared" si="16"/>
        <v>697706.98798231175</v>
      </c>
      <c r="AE28" s="138">
        <f t="shared" si="5"/>
        <v>16</v>
      </c>
      <c r="AF28" s="178" t="s">
        <v>12</v>
      </c>
      <c r="AG28" s="196"/>
      <c r="AH28" s="157">
        <v>0.35</v>
      </c>
      <c r="AI28" s="328">
        <f>-AI26*AH28</f>
        <v>-78340.942953804202</v>
      </c>
      <c r="AJ28" s="360">
        <f t="shared" si="11"/>
        <v>16</v>
      </c>
      <c r="AK28" s="378" t="s">
        <v>12</v>
      </c>
      <c r="AL28" s="379">
        <v>0.35</v>
      </c>
      <c r="AM28" s="380"/>
      <c r="AN28" s="421">
        <f>-AN26*AL28</f>
        <v>0</v>
      </c>
      <c r="AO28" s="360">
        <f t="shared" si="12"/>
        <v>16</v>
      </c>
      <c r="AP28" s="737"/>
      <c r="AQ28" s="715"/>
      <c r="AR28" s="709"/>
      <c r="AS28" s="715"/>
      <c r="AT28" s="213"/>
      <c r="AU28" s="213"/>
      <c r="AV28" s="213"/>
      <c r="AW28" s="213"/>
      <c r="AX28" s="213"/>
      <c r="AY28" s="209">
        <f t="shared" si="15"/>
        <v>16</v>
      </c>
      <c r="AZ28" s="437" t="s">
        <v>714</v>
      </c>
      <c r="BA28" s="542"/>
      <c r="BB28" s="100">
        <v>0.35</v>
      </c>
      <c r="BC28" s="726">
        <f>-BC26*BB28</f>
        <v>0</v>
      </c>
      <c r="BD28" s="213"/>
      <c r="BE28" s="213"/>
      <c r="BF28" s="213"/>
      <c r="BG28" s="213"/>
      <c r="BH28" s="213"/>
      <c r="BI28" s="298">
        <f t="shared" si="13"/>
        <v>16</v>
      </c>
      <c r="BJ28" s="242" t="s">
        <v>348</v>
      </c>
      <c r="BK28" s="324">
        <f>SUM(BK25:BK27)</f>
        <v>160721752.50027582</v>
      </c>
      <c r="BL28" s="324">
        <f>SUM(BL25:BL27)</f>
        <v>0</v>
      </c>
      <c r="BM28" s="324">
        <f>SUM(BM25:BM27)</f>
        <v>0</v>
      </c>
      <c r="BN28" s="252"/>
      <c r="CD28" s="199"/>
      <c r="CE28" s="199"/>
      <c r="CF28" s="199"/>
      <c r="CG28" s="199"/>
    </row>
    <row r="29" spans="1:85" ht="16.5" thickTop="1" thickBot="1">
      <c r="A29" s="253">
        <f t="shared" si="1"/>
        <v>17</v>
      </c>
      <c r="F29" s="73"/>
      <c r="G29" s="253"/>
      <c r="H29" s="253"/>
      <c r="I29" s="240"/>
      <c r="L29" s="213"/>
      <c r="M29" s="213"/>
      <c r="N29" s="213"/>
      <c r="O29" s="213"/>
      <c r="P29" s="253"/>
      <c r="Q29" s="13"/>
      <c r="R29" s="226"/>
      <c r="S29" s="226"/>
      <c r="T29" s="226"/>
      <c r="U29" s="253">
        <f t="shared" si="4"/>
        <v>17</v>
      </c>
      <c r="W29" s="208"/>
      <c r="X29" s="208"/>
      <c r="Y29" s="208"/>
      <c r="Z29" s="253">
        <f t="shared" si="10"/>
        <v>17</v>
      </c>
      <c r="AA29" s="196" t="str">
        <f>'[13]Lead E'!B29</f>
        <v>SNOQUALMIE TREASURY GRANT DEFERRAL (2014 PCORC) (FERC 407.4)</v>
      </c>
      <c r="AB29" s="196">
        <f>'[13]Lead E'!C29</f>
        <v>-2784431.6500000004</v>
      </c>
      <c r="AC29" s="196">
        <f>'[13]Lead E'!D29</f>
        <v>-374251.50670083519</v>
      </c>
      <c r="AD29" s="196">
        <f t="shared" si="16"/>
        <v>2410180.1432991652</v>
      </c>
      <c r="AE29" s="138">
        <f t="shared" si="5"/>
        <v>17</v>
      </c>
      <c r="AF29" s="331" t="s">
        <v>109</v>
      </c>
      <c r="AI29" s="219">
        <f>-AI26-AI28</f>
        <v>-145490.32262849354</v>
      </c>
      <c r="AJ29" s="360">
        <f t="shared" si="11"/>
        <v>17</v>
      </c>
      <c r="AK29" s="378" t="s">
        <v>109</v>
      </c>
      <c r="AL29" s="380"/>
      <c r="AM29" s="380"/>
      <c r="AN29" s="422">
        <f>-AN26-AN28</f>
        <v>0</v>
      </c>
      <c r="AO29" s="360">
        <f t="shared" si="12"/>
        <v>17</v>
      </c>
      <c r="AP29" s="442" t="s">
        <v>741</v>
      </c>
      <c r="AQ29" s="441"/>
      <c r="AR29" s="441"/>
      <c r="AS29" s="441"/>
      <c r="AT29" s="213"/>
      <c r="AU29" s="213"/>
      <c r="AV29" s="213"/>
      <c r="AW29" s="213"/>
      <c r="AX29" s="213"/>
      <c r="AY29" s="209">
        <f t="shared" si="15"/>
        <v>17</v>
      </c>
      <c r="AZ29" s="437" t="s">
        <v>715</v>
      </c>
      <c r="BA29" s="544"/>
      <c r="BB29" s="544"/>
      <c r="BC29" s="738">
        <f>-BC26-BC28</f>
        <v>0</v>
      </c>
      <c r="BD29" s="213"/>
      <c r="BE29" s="213"/>
      <c r="BF29" s="213"/>
      <c r="BG29" s="213"/>
      <c r="BH29" s="213"/>
      <c r="BI29" s="298">
        <f t="shared" si="13"/>
        <v>17</v>
      </c>
      <c r="BJ29" s="388"/>
      <c r="BK29" s="221"/>
      <c r="BL29" s="221"/>
      <c r="BM29" s="221"/>
      <c r="BN29" s="213"/>
      <c r="CD29" s="252"/>
      <c r="CE29" s="252"/>
      <c r="CF29" s="252"/>
      <c r="CG29" s="252"/>
    </row>
    <row r="30" spans="1:85" ht="13.5" thickTop="1">
      <c r="A30" s="253">
        <f t="shared" si="1"/>
        <v>18</v>
      </c>
      <c r="B30" s="245" t="s">
        <v>721</v>
      </c>
      <c r="C30" s="85">
        <f>'EXHIBIT MCC-3'!O15</f>
        <v>3.8733999999999998E-2</v>
      </c>
      <c r="D30" s="209"/>
      <c r="E30" s="196">
        <f>E24*C30</f>
        <v>-66449.327085792553</v>
      </c>
      <c r="F30" s="73"/>
      <c r="G30" s="253"/>
      <c r="H30" s="253"/>
      <c r="L30" s="213"/>
      <c r="M30" s="213"/>
      <c r="N30" s="213"/>
      <c r="O30" s="213"/>
      <c r="R30" s="208"/>
      <c r="S30" s="208"/>
      <c r="T30" s="208"/>
      <c r="U30" s="253">
        <f t="shared" si="4"/>
        <v>18</v>
      </c>
      <c r="V30" s="176" t="s">
        <v>1061</v>
      </c>
      <c r="W30" s="260"/>
      <c r="X30" s="260"/>
      <c r="Y30" s="8" t="str">
        <f>Y1</f>
        <v>Exh. MCC-2</v>
      </c>
      <c r="Z30" s="253">
        <f t="shared" si="10"/>
        <v>18</v>
      </c>
      <c r="AA30" s="196" t="str">
        <f>'[13]Lead E'!B30</f>
        <v>ELECTRON UNRECOVERED COST (2014 PCORC) (FERC 407.3)</v>
      </c>
      <c r="AB30" s="196">
        <f>'[13]Lead E'!C30</f>
        <v>6319201.1350000016</v>
      </c>
      <c r="AC30" s="196">
        <f>'[13]Lead E'!D30</f>
        <v>1128003.9151666719</v>
      </c>
      <c r="AD30" s="196">
        <f t="shared" si="16"/>
        <v>-5191197.2198333293</v>
      </c>
      <c r="AE30" s="138"/>
      <c r="AF30" s="254"/>
      <c r="AH30" s="157"/>
      <c r="AI30" s="196"/>
      <c r="AJ30" s="360"/>
      <c r="AO30" s="360">
        <f t="shared" si="12"/>
        <v>18</v>
      </c>
      <c r="AP30" s="224" t="s">
        <v>743</v>
      </c>
      <c r="AQ30" s="722">
        <f>+'[42]Lead E'!C29</f>
        <v>340770.04506125004</v>
      </c>
      <c r="AR30" s="722">
        <f>+'[42]Lead E'!D29</f>
        <v>0</v>
      </c>
      <c r="AS30" s="722">
        <f t="shared" ref="AS30:AS33" si="24">AR30-AQ30</f>
        <v>-340770.04506125004</v>
      </c>
      <c r="AT30" s="213"/>
      <c r="AU30" s="213"/>
      <c r="AV30" s="213"/>
      <c r="AW30" s="213"/>
      <c r="AX30" s="213"/>
      <c r="AY30" s="209"/>
      <c r="AZ30" s="213"/>
      <c r="BA30" s="213"/>
      <c r="BB30" s="213"/>
      <c r="BC30" s="213"/>
      <c r="BD30" s="213"/>
      <c r="BE30" s="213"/>
      <c r="BF30" s="213"/>
      <c r="BG30" s="213"/>
      <c r="BH30" s="213"/>
      <c r="BI30" s="298">
        <f t="shared" si="13"/>
        <v>18</v>
      </c>
      <c r="BJ30" s="301" t="s">
        <v>505</v>
      </c>
      <c r="BN30" s="213"/>
      <c r="CD30" s="252"/>
      <c r="CE30" s="252"/>
      <c r="CF30" s="252"/>
      <c r="CG30" s="252"/>
    </row>
    <row r="31" spans="1:85" ht="14.25" thickBot="1">
      <c r="A31" s="253">
        <f t="shared" si="1"/>
        <v>19</v>
      </c>
      <c r="B31" s="245" t="s">
        <v>15</v>
      </c>
      <c r="D31" s="209"/>
      <c r="E31" s="644">
        <f>+E28+E30</f>
        <v>-4352879.7936492097</v>
      </c>
      <c r="L31" s="213"/>
      <c r="M31" s="213"/>
      <c r="N31" s="213"/>
      <c r="O31" s="213"/>
      <c r="R31" s="208"/>
      <c r="S31" s="208"/>
      <c r="T31" s="208"/>
      <c r="U31" s="253">
        <f t="shared" ref="U31:U68" si="25">U30+1</f>
        <v>19</v>
      </c>
      <c r="V31" s="52"/>
      <c r="W31" s="260"/>
      <c r="X31" s="260"/>
      <c r="Y31" s="8" t="s">
        <v>1182</v>
      </c>
      <c r="Z31" s="253">
        <f t="shared" si="10"/>
        <v>19</v>
      </c>
      <c r="AA31" s="245"/>
      <c r="AB31" s="196"/>
      <c r="AC31" s="196"/>
      <c r="AD31" s="196"/>
      <c r="AE31" s="138"/>
      <c r="AF31" s="242"/>
      <c r="AH31" s="157"/>
      <c r="AI31" s="196"/>
      <c r="AJ31" s="360"/>
      <c r="AO31" s="360">
        <f t="shared" si="12"/>
        <v>19</v>
      </c>
      <c r="AP31" s="224" t="s">
        <v>761</v>
      </c>
      <c r="AQ31" s="724">
        <f>+'[42]Lead E'!C30</f>
        <v>1540889.1632591307</v>
      </c>
      <c r="AR31" s="724">
        <f>+'[42]Lead E'!D30</f>
        <v>0</v>
      </c>
      <c r="AS31" s="724">
        <f t="shared" si="24"/>
        <v>-1540889.1632591307</v>
      </c>
      <c r="AT31" s="213"/>
      <c r="AU31" s="213"/>
      <c r="AV31" s="213"/>
      <c r="AW31" s="213"/>
      <c r="AX31" s="213"/>
      <c r="AY31" s="209"/>
      <c r="AZ31" s="640" t="s">
        <v>852</v>
      </c>
      <c r="BA31" s="213"/>
      <c r="BB31" s="213"/>
      <c r="BC31" s="213"/>
      <c r="BD31" s="213"/>
      <c r="BE31" s="213"/>
      <c r="BF31" s="213"/>
      <c r="BG31" s="213"/>
      <c r="BH31" s="213"/>
      <c r="BI31" s="298">
        <f t="shared" si="13"/>
        <v>19</v>
      </c>
      <c r="BJ31" s="388" t="s">
        <v>523</v>
      </c>
      <c r="BK31" s="645">
        <f>+J21</f>
        <v>1446741.7986646658</v>
      </c>
      <c r="BL31" s="644">
        <f>-BK31*$BL$14</f>
        <v>-52548.472365063768</v>
      </c>
      <c r="BM31" s="643">
        <f>ROUND(+BL31*-$BM$11,0)</f>
        <v>18392</v>
      </c>
      <c r="BN31" s="213"/>
      <c r="CD31" s="89"/>
      <c r="CE31" s="89"/>
      <c r="CF31" s="89"/>
      <c r="CG31" s="89"/>
    </row>
    <row r="32" spans="1:85" ht="14.25" thickBot="1">
      <c r="A32" s="253">
        <f t="shared" si="1"/>
        <v>20</v>
      </c>
      <c r="B32" s="245" t="s">
        <v>12</v>
      </c>
      <c r="C32" s="157">
        <f>k_FITrate</f>
        <v>0.35</v>
      </c>
      <c r="D32" s="209"/>
      <c r="E32" s="644">
        <f>+C32*E31</f>
        <v>-1523507.9277772233</v>
      </c>
      <c r="J32" s="251"/>
      <c r="L32" s="213"/>
      <c r="M32" s="213"/>
      <c r="N32" s="213"/>
      <c r="O32" s="213"/>
      <c r="R32" s="208"/>
      <c r="S32" s="208"/>
      <c r="T32" s="208"/>
      <c r="U32" s="253">
        <f t="shared" si="25"/>
        <v>20</v>
      </c>
      <c r="V32" s="52" t="s">
        <v>1062</v>
      </c>
      <c r="W32" s="52"/>
      <c r="X32" s="52"/>
      <c r="Y32" s="620">
        <f>Y4</f>
        <v>14.05</v>
      </c>
      <c r="Z32" s="253">
        <f t="shared" si="10"/>
        <v>20</v>
      </c>
      <c r="AA32" s="245"/>
      <c r="AB32" s="196"/>
      <c r="AC32" s="196"/>
      <c r="AD32" s="196"/>
      <c r="AE32" s="138"/>
      <c r="AF32" s="242"/>
      <c r="AH32" s="157"/>
      <c r="AI32" s="138"/>
      <c r="AJ32" s="737"/>
      <c r="AK32" s="388"/>
      <c r="AL32" s="380"/>
      <c r="AM32" s="380"/>
      <c r="AN32" s="380"/>
      <c r="AO32" s="360">
        <f t="shared" si="12"/>
        <v>20</v>
      </c>
      <c r="AP32" s="224" t="s">
        <v>744</v>
      </c>
      <c r="AQ32" s="724">
        <f>+'[42]Lead E'!C31</f>
        <v>48455.670126874989</v>
      </c>
      <c r="AR32" s="724">
        <f>+'[42]Lead E'!D31</f>
        <v>2145903.9723363491</v>
      </c>
      <c r="AS32" s="724">
        <f t="shared" si="24"/>
        <v>2097448.3022094741</v>
      </c>
      <c r="AT32" s="213"/>
      <c r="AU32" s="213"/>
      <c r="AV32" s="213"/>
      <c r="AW32" s="213"/>
      <c r="AX32" s="213"/>
      <c r="AY32" s="209"/>
      <c r="AZ32" s="213"/>
      <c r="BA32" s="213"/>
      <c r="BB32" s="213"/>
      <c r="BC32" s="213"/>
      <c r="BD32" s="213"/>
      <c r="BE32" s="213"/>
      <c r="BF32" s="213"/>
      <c r="BG32" s="213"/>
      <c r="BH32" s="213"/>
      <c r="BI32" s="298">
        <f t="shared" si="13"/>
        <v>20</v>
      </c>
      <c r="BJ32" s="255" t="s">
        <v>161</v>
      </c>
      <c r="BK32" s="643">
        <f>+'For Prod Adj Expense'!H25</f>
        <v>2119540.3036357597</v>
      </c>
      <c r="BL32" s="644">
        <f>-BK32*$BL$13</f>
        <v>0</v>
      </c>
      <c r="BM32" s="643">
        <f>ROUND(+BL32*-$BM$11,0)</f>
        <v>0</v>
      </c>
      <c r="BN32" s="213"/>
    </row>
    <row r="33" spans="1:85" ht="16.5" customHeight="1" thickBot="1">
      <c r="A33" s="253">
        <f t="shared" si="1"/>
        <v>21</v>
      </c>
      <c r="B33" s="245" t="s">
        <v>109</v>
      </c>
      <c r="C33" s="209"/>
      <c r="D33" s="209"/>
      <c r="E33" s="730">
        <f>+E31-E32</f>
        <v>-2829371.8658719864</v>
      </c>
      <c r="J33" s="199"/>
      <c r="L33" s="213"/>
      <c r="M33" s="213"/>
      <c r="N33" s="213"/>
      <c r="O33" s="213"/>
      <c r="R33" s="208"/>
      <c r="S33" s="208"/>
      <c r="T33" s="208"/>
      <c r="U33" s="253">
        <f t="shared" si="25"/>
        <v>21</v>
      </c>
      <c r="V33" s="296" t="s">
        <v>1063</v>
      </c>
      <c r="W33" s="102">
        <f>'[47]Storm Damage Summary'!C35</f>
        <v>-420528</v>
      </c>
      <c r="X33" s="52"/>
      <c r="Y33" s="52"/>
      <c r="Z33" s="253">
        <f t="shared" si="10"/>
        <v>21</v>
      </c>
      <c r="AA33" s="245" t="s">
        <v>786</v>
      </c>
      <c r="AB33" s="540">
        <f>SUM(AB14:AB32)</f>
        <v>232514691.52833334</v>
      </c>
      <c r="AC33" s="540">
        <f>SUM(AC14:AC32)</f>
        <v>188429365.04291415</v>
      </c>
      <c r="AD33" s="540">
        <f>SUM(AD14:AD32)</f>
        <v>-44085326.485419191</v>
      </c>
      <c r="AE33" s="138"/>
      <c r="AF33" s="242"/>
      <c r="AI33" s="251"/>
      <c r="AJ33" s="737"/>
      <c r="AK33" s="380"/>
      <c r="AL33" s="380"/>
      <c r="AM33" s="380"/>
      <c r="AN33" s="380"/>
      <c r="AO33" s="360">
        <f t="shared" si="12"/>
        <v>21</v>
      </c>
      <c r="AP33" s="224" t="s">
        <v>761</v>
      </c>
      <c r="AQ33" s="724">
        <f>+'[42]Lead E'!C32</f>
        <v>219106.16287749296</v>
      </c>
      <c r="AR33" s="724">
        <f>+'[42]Lead E'!D32</f>
        <v>0</v>
      </c>
      <c r="AS33" s="724">
        <f t="shared" si="24"/>
        <v>-219106.16287749296</v>
      </c>
      <c r="AT33" s="213"/>
      <c r="AU33" s="213"/>
      <c r="AV33" s="213"/>
      <c r="AW33" s="213"/>
      <c r="AX33" s="213"/>
      <c r="AY33" s="209"/>
      <c r="AZ33" s="213"/>
      <c r="BA33" s="213"/>
      <c r="BB33" s="213"/>
      <c r="BC33" s="213"/>
      <c r="BD33" s="213"/>
      <c r="BE33" s="213"/>
      <c r="BF33" s="213"/>
      <c r="BG33" s="213"/>
      <c r="BH33" s="213"/>
      <c r="BI33" s="298">
        <f t="shared" si="13"/>
        <v>21</v>
      </c>
      <c r="BJ33" s="255" t="s">
        <v>504</v>
      </c>
      <c r="BK33" s="739">
        <f>SUM(BK31:BK32)</f>
        <v>3566282.1023004255</v>
      </c>
      <c r="BL33" s="739">
        <f>SUM(BL31:BL32)</f>
        <v>-52548.472365063768</v>
      </c>
      <c r="BM33" s="739">
        <f>SUM(BM31:BM32)</f>
        <v>18392</v>
      </c>
      <c r="BN33" s="213"/>
    </row>
    <row r="34" spans="1:85" ht="13.5" thickTop="1">
      <c r="A34" s="253">
        <f t="shared" si="1"/>
        <v>22</v>
      </c>
      <c r="B34" s="213"/>
      <c r="C34" s="213"/>
      <c r="D34" s="213"/>
      <c r="E34" s="213"/>
      <c r="J34" s="199"/>
      <c r="L34" s="213"/>
      <c r="M34" s="213"/>
      <c r="N34" s="213"/>
      <c r="O34" s="213"/>
      <c r="R34" s="208"/>
      <c r="S34" s="208"/>
      <c r="T34" s="208"/>
      <c r="U34" s="253">
        <f t="shared" si="25"/>
        <v>22</v>
      </c>
      <c r="V34" s="296" t="s">
        <v>1064</v>
      </c>
      <c r="W34" s="102">
        <f>'[47]Storm Damage Summary'!C36</f>
        <v>-1504102</v>
      </c>
      <c r="X34" s="52"/>
      <c r="Y34" s="52"/>
      <c r="Z34" s="253">
        <f t="shared" si="10"/>
        <v>22</v>
      </c>
      <c r="AA34" s="245"/>
      <c r="AB34" s="396"/>
      <c r="AE34" s="138"/>
      <c r="AF34" s="196"/>
      <c r="AI34" s="227"/>
      <c r="AJ34" s="737"/>
      <c r="AK34" s="380"/>
      <c r="AL34" s="380"/>
      <c r="AM34" s="380"/>
      <c r="AN34" s="380"/>
      <c r="AO34" s="360">
        <f t="shared" si="12"/>
        <v>22</v>
      </c>
      <c r="AP34" s="224" t="s">
        <v>742</v>
      </c>
      <c r="AQ34" s="479">
        <f>SUM(AQ30:AQ33)</f>
        <v>2149221.0413247487</v>
      </c>
      <c r="AR34" s="479">
        <f t="shared" ref="AR34" si="26">SUM(AR30:AR33)</f>
        <v>2145903.9723363491</v>
      </c>
      <c r="AS34" s="479">
        <f>SUM(AS30:AS33)</f>
        <v>-3317.0689883994637</v>
      </c>
      <c r="AT34" s="213"/>
      <c r="AU34" s="213"/>
      <c r="AV34" s="213"/>
      <c r="AW34" s="213"/>
      <c r="AX34" s="213"/>
      <c r="AY34" s="213"/>
      <c r="AZ34" s="213"/>
      <c r="BA34" s="213"/>
      <c r="BB34" s="213"/>
      <c r="BC34" s="213"/>
      <c r="BD34" s="213"/>
      <c r="BE34" s="213"/>
      <c r="BF34" s="213"/>
      <c r="BG34" s="213"/>
      <c r="BH34" s="213"/>
      <c r="BI34" s="298">
        <f t="shared" si="13"/>
        <v>22</v>
      </c>
      <c r="BJ34" s="388"/>
      <c r="BK34" s="221"/>
      <c r="BL34" s="221"/>
      <c r="BM34" s="221"/>
      <c r="BN34" s="213"/>
    </row>
    <row r="35" spans="1:85" ht="13.5">
      <c r="A35" s="253">
        <f t="shared" si="1"/>
        <v>23</v>
      </c>
      <c r="B35" s="640" t="s">
        <v>852</v>
      </c>
      <c r="C35" s="213"/>
      <c r="D35" s="213"/>
      <c r="E35" s="213"/>
      <c r="F35" s="213"/>
      <c r="G35" s="213"/>
      <c r="J35" s="251"/>
      <c r="L35" s="213"/>
      <c r="M35" s="213"/>
      <c r="N35" s="213"/>
      <c r="O35" s="213"/>
      <c r="R35" s="208"/>
      <c r="S35" s="208"/>
      <c r="T35" s="208"/>
      <c r="U35" s="253">
        <f t="shared" si="25"/>
        <v>23</v>
      </c>
      <c r="V35" s="296" t="s">
        <v>1065</v>
      </c>
      <c r="W35" s="102">
        <f>'[47]Storm Damage Summary'!C37</f>
        <v>-5666</v>
      </c>
      <c r="X35" s="52"/>
      <c r="Y35" s="52"/>
      <c r="Z35" s="253">
        <f t="shared" si="10"/>
        <v>23</v>
      </c>
      <c r="AA35" s="156"/>
      <c r="AE35" s="138"/>
      <c r="AJ35" s="737"/>
      <c r="AK35" s="380"/>
      <c r="AL35" s="380"/>
      <c r="AM35" s="380"/>
      <c r="AN35" s="380"/>
      <c r="AO35" s="360">
        <f t="shared" si="12"/>
        <v>23</v>
      </c>
      <c r="AP35" s="737"/>
      <c r="AQ35" s="715"/>
      <c r="AR35" s="709"/>
      <c r="AS35" s="715"/>
      <c r="AT35" s="165"/>
      <c r="AU35" s="165"/>
      <c r="AV35" s="165"/>
      <c r="AW35" s="165"/>
      <c r="AX35" s="165"/>
      <c r="AY35" s="165"/>
      <c r="AZ35" s="165"/>
      <c r="BA35" s="213"/>
      <c r="BB35" s="213"/>
      <c r="BC35" s="213"/>
      <c r="BD35" s="213"/>
      <c r="BE35" s="213"/>
      <c r="BF35" s="213"/>
      <c r="BG35" s="213"/>
      <c r="BH35" s="213"/>
      <c r="BI35" s="298">
        <f t="shared" si="13"/>
        <v>23</v>
      </c>
      <c r="BJ35" s="299" t="s">
        <v>843</v>
      </c>
      <c r="BK35" s="331"/>
      <c r="BL35" s="196"/>
      <c r="BM35" s="196"/>
      <c r="BN35" s="252"/>
      <c r="CD35" s="252"/>
      <c r="CE35" s="252"/>
      <c r="CF35" s="252"/>
      <c r="CG35" s="252"/>
    </row>
    <row r="36" spans="1:85" ht="13.5">
      <c r="A36" s="253"/>
      <c r="B36" s="213"/>
      <c r="C36" s="213"/>
      <c r="D36" s="213"/>
      <c r="E36" s="213"/>
      <c r="F36" s="213"/>
      <c r="G36" s="213"/>
      <c r="J36" s="251"/>
      <c r="L36" s="213"/>
      <c r="M36" s="213"/>
      <c r="N36" s="213"/>
      <c r="O36" s="213"/>
      <c r="R36" s="208"/>
      <c r="S36" s="208"/>
      <c r="T36" s="208"/>
      <c r="U36" s="253">
        <f t="shared" si="25"/>
        <v>24</v>
      </c>
      <c r="V36" s="296" t="s">
        <v>1066</v>
      </c>
      <c r="W36" s="102">
        <f>'[47]Storm Damage Summary'!C38</f>
        <v>-23700508</v>
      </c>
      <c r="X36" s="52"/>
      <c r="Y36" s="52"/>
      <c r="Z36" s="253">
        <f t="shared" si="10"/>
        <v>24</v>
      </c>
      <c r="AA36" s="156" t="s">
        <v>304</v>
      </c>
      <c r="AB36" s="196"/>
      <c r="AC36" s="196"/>
      <c r="AD36" s="196"/>
      <c r="AE36" s="138"/>
      <c r="AJ36" s="737"/>
      <c r="AK36" s="737"/>
      <c r="AL36" s="737"/>
      <c r="AM36" s="737"/>
      <c r="AN36" s="737"/>
      <c r="AO36" s="360">
        <f t="shared" si="12"/>
        <v>24</v>
      </c>
      <c r="AP36" s="305"/>
      <c r="AQ36" s="715"/>
      <c r="AR36" s="709"/>
      <c r="AS36" s="715"/>
      <c r="AT36" s="162"/>
      <c r="AU36" s="162"/>
      <c r="AV36" s="162"/>
      <c r="AW36" s="162"/>
      <c r="AX36" s="162"/>
      <c r="AY36" s="162"/>
      <c r="AZ36" s="162"/>
      <c r="BA36" s="213"/>
      <c r="BB36" s="213"/>
      <c r="BC36" s="213"/>
      <c r="BD36" s="213"/>
      <c r="BE36" s="213"/>
      <c r="BF36" s="213"/>
      <c r="BG36" s="213"/>
      <c r="BH36" s="213"/>
      <c r="BI36" s="298">
        <f t="shared" si="13"/>
        <v>24</v>
      </c>
      <c r="BJ36" s="388" t="s">
        <v>771</v>
      </c>
      <c r="BK36" s="645">
        <f>'MCC-2 page 31-45'!BB23</f>
        <v>1494701.7220710218</v>
      </c>
      <c r="BL36" s="644">
        <f t="shared" ref="BL36" si="27">-BK36*$BL$13</f>
        <v>0</v>
      </c>
      <c r="BM36" s="645">
        <f>-BL36*$BM$11</f>
        <v>0</v>
      </c>
      <c r="BN36" s="252"/>
      <c r="BO36" s="213"/>
      <c r="CC36" s="209"/>
      <c r="CD36" s="138"/>
      <c r="CE36" s="138"/>
      <c r="CF36" s="138"/>
      <c r="CG36" s="138"/>
    </row>
    <row r="37" spans="1:85">
      <c r="A37" s="253"/>
      <c r="B37" s="213"/>
      <c r="C37" s="213"/>
      <c r="D37" s="213"/>
      <c r="E37" s="213"/>
      <c r="F37" s="213"/>
      <c r="G37" s="213"/>
      <c r="J37" s="251"/>
      <c r="L37" s="213"/>
      <c r="M37" s="213"/>
      <c r="N37" s="213"/>
      <c r="O37" s="213"/>
      <c r="R37" s="208"/>
      <c r="S37" s="208"/>
      <c r="T37" s="200"/>
      <c r="U37" s="253">
        <f t="shared" si="25"/>
        <v>25</v>
      </c>
      <c r="V37" s="296" t="s">
        <v>1067</v>
      </c>
      <c r="W37" s="102">
        <f>'[47]Storm Damage Summary'!C39</f>
        <v>-23046021</v>
      </c>
      <c r="X37" s="52"/>
      <c r="Y37" s="52"/>
      <c r="Z37" s="253">
        <f t="shared" si="10"/>
        <v>25</v>
      </c>
      <c r="AA37" s="255" t="str">
        <f>'[13]Lead E'!B36</f>
        <v>BEP</v>
      </c>
      <c r="AB37" s="398" t="s">
        <v>847</v>
      </c>
      <c r="AC37" s="398"/>
      <c r="AD37" s="398"/>
      <c r="AE37" s="138"/>
      <c r="AJ37" s="737"/>
      <c r="AK37" s="737"/>
      <c r="AL37" s="737"/>
      <c r="AM37" s="737"/>
      <c r="AN37" s="737"/>
      <c r="AO37" s="360">
        <f t="shared" si="12"/>
        <v>25</v>
      </c>
      <c r="AP37" s="737"/>
      <c r="AQ37" s="715"/>
      <c r="AR37" s="709"/>
      <c r="AS37" s="715"/>
      <c r="AT37" s="121"/>
      <c r="AU37" s="121"/>
      <c r="AV37" s="121"/>
      <c r="AW37" s="121"/>
      <c r="AX37" s="121"/>
      <c r="AY37" s="121"/>
      <c r="AZ37" s="121"/>
      <c r="BA37" s="213"/>
      <c r="BB37" s="213"/>
      <c r="BC37" s="213"/>
      <c r="BD37" s="213"/>
      <c r="BE37" s="213"/>
      <c r="BF37" s="213"/>
      <c r="BG37" s="213"/>
      <c r="BH37" s="213"/>
      <c r="BI37" s="298">
        <f t="shared" si="13"/>
        <v>25</v>
      </c>
      <c r="BJ37" s="388" t="s">
        <v>541</v>
      </c>
      <c r="BK37" s="208">
        <f>AC51</f>
        <v>-1381851.7170492394</v>
      </c>
      <c r="BL37" s="196">
        <f t="shared" ref="BL37:BL46" si="28">-BK37*$BL$13</f>
        <v>0</v>
      </c>
      <c r="BM37" s="208">
        <f>-BL37*$BM$11</f>
        <v>0</v>
      </c>
      <c r="BN37" s="213"/>
      <c r="BO37" s="213"/>
      <c r="CC37" s="209"/>
      <c r="CD37" s="198"/>
      <c r="CE37" s="198"/>
      <c r="CF37" s="198"/>
      <c r="CG37" s="198"/>
    </row>
    <row r="38" spans="1:85">
      <c r="A38" s="253"/>
      <c r="C38" s="213"/>
      <c r="D38" s="213"/>
      <c r="E38" s="213"/>
      <c r="F38" s="213"/>
      <c r="G38" s="213"/>
      <c r="L38" s="213"/>
      <c r="M38" s="213"/>
      <c r="N38" s="213"/>
      <c r="O38" s="213"/>
      <c r="P38" s="740"/>
      <c r="Q38" s="740"/>
      <c r="R38" s="740"/>
      <c r="S38" s="208"/>
      <c r="T38" s="200"/>
      <c r="U38" s="253">
        <f t="shared" si="25"/>
        <v>26</v>
      </c>
      <c r="V38" s="296" t="s">
        <v>1075</v>
      </c>
      <c r="W38" s="957">
        <f>SUM(W33:W37)</f>
        <v>-48676825</v>
      </c>
      <c r="X38" s="52"/>
      <c r="Y38" s="52"/>
      <c r="Z38" s="253">
        <f>+Z37+1</f>
        <v>26</v>
      </c>
      <c r="AA38" s="255" t="str">
        <f>'[13]Lead E'!B37</f>
        <v>WESTCOAST PIPELINE CAPACITY - UE-082013 (FB ENERGY)</v>
      </c>
      <c r="AB38" s="398" t="s">
        <v>847</v>
      </c>
      <c r="AC38" s="398"/>
      <c r="AD38" s="398"/>
      <c r="AE38" s="138"/>
      <c r="AO38" s="360">
        <f t="shared" si="12"/>
        <v>26</v>
      </c>
      <c r="AP38" s="378" t="s">
        <v>12</v>
      </c>
      <c r="AQ38" s="379">
        <v>0.35</v>
      </c>
      <c r="AR38" s="709"/>
      <c r="AS38" s="724">
        <f>-AS34*AQ38</f>
        <v>1160.9741459398122</v>
      </c>
      <c r="AT38" s="121"/>
      <c r="AU38" s="121"/>
      <c r="AV38" s="121"/>
      <c r="AW38" s="121"/>
      <c r="AX38" s="121"/>
      <c r="AY38" s="121"/>
      <c r="AZ38" s="121"/>
      <c r="BA38" s="213"/>
      <c r="BB38" s="213"/>
      <c r="BC38" s="213"/>
      <c r="BD38" s="213"/>
      <c r="BE38" s="213"/>
      <c r="BF38" s="213"/>
      <c r="BG38" s="213"/>
      <c r="BH38" s="213"/>
      <c r="BI38" s="298">
        <f t="shared" si="13"/>
        <v>26</v>
      </c>
      <c r="BJ38" s="388" t="s">
        <v>542</v>
      </c>
      <c r="BK38" s="208">
        <f>AC50</f>
        <v>-400021.52129608387</v>
      </c>
      <c r="BL38" s="196">
        <f t="shared" si="28"/>
        <v>0</v>
      </c>
      <c r="BM38" s="208">
        <f t="shared" ref="BM38:BM46" si="29">-BL38*$BM$11</f>
        <v>0</v>
      </c>
      <c r="BN38" s="213"/>
      <c r="BO38" s="213"/>
      <c r="CC38" s="209"/>
      <c r="CD38" s="252"/>
      <c r="CE38" s="252"/>
      <c r="CF38" s="252"/>
      <c r="CG38" s="252"/>
    </row>
    <row r="39" spans="1:85" ht="13.5" thickBot="1">
      <c r="A39" s="253"/>
      <c r="C39" s="213"/>
      <c r="D39" s="213"/>
      <c r="E39" s="213"/>
      <c r="F39" s="213"/>
      <c r="G39" s="213"/>
      <c r="L39" s="213"/>
      <c r="M39" s="213"/>
      <c r="N39" s="213"/>
      <c r="O39" s="213"/>
      <c r="P39" s="741"/>
      <c r="Q39" s="741"/>
      <c r="R39" s="741"/>
      <c r="S39" s="742" t="s">
        <v>252</v>
      </c>
      <c r="T39" s="200"/>
      <c r="U39" s="253">
        <f t="shared" si="25"/>
        <v>27</v>
      </c>
      <c r="V39" s="52" t="s">
        <v>1076</v>
      </c>
      <c r="W39" s="481">
        <f>'[47]Storm Damage Summary'!$C$41</f>
        <v>17036888.75</v>
      </c>
      <c r="X39" s="293"/>
      <c r="Y39" s="293"/>
      <c r="Z39" s="253">
        <f t="shared" si="10"/>
        <v>27</v>
      </c>
      <c r="AA39" s="255" t="str">
        <f>'[13]Lead E'!B38</f>
        <v>WESTCOAST PIPELINE CAPACITY - UE-100503 (BNP PARIBUS)</v>
      </c>
      <c r="AB39" s="398" t="s">
        <v>847</v>
      </c>
      <c r="AC39" s="398"/>
      <c r="AD39" s="398"/>
      <c r="AE39" s="138"/>
      <c r="AF39" s="743"/>
      <c r="AO39" s="360">
        <f t="shared" si="12"/>
        <v>27</v>
      </c>
      <c r="AP39" s="378" t="s">
        <v>109</v>
      </c>
      <c r="AQ39" s="715"/>
      <c r="AR39" s="709"/>
      <c r="AS39" s="219">
        <f>-AS34-AS38</f>
        <v>2156.0948424596518</v>
      </c>
      <c r="AT39" s="121"/>
      <c r="AU39" s="378"/>
      <c r="AV39" s="715"/>
      <c r="AW39" s="709"/>
      <c r="AX39" s="199"/>
      <c r="AY39" s="121"/>
      <c r="AZ39" s="121"/>
      <c r="BA39" s="213"/>
      <c r="BB39" s="213"/>
      <c r="BC39" s="213"/>
      <c r="BD39" s="213"/>
      <c r="BE39" s="213"/>
      <c r="BF39" s="213"/>
      <c r="BG39" s="213"/>
      <c r="BH39" s="213"/>
      <c r="BI39" s="298">
        <f t="shared" si="13"/>
        <v>27</v>
      </c>
      <c r="BJ39" s="388" t="s">
        <v>543</v>
      </c>
      <c r="BK39" s="208">
        <f>AC52</f>
        <v>3786307.8400000003</v>
      </c>
      <c r="BL39" s="196">
        <f t="shared" si="28"/>
        <v>0</v>
      </c>
      <c r="BM39" s="208">
        <f t="shared" si="29"/>
        <v>0</v>
      </c>
      <c r="BN39" s="213"/>
      <c r="BO39" s="213"/>
      <c r="CD39" s="252"/>
      <c r="CE39" s="252"/>
      <c r="CF39" s="252"/>
      <c r="CG39" s="252"/>
    </row>
    <row r="40" spans="1:85" ht="13.5" thickTop="1">
      <c r="A40" s="253"/>
      <c r="C40" s="213"/>
      <c r="D40" s="213"/>
      <c r="E40" s="213"/>
      <c r="F40" s="213"/>
      <c r="G40" s="213"/>
      <c r="L40" s="213"/>
      <c r="M40" s="213"/>
      <c r="N40" s="213"/>
      <c r="O40" s="213"/>
      <c r="P40" s="740"/>
      <c r="Q40" s="741"/>
      <c r="R40" s="741"/>
      <c r="S40" s="742"/>
      <c r="T40" s="200"/>
      <c r="U40" s="253">
        <f t="shared" si="25"/>
        <v>28</v>
      </c>
      <c r="V40" s="52"/>
      <c r="W40" s="293"/>
      <c r="X40" s="293"/>
      <c r="Y40" s="293"/>
      <c r="Z40" s="253">
        <f t="shared" si="10"/>
        <v>28</v>
      </c>
      <c r="AA40" s="255" t="str">
        <f>'[13]Lead E'!B39</f>
        <v>MINT FARM DEFFRED - UE-090704 (FERC 407.3)</v>
      </c>
      <c r="AB40" s="478">
        <f>'[13]Lead E'!C39</f>
        <v>2885052</v>
      </c>
      <c r="AC40" s="478">
        <f>'[13]Lead E'!D39</f>
        <v>2885052</v>
      </c>
      <c r="AD40" s="478">
        <f t="shared" ref="AD40:AD52" si="30">+AC40-AB40</f>
        <v>0</v>
      </c>
      <c r="AE40" s="138"/>
      <c r="AO40" s="360"/>
      <c r="AP40" s="737"/>
      <c r="AQ40" s="715"/>
      <c r="AR40" s="709"/>
      <c r="AS40" s="715"/>
      <c r="AT40" s="121"/>
      <c r="AU40" s="121"/>
      <c r="AV40" s="121"/>
      <c r="AW40" s="121"/>
      <c r="AX40" s="121"/>
      <c r="AY40" s="121"/>
      <c r="AZ40" s="121"/>
      <c r="BA40" s="213"/>
      <c r="BB40" s="213"/>
      <c r="BC40" s="213"/>
      <c r="BD40" s="213"/>
      <c r="BE40" s="213"/>
      <c r="BF40" s="213"/>
      <c r="BG40" s="213"/>
      <c r="BH40" s="213"/>
      <c r="BI40" s="298">
        <f t="shared" si="13"/>
        <v>28</v>
      </c>
      <c r="BJ40" s="388" t="s">
        <v>544</v>
      </c>
      <c r="BK40" s="331">
        <f>AC40</f>
        <v>2885052</v>
      </c>
      <c r="BL40" s="196">
        <f t="shared" si="28"/>
        <v>0</v>
      </c>
      <c r="BM40" s="208">
        <f t="shared" si="29"/>
        <v>0</v>
      </c>
      <c r="BN40" s="213"/>
      <c r="BO40" s="213"/>
      <c r="CC40" s="253"/>
      <c r="CD40" s="167"/>
      <c r="CE40" s="167"/>
      <c r="CF40" s="167"/>
      <c r="CG40" s="167"/>
    </row>
    <row r="41" spans="1:85">
      <c r="A41" s="253"/>
      <c r="B41" s="213"/>
      <c r="C41" s="213"/>
      <c r="D41" s="213"/>
      <c r="E41" s="213"/>
      <c r="F41" s="213"/>
      <c r="G41" s="213"/>
      <c r="L41" s="213"/>
      <c r="M41" s="213"/>
      <c r="N41" s="213"/>
      <c r="O41" s="213"/>
      <c r="P41" s="740"/>
      <c r="Q41" s="744"/>
      <c r="R41" s="745"/>
      <c r="S41" s="742" t="s">
        <v>252</v>
      </c>
      <c r="T41" s="200"/>
      <c r="U41" s="253">
        <f t="shared" si="25"/>
        <v>29</v>
      </c>
      <c r="V41" s="388" t="s">
        <v>1077</v>
      </c>
      <c r="W41" s="956">
        <f>'[47]Storm Damage Summary'!$C$43</f>
        <v>6023911</v>
      </c>
      <c r="X41" s="954">
        <v>0</v>
      </c>
      <c r="Y41" s="293"/>
      <c r="Z41" s="253">
        <f t="shared" si="10"/>
        <v>29</v>
      </c>
      <c r="AA41" s="255" t="str">
        <f>'[13]Lead E'!B40</f>
        <v>CHELAN PUD</v>
      </c>
      <c r="AB41" s="398" t="s">
        <v>847</v>
      </c>
      <c r="AC41" s="398"/>
      <c r="AD41" s="398"/>
      <c r="AE41" s="138"/>
      <c r="AG41" s="396"/>
      <c r="AH41" s="396"/>
      <c r="AI41" s="396"/>
      <c r="AO41" s="121"/>
      <c r="AP41" s="715"/>
      <c r="AQ41" s="715"/>
      <c r="AR41" s="709"/>
      <c r="AS41" s="715"/>
      <c r="AT41" s="121"/>
      <c r="AU41" s="121"/>
      <c r="AV41" s="121"/>
      <c r="AW41" s="121"/>
      <c r="AX41" s="121"/>
      <c r="AY41" s="121"/>
      <c r="AZ41" s="121"/>
      <c r="BA41" s="213"/>
      <c r="BB41" s="213"/>
      <c r="BC41" s="213"/>
      <c r="BD41" s="213"/>
      <c r="BE41" s="213"/>
      <c r="BF41" s="213"/>
      <c r="BG41" s="213"/>
      <c r="BH41" s="213"/>
      <c r="BI41" s="298">
        <f t="shared" si="13"/>
        <v>29</v>
      </c>
      <c r="BJ41" s="388" t="s">
        <v>545</v>
      </c>
      <c r="BK41" s="331">
        <f>AC46</f>
        <v>0</v>
      </c>
      <c r="BL41" s="196">
        <f t="shared" si="28"/>
        <v>0</v>
      </c>
      <c r="BM41" s="208">
        <f t="shared" si="29"/>
        <v>0</v>
      </c>
      <c r="BN41" s="213"/>
      <c r="BO41" s="213"/>
      <c r="CC41" s="253"/>
    </row>
    <row r="42" spans="1:85">
      <c r="A42" s="253"/>
      <c r="B42" s="213"/>
      <c r="C42" s="213"/>
      <c r="D42" s="213"/>
      <c r="E42" s="213"/>
      <c r="F42" s="213"/>
      <c r="G42" s="213"/>
      <c r="L42" s="213"/>
      <c r="M42" s="213"/>
      <c r="N42" s="213"/>
      <c r="O42" s="213"/>
      <c r="P42" s="740"/>
      <c r="Q42" s="740"/>
      <c r="R42" s="740"/>
      <c r="S42" s="742" t="s">
        <v>252</v>
      </c>
      <c r="T42" s="200"/>
      <c r="U42" s="253">
        <f t="shared" si="25"/>
        <v>30</v>
      </c>
      <c r="V42" s="388" t="s">
        <v>1078</v>
      </c>
      <c r="W42" s="956">
        <f>'[47]Storm Damage Summary'!$C$44</f>
        <v>8153023</v>
      </c>
      <c r="X42" s="293"/>
      <c r="Y42" s="293"/>
      <c r="Z42" s="253">
        <f t="shared" si="10"/>
        <v>30</v>
      </c>
      <c r="AA42" s="255" t="str">
        <f>'[13]Lead E'!B41</f>
        <v>COLSTRIP 1&amp;2 (WECo) PREPAYMENT</v>
      </c>
      <c r="AB42" s="398" t="s">
        <v>847</v>
      </c>
      <c r="AC42" s="398"/>
      <c r="AD42" s="398"/>
      <c r="AE42" s="138"/>
      <c r="AF42" s="743"/>
      <c r="AT42" s="199"/>
      <c r="AU42" s="199"/>
      <c r="AV42" s="199"/>
      <c r="AW42" s="199"/>
      <c r="AX42" s="199"/>
      <c r="AY42" s="199"/>
      <c r="AZ42" s="199"/>
      <c r="BA42" s="213"/>
      <c r="BB42" s="213"/>
      <c r="BC42" s="213"/>
      <c r="BD42" s="213"/>
      <c r="BE42" s="213"/>
      <c r="BF42" s="213"/>
      <c r="BG42" s="213"/>
      <c r="BH42" s="213"/>
      <c r="BI42" s="298">
        <f t="shared" si="13"/>
        <v>30</v>
      </c>
      <c r="BJ42" s="388" t="s">
        <v>546</v>
      </c>
      <c r="BK42" s="331">
        <f>AC49</f>
        <v>4520422.508572978</v>
      </c>
      <c r="BL42" s="196">
        <f t="shared" si="28"/>
        <v>0</v>
      </c>
      <c r="BM42" s="208">
        <f t="shared" si="29"/>
        <v>0</v>
      </c>
      <c r="BN42" s="213"/>
      <c r="BO42" s="213"/>
    </row>
    <row r="43" spans="1:85">
      <c r="A43" s="253"/>
      <c r="B43" s="213"/>
      <c r="C43" s="213"/>
      <c r="D43" s="213"/>
      <c r="E43" s="213"/>
      <c r="F43" s="213"/>
      <c r="G43" s="213"/>
      <c r="L43" s="213"/>
      <c r="M43" s="213"/>
      <c r="N43" s="213"/>
      <c r="O43" s="213"/>
      <c r="P43" s="740"/>
      <c r="Q43" s="744"/>
      <c r="R43" s="745"/>
      <c r="S43" s="742" t="s">
        <v>252</v>
      </c>
      <c r="T43" s="208"/>
      <c r="U43" s="253">
        <f t="shared" si="25"/>
        <v>31</v>
      </c>
      <c r="V43" s="209"/>
      <c r="W43" s="293"/>
      <c r="X43" s="293"/>
      <c r="Y43" s="293"/>
      <c r="Z43" s="253">
        <f>+Z42+1</f>
        <v>31</v>
      </c>
      <c r="AA43" s="255" t="str">
        <f>'[13]Lead E'!B42</f>
        <v>FERC PART 12 STUDY NON-CONSTRUCTION COSTS UE-070074 (FERC 407)</v>
      </c>
      <c r="AB43" s="196">
        <f>'[13]Lead E'!C42</f>
        <v>241268.10200000007</v>
      </c>
      <c r="AC43" s="196">
        <f>'[13]Lead E'!D42</f>
        <v>0</v>
      </c>
      <c r="AD43" s="196">
        <f t="shared" si="30"/>
        <v>-241268.10200000007</v>
      </c>
      <c r="AE43" s="138"/>
      <c r="BA43" s="213"/>
      <c r="BB43" s="213"/>
      <c r="BC43" s="213"/>
      <c r="BD43" s="213"/>
      <c r="BE43" s="213"/>
      <c r="BF43" s="213"/>
      <c r="BG43" s="213"/>
      <c r="BH43" s="213"/>
      <c r="BI43" s="298">
        <f t="shared" si="13"/>
        <v>31</v>
      </c>
      <c r="BJ43" s="388" t="s">
        <v>548</v>
      </c>
      <c r="BK43" s="331">
        <f>AC47</f>
        <v>561126.34087998548</v>
      </c>
      <c r="BL43" s="196">
        <f t="shared" si="28"/>
        <v>0</v>
      </c>
      <c r="BM43" s="208">
        <f t="shared" si="29"/>
        <v>0</v>
      </c>
      <c r="BN43" s="213"/>
      <c r="BO43" s="213"/>
    </row>
    <row r="44" spans="1:85">
      <c r="A44" s="253"/>
      <c r="B44" s="213"/>
      <c r="C44" s="213"/>
      <c r="D44" s="213"/>
      <c r="E44" s="213"/>
      <c r="F44" s="213"/>
      <c r="G44" s="213"/>
      <c r="L44" s="213"/>
      <c r="M44" s="213"/>
      <c r="N44" s="213"/>
      <c r="O44" s="213"/>
      <c r="P44" s="740"/>
      <c r="Q44" s="744"/>
      <c r="R44" s="745"/>
      <c r="S44" s="742"/>
      <c r="T44" s="208"/>
      <c r="U44" s="253">
        <f t="shared" si="25"/>
        <v>32</v>
      </c>
      <c r="V44" s="318" t="s">
        <v>43</v>
      </c>
      <c r="W44" s="293"/>
      <c r="X44" s="293"/>
      <c r="Y44" s="293"/>
      <c r="Z44" s="253">
        <f>+Z43+1</f>
        <v>32</v>
      </c>
      <c r="AA44" s="255" t="str">
        <f>'[13]Lead E'!B43</f>
        <v>LOWER SNAKE RIVER PP TRANSM PRINCIPAL $99.8M</v>
      </c>
      <c r="AB44" s="398" t="s">
        <v>847</v>
      </c>
      <c r="AC44" s="398"/>
      <c r="AD44" s="398"/>
      <c r="AE44" s="253"/>
      <c r="AF44" s="746"/>
      <c r="AG44" s="196"/>
      <c r="AH44" s="196"/>
      <c r="BA44" s="213"/>
      <c r="BB44" s="213"/>
      <c r="BC44" s="213"/>
      <c r="BD44" s="213"/>
      <c r="BI44" s="298">
        <f t="shared" si="13"/>
        <v>32</v>
      </c>
      <c r="BJ44" s="388" t="s">
        <v>547</v>
      </c>
      <c r="BK44" s="331">
        <f>AC48</f>
        <v>2203436.1529896799</v>
      </c>
      <c r="BL44" s="196">
        <f t="shared" si="28"/>
        <v>0</v>
      </c>
      <c r="BM44" s="208">
        <f t="shared" si="29"/>
        <v>0</v>
      </c>
      <c r="BN44" s="213"/>
      <c r="BO44" s="213"/>
    </row>
    <row r="45" spans="1:85">
      <c r="A45" s="253"/>
      <c r="B45" s="213"/>
      <c r="C45" s="213"/>
      <c r="D45" s="213"/>
      <c r="E45" s="213"/>
      <c r="F45" s="213"/>
      <c r="G45" s="213"/>
      <c r="L45" s="213"/>
      <c r="M45" s="213"/>
      <c r="N45" s="213"/>
      <c r="O45" s="213"/>
      <c r="P45" s="740"/>
      <c r="Q45" s="740"/>
      <c r="R45" s="740"/>
      <c r="S45" s="742" t="s">
        <v>252</v>
      </c>
      <c r="T45" s="208"/>
      <c r="U45" s="253">
        <f t="shared" si="25"/>
        <v>33</v>
      </c>
      <c r="V45" s="388" t="s">
        <v>1079</v>
      </c>
      <c r="W45" s="293"/>
      <c r="X45" s="293"/>
      <c r="Z45" s="253">
        <f t="shared" si="10"/>
        <v>33</v>
      </c>
      <c r="AA45" s="255" t="str">
        <f>'[13]Lead E'!B44</f>
        <v>CARRYING CHARGES ON LSR PP TRANSM $99.8M (FERC 407.3)</v>
      </c>
      <c r="AB45" s="196">
        <f>'[13]Lead E'!C44</f>
        <v>687420</v>
      </c>
      <c r="AC45" s="196">
        <f>'[13]Lead E'!D44</f>
        <v>687420</v>
      </c>
      <c r="AD45" s="196">
        <f t="shared" si="30"/>
        <v>0</v>
      </c>
      <c r="AE45" s="27"/>
      <c r="BA45" s="213"/>
      <c r="BB45" s="213"/>
      <c r="BC45" s="213"/>
      <c r="BI45" s="298">
        <f t="shared" si="13"/>
        <v>33</v>
      </c>
      <c r="BJ45" s="388" t="s">
        <v>549</v>
      </c>
      <c r="BK45" s="331">
        <f>AC43</f>
        <v>0</v>
      </c>
      <c r="BL45" s="196">
        <f t="shared" si="28"/>
        <v>0</v>
      </c>
      <c r="BM45" s="208">
        <f t="shared" si="29"/>
        <v>0</v>
      </c>
      <c r="BN45" s="213"/>
      <c r="BO45" s="213"/>
      <c r="CC45" s="27"/>
    </row>
    <row r="46" spans="1:85">
      <c r="A46" s="253"/>
      <c r="B46" s="213"/>
      <c r="C46" s="213"/>
      <c r="D46" s="213"/>
      <c r="E46" s="213"/>
      <c r="F46" s="213"/>
      <c r="G46" s="213"/>
      <c r="L46" s="213"/>
      <c r="M46" s="213"/>
      <c r="N46" s="213"/>
      <c r="O46" s="213"/>
      <c r="P46" s="740"/>
      <c r="Q46" s="740"/>
      <c r="R46" s="740"/>
      <c r="S46" s="742"/>
      <c r="T46" s="208"/>
      <c r="U46" s="253">
        <f t="shared" si="25"/>
        <v>34</v>
      </c>
      <c r="V46" s="319" t="s">
        <v>1080</v>
      </c>
      <c r="W46" s="102">
        <f>'[47]Storm Damage Summary'!$C$48</f>
        <v>-12560038</v>
      </c>
      <c r="X46" s="293"/>
      <c r="Z46" s="253">
        <f t="shared" si="10"/>
        <v>34</v>
      </c>
      <c r="AA46" s="255" t="str">
        <f>'[13]Lead E'!B45</f>
        <v>LOWER SNAKE RIVER PLANT DEFERRAL $18.3M  (FERC 407.3)</v>
      </c>
      <c r="AB46" s="196">
        <f>'[13]Lead E'!C45</f>
        <v>2624776.7668181919</v>
      </c>
      <c r="AC46" s="196">
        <f>'[13]Lead E'!D45</f>
        <v>0</v>
      </c>
      <c r="AD46" s="196">
        <f t="shared" si="30"/>
        <v>-2624776.7668181919</v>
      </c>
      <c r="BA46" s="213"/>
      <c r="BB46" s="213"/>
      <c r="BC46" s="213"/>
      <c r="BI46" s="298">
        <f t="shared" si="13"/>
        <v>34</v>
      </c>
      <c r="BJ46" s="388" t="s">
        <v>550</v>
      </c>
      <c r="BK46" s="238">
        <f>AC45</f>
        <v>687420</v>
      </c>
      <c r="BL46" s="196">
        <f t="shared" si="28"/>
        <v>0</v>
      </c>
      <c r="BM46" s="208">
        <f t="shared" si="29"/>
        <v>0</v>
      </c>
      <c r="BN46" s="213"/>
      <c r="BO46" s="213"/>
      <c r="CC46" s="27"/>
    </row>
    <row r="47" spans="1:85" ht="13.5" customHeight="1">
      <c r="A47" s="253"/>
      <c r="B47" s="213"/>
      <c r="C47" s="213"/>
      <c r="D47" s="213"/>
      <c r="E47" s="213"/>
      <c r="F47" s="213"/>
      <c r="G47" s="213"/>
      <c r="L47" s="213"/>
      <c r="M47" s="213"/>
      <c r="N47" s="213"/>
      <c r="O47" s="213"/>
      <c r="P47" s="742"/>
      <c r="Q47" s="742" t="s">
        <v>252</v>
      </c>
      <c r="R47" s="742"/>
      <c r="S47" s="742"/>
      <c r="T47" s="208"/>
      <c r="U47" s="253">
        <f t="shared" si="25"/>
        <v>35</v>
      </c>
      <c r="V47" s="319" t="s">
        <v>1219</v>
      </c>
      <c r="W47" s="186">
        <f>'[47]Storm Damage Summary'!$C$49</f>
        <v>50186</v>
      </c>
      <c r="X47" s="209"/>
      <c r="Z47" s="253">
        <f t="shared" si="10"/>
        <v>35</v>
      </c>
      <c r="AA47" s="255" t="str">
        <f>'[13]Lead E'!B46</f>
        <v>BAKER LICENSE UPGRADE DEFERRAL (2013 PCORC) (FERC 407.3)</v>
      </c>
      <c r="AB47" s="196">
        <f>'[13]Lead E'!C46</f>
        <v>673351.60905598255</v>
      </c>
      <c r="AC47" s="196">
        <f>'[13]Lead E'!D46</f>
        <v>561126.34087998548</v>
      </c>
      <c r="AD47" s="196">
        <f>+AC47-AB47</f>
        <v>-112225.26817599707</v>
      </c>
      <c r="AV47" s="388"/>
      <c r="BA47" s="213"/>
      <c r="BB47" s="213"/>
      <c r="BC47" s="213"/>
      <c r="BI47" s="298">
        <f t="shared" si="13"/>
        <v>35</v>
      </c>
      <c r="BJ47" s="388" t="s">
        <v>520</v>
      </c>
      <c r="BK47" s="739">
        <f>SUM(BK35:BK46)</f>
        <v>14356593.326168343</v>
      </c>
      <c r="BL47" s="739">
        <f>SUM(BL35:BL46)</f>
        <v>0</v>
      </c>
      <c r="BM47" s="739">
        <f>SUM(BM35:BM46)</f>
        <v>0</v>
      </c>
      <c r="BN47" s="213"/>
      <c r="BO47" s="213"/>
      <c r="CC47" s="27"/>
    </row>
    <row r="48" spans="1:85">
      <c r="A48" s="253"/>
      <c r="B48" s="213"/>
      <c r="C48" s="213"/>
      <c r="D48" s="213"/>
      <c r="E48" s="213"/>
      <c r="F48" s="213"/>
      <c r="G48" s="213"/>
      <c r="L48" s="213"/>
      <c r="M48" s="213"/>
      <c r="N48" s="213"/>
      <c r="O48" s="213"/>
      <c r="P48" s="742"/>
      <c r="Q48" s="742" t="s">
        <v>252</v>
      </c>
      <c r="R48" s="742"/>
      <c r="S48" s="742"/>
      <c r="T48" s="208"/>
      <c r="U48" s="253">
        <f t="shared" si="25"/>
        <v>36</v>
      </c>
      <c r="V48" s="319" t="s">
        <v>1081</v>
      </c>
      <c r="W48" s="959">
        <f>'[47]Storm Damage Summary'!$C$50</f>
        <v>6632821</v>
      </c>
      <c r="X48" s="102">
        <v>0</v>
      </c>
      <c r="Z48" s="253">
        <f t="shared" si="10"/>
        <v>36</v>
      </c>
      <c r="AA48" s="255" t="str">
        <f>'[13]Lead E'!B47</f>
        <v>SNOQUALMIE LICENSE UPGRADE DEFERRAL (2013 PCORC) (FERC 407.3)</v>
      </c>
      <c r="AB48" s="196">
        <f>'[13]Lead E'!C47</f>
        <v>2644123.3835876156</v>
      </c>
      <c r="AC48" s="196">
        <f>'[13]Lead E'!D47</f>
        <v>2203436.1529896799</v>
      </c>
      <c r="AD48" s="196">
        <f>+AC48-AB48</f>
        <v>-440687.23059793562</v>
      </c>
      <c r="BA48" s="213"/>
      <c r="BB48" s="213"/>
      <c r="BC48" s="213"/>
      <c r="BI48" s="298">
        <f t="shared" si="13"/>
        <v>36</v>
      </c>
      <c r="BJ48" s="747" t="s">
        <v>764</v>
      </c>
      <c r="BK48" s="221">
        <f>AC53-BK47</f>
        <v>0</v>
      </c>
      <c r="BL48" s="227"/>
      <c r="BM48" s="227"/>
      <c r="BN48" s="213"/>
      <c r="BO48" s="213"/>
      <c r="CC48" s="27"/>
    </row>
    <row r="49" spans="1:85" ht="13.5">
      <c r="A49" s="253"/>
      <c r="B49" s="213"/>
      <c r="C49" s="213"/>
      <c r="D49" s="213"/>
      <c r="E49" s="213"/>
      <c r="F49" s="213"/>
      <c r="G49" s="213"/>
      <c r="L49" s="213"/>
      <c r="M49" s="213"/>
      <c r="N49" s="213"/>
      <c r="O49" s="213"/>
      <c r="P49" s="742" t="s">
        <v>252</v>
      </c>
      <c r="Q49" s="742" t="s">
        <v>252</v>
      </c>
      <c r="R49" s="742" t="s">
        <v>252</v>
      </c>
      <c r="S49" s="742" t="s">
        <v>252</v>
      </c>
      <c r="T49" s="208"/>
      <c r="U49" s="253">
        <f t="shared" si="25"/>
        <v>37</v>
      </c>
      <c r="V49" s="80"/>
      <c r="W49" s="293"/>
      <c r="X49" s="293"/>
      <c r="Z49" s="253">
        <f t="shared" si="10"/>
        <v>37</v>
      </c>
      <c r="AA49" s="255" t="str">
        <f>'[13]Lead E'!B48</f>
        <v>FERNDALE DEFERRAL (2013 PCORC) (FERC 407.3)</v>
      </c>
      <c r="AB49" s="196">
        <f>'[13]Lead E'!C48</f>
        <v>4520422.508572978</v>
      </c>
      <c r="AC49" s="196">
        <f>'[13]Lead E'!D48</f>
        <v>4520422.508572978</v>
      </c>
      <c r="AD49" s="196">
        <f t="shared" si="30"/>
        <v>0</v>
      </c>
      <c r="AE49" s="63"/>
      <c r="BA49" s="213"/>
      <c r="BB49" s="213"/>
      <c r="BC49" s="213"/>
      <c r="BE49" s="251"/>
      <c r="BF49" s="251"/>
      <c r="BG49" s="251"/>
      <c r="BH49" s="251"/>
      <c r="BI49" s="298">
        <f t="shared" si="13"/>
        <v>37</v>
      </c>
      <c r="BJ49" s="388" t="s">
        <v>21</v>
      </c>
      <c r="BK49" s="227"/>
      <c r="BL49" s="644">
        <f>+BL22+BL28+BL33+BL47</f>
        <v>-52548.472365063768</v>
      </c>
      <c r="BM49" s="645">
        <f>+BM22+BM28+BM33+BM47</f>
        <v>18392</v>
      </c>
      <c r="BN49" s="213"/>
      <c r="BO49" s="213"/>
    </row>
    <row r="50" spans="1:85" ht="14.25" thickBot="1">
      <c r="A50" s="253"/>
      <c r="B50" s="213"/>
      <c r="C50" s="213"/>
      <c r="D50" s="213"/>
      <c r="E50" s="213"/>
      <c r="F50" s="213"/>
      <c r="G50" s="213"/>
      <c r="L50" s="213"/>
      <c r="M50" s="213"/>
      <c r="N50" s="213"/>
      <c r="O50" s="213"/>
      <c r="P50" s="742" t="s">
        <v>252</v>
      </c>
      <c r="Q50" s="742" t="s">
        <v>252</v>
      </c>
      <c r="R50" s="742" t="s">
        <v>252</v>
      </c>
      <c r="S50" s="742" t="s">
        <v>252</v>
      </c>
      <c r="T50" s="208"/>
      <c r="U50" s="253">
        <f t="shared" si="25"/>
        <v>38</v>
      </c>
      <c r="V50" s="388" t="s">
        <v>1082</v>
      </c>
      <c r="W50" s="208">
        <f>SUM(W46:W48)</f>
        <v>-5877031</v>
      </c>
      <c r="Z50" s="253">
        <f t="shared" si="10"/>
        <v>38</v>
      </c>
      <c r="AA50" s="255" t="str">
        <f>'[13]Lead E'!B49</f>
        <v>BAKER TREASURY GRANT DEFERRAL (2014 PCORC) (FERC 407.4)</v>
      </c>
      <c r="AB50" s="196">
        <f>'[13]Lead E'!C49</f>
        <v>-480025.82555530063</v>
      </c>
      <c r="AC50" s="196">
        <f>'[13]Lead E'!D49</f>
        <v>-400021.52129608387</v>
      </c>
      <c r="AD50" s="196">
        <f t="shared" si="30"/>
        <v>80004.304259216762</v>
      </c>
      <c r="AE50" s="63"/>
      <c r="AO50" s="251"/>
      <c r="AP50" s="251"/>
      <c r="AQ50" s="251"/>
      <c r="AR50" s="251"/>
      <c r="AS50" s="251"/>
      <c r="AT50" s="251"/>
      <c r="AU50" s="251"/>
      <c r="AV50" s="251"/>
      <c r="AW50" s="251"/>
      <c r="AX50" s="251"/>
      <c r="AY50" s="251"/>
      <c r="AZ50" s="251"/>
      <c r="BA50" s="213"/>
      <c r="BB50" s="213"/>
      <c r="BC50" s="213"/>
      <c r="BD50" s="251"/>
      <c r="BE50" s="251"/>
      <c r="BF50" s="251"/>
      <c r="BG50" s="251"/>
      <c r="BH50" s="251"/>
      <c r="BI50" s="298">
        <f t="shared" si="13"/>
        <v>38</v>
      </c>
      <c r="BJ50" s="255" t="s">
        <v>14</v>
      </c>
      <c r="BK50" s="227"/>
      <c r="BL50" s="196"/>
      <c r="BM50" s="730">
        <f>-SUM(BL49:BM49)</f>
        <v>34156.472365063768</v>
      </c>
      <c r="BN50" s="213"/>
      <c r="BO50" s="213"/>
    </row>
    <row r="51" spans="1:85" ht="13.5" thickTop="1">
      <c r="A51" s="253"/>
      <c r="B51" s="213"/>
      <c r="C51" s="213"/>
      <c r="D51" s="213"/>
      <c r="E51" s="213"/>
      <c r="F51" s="213"/>
      <c r="G51" s="213"/>
      <c r="L51" s="213"/>
      <c r="M51" s="213"/>
      <c r="N51" s="213"/>
      <c r="O51" s="213"/>
      <c r="P51" s="742" t="s">
        <v>252</v>
      </c>
      <c r="Q51" s="742" t="s">
        <v>252</v>
      </c>
      <c r="R51" s="742" t="s">
        <v>252</v>
      </c>
      <c r="S51" s="742" t="s">
        <v>252</v>
      </c>
      <c r="T51" s="208"/>
      <c r="U51" s="253">
        <f t="shared" si="25"/>
        <v>39</v>
      </c>
      <c r="V51" s="388"/>
      <c r="Z51" s="253">
        <f t="shared" si="10"/>
        <v>39</v>
      </c>
      <c r="AA51" s="255" t="str">
        <f>'[13]Lead E'!B50</f>
        <v>SNOQUALMIE TREASURY GRANT DEFERRAL (2014 PCORC) (FERC 407.4)</v>
      </c>
      <c r="AB51" s="196">
        <f>'[13]Lead E'!C50</f>
        <v>-1658222.0604590874</v>
      </c>
      <c r="AC51" s="196">
        <f>'[13]Lead E'!D50</f>
        <v>-1381851.7170492394</v>
      </c>
      <c r="AD51" s="196">
        <f t="shared" si="30"/>
        <v>276370.34340984793</v>
      </c>
      <c r="AE51" s="63"/>
      <c r="AO51" s="251"/>
      <c r="AP51" s="251"/>
      <c r="AQ51" s="251"/>
      <c r="AR51" s="251"/>
      <c r="AS51" s="251"/>
      <c r="AT51" s="251"/>
      <c r="AU51" s="251"/>
      <c r="AV51" s="251"/>
      <c r="AW51" s="251"/>
      <c r="AX51" s="251"/>
      <c r="AY51" s="251"/>
      <c r="AZ51" s="251"/>
      <c r="BA51" s="213"/>
      <c r="BB51" s="213"/>
      <c r="BC51" s="213"/>
      <c r="BD51" s="251"/>
      <c r="BE51" s="251"/>
      <c r="BF51" s="251"/>
      <c r="BG51" s="251"/>
      <c r="BH51" s="251"/>
      <c r="BI51" s="298">
        <f t="shared" si="13"/>
        <v>39</v>
      </c>
      <c r="BM51" s="8" t="str">
        <f>BM1</f>
        <v>Exh. MCC-2</v>
      </c>
      <c r="BN51" s="213"/>
      <c r="BO51" s="213"/>
    </row>
    <row r="52" spans="1:85" ht="13.5" thickBot="1">
      <c r="A52" s="253"/>
      <c r="B52" s="213"/>
      <c r="C52" s="213"/>
      <c r="D52" s="213"/>
      <c r="E52" s="213"/>
      <c r="F52" s="213"/>
      <c r="G52" s="213"/>
      <c r="L52" s="213"/>
      <c r="M52" s="213"/>
      <c r="N52" s="213"/>
      <c r="O52" s="213"/>
      <c r="P52" s="742" t="s">
        <v>252</v>
      </c>
      <c r="Q52" s="748"/>
      <c r="R52" s="742"/>
      <c r="S52" s="742" t="s">
        <v>252</v>
      </c>
      <c r="T52" s="208"/>
      <c r="U52" s="253">
        <f t="shared" si="25"/>
        <v>40</v>
      </c>
      <c r="V52" s="388"/>
      <c r="Z52" s="253">
        <f t="shared" si="10"/>
        <v>40</v>
      </c>
      <c r="AA52" s="255" t="str">
        <f>'[13]Lead E'!B51</f>
        <v>ELECTRON UNRECOVERED COST (2014 PCORC) (FERC 407.3)</v>
      </c>
      <c r="AB52" s="196">
        <f>'[13]Lead E'!C51</f>
        <v>3394820.4299999997</v>
      </c>
      <c r="AC52" s="196">
        <f>'[13]Lead E'!D51</f>
        <v>3786307.8400000003</v>
      </c>
      <c r="AD52" s="196">
        <f t="shared" si="30"/>
        <v>391487.41000000061</v>
      </c>
      <c r="AF52" s="251"/>
      <c r="AG52" s="251"/>
      <c r="AH52" s="251"/>
      <c r="AI52" s="251"/>
      <c r="AO52" s="251"/>
      <c r="AP52" s="251"/>
      <c r="AQ52" s="251"/>
      <c r="AR52" s="251"/>
      <c r="AS52" s="251"/>
      <c r="AT52" s="251"/>
      <c r="AU52" s="251"/>
      <c r="AV52" s="251"/>
      <c r="AW52" s="251"/>
      <c r="AX52" s="251"/>
      <c r="AY52" s="251"/>
      <c r="AZ52" s="251"/>
      <c r="BA52" s="213"/>
      <c r="BB52" s="213"/>
      <c r="BC52" s="213"/>
      <c r="BD52" s="251"/>
      <c r="BE52" s="251"/>
      <c r="BF52" s="251"/>
      <c r="BG52" s="251"/>
      <c r="BH52" s="251"/>
      <c r="BI52" s="298">
        <f t="shared" si="13"/>
        <v>40</v>
      </c>
      <c r="BM52" s="8" t="s">
        <v>1191</v>
      </c>
      <c r="BN52" s="213"/>
      <c r="BO52" s="213"/>
      <c r="CC52" s="63"/>
    </row>
    <row r="53" spans="1:85" ht="13.5" thickBot="1">
      <c r="A53" s="253"/>
      <c r="B53" s="213"/>
      <c r="C53" s="213"/>
      <c r="D53" s="213"/>
      <c r="E53" s="213"/>
      <c r="F53" s="213"/>
      <c r="G53" s="213"/>
      <c r="L53" s="213"/>
      <c r="M53" s="213"/>
      <c r="N53" s="213"/>
      <c r="O53" s="213"/>
      <c r="P53" s="742" t="s">
        <v>252</v>
      </c>
      <c r="Q53" s="748"/>
      <c r="R53" s="742"/>
      <c r="S53" s="742" t="s">
        <v>252</v>
      </c>
      <c r="T53" s="208"/>
      <c r="U53" s="253">
        <f t="shared" si="25"/>
        <v>41</v>
      </c>
      <c r="V53" s="958" t="s">
        <v>227</v>
      </c>
      <c r="Z53" s="253">
        <f t="shared" si="10"/>
        <v>41</v>
      </c>
      <c r="AA53" s="255" t="s">
        <v>655</v>
      </c>
      <c r="AB53" s="539">
        <f>SUM(AB37:AB52)</f>
        <v>15532986.914020382</v>
      </c>
      <c r="AC53" s="539">
        <f>SUM(AC37:AC52)+BB23</f>
        <v>14356593.326168342</v>
      </c>
      <c r="AD53" s="539">
        <f>SUM(AD37:AD52)</f>
        <v>-2671095.3099230588</v>
      </c>
      <c r="AF53" s="251"/>
      <c r="AG53" s="251"/>
      <c r="AH53" s="251"/>
      <c r="AI53" s="251"/>
      <c r="AO53" s="251"/>
      <c r="AP53" s="251"/>
      <c r="AQ53" s="251"/>
      <c r="AR53" s="251"/>
      <c r="AS53" s="251"/>
      <c r="AT53" s="251"/>
      <c r="AU53" s="251"/>
      <c r="AV53" s="251"/>
      <c r="AW53" s="251"/>
      <c r="AX53" s="251"/>
      <c r="AY53" s="251"/>
      <c r="AZ53" s="251"/>
      <c r="BA53" s="213"/>
      <c r="BB53" s="213"/>
      <c r="BC53" s="213"/>
      <c r="BD53" s="251"/>
      <c r="BE53" s="251"/>
      <c r="BF53" s="251"/>
      <c r="BG53" s="251"/>
      <c r="BH53" s="251"/>
      <c r="BI53" s="298">
        <f t="shared" si="13"/>
        <v>41</v>
      </c>
      <c r="BJ53" s="252" t="s">
        <v>844</v>
      </c>
      <c r="BL53" s="218"/>
      <c r="BM53" s="620">
        <f>BM4</f>
        <v>14.13</v>
      </c>
      <c r="BN53" s="213"/>
      <c r="BO53" s="213"/>
      <c r="CC53" s="63"/>
      <c r="CG53" s="28"/>
    </row>
    <row r="54" spans="1:85">
      <c r="A54" s="253"/>
      <c r="B54" s="213"/>
      <c r="C54" s="213"/>
      <c r="D54" s="213"/>
      <c r="E54" s="213"/>
      <c r="F54" s="213"/>
      <c r="G54" s="213"/>
      <c r="L54" s="213"/>
      <c r="M54" s="213"/>
      <c r="N54" s="213"/>
      <c r="O54" s="213"/>
      <c r="R54" s="208"/>
      <c r="S54" s="208"/>
      <c r="T54" s="208"/>
      <c r="U54" s="253">
        <f t="shared" si="25"/>
        <v>42</v>
      </c>
      <c r="V54" s="318" t="s">
        <v>478</v>
      </c>
      <c r="Y54" s="293"/>
      <c r="Z54" s="253">
        <f t="shared" si="10"/>
        <v>42</v>
      </c>
      <c r="AA54" s="209"/>
      <c r="AF54" s="251"/>
      <c r="AG54" s="251"/>
      <c r="AH54" s="251"/>
      <c r="AI54" s="251"/>
      <c r="AO54" s="251"/>
      <c r="AP54" s="251"/>
      <c r="AQ54" s="251"/>
      <c r="AR54" s="251"/>
      <c r="AS54" s="251"/>
      <c r="AT54" s="251"/>
      <c r="AU54" s="251"/>
      <c r="AV54" s="251"/>
      <c r="AW54" s="251"/>
      <c r="AX54" s="251"/>
      <c r="AY54" s="251"/>
      <c r="AZ54" s="251"/>
      <c r="BA54" s="213"/>
      <c r="BB54" s="213"/>
      <c r="BC54" s="213"/>
      <c r="BD54" s="251"/>
      <c r="BE54" s="251"/>
      <c r="BF54" s="251"/>
      <c r="BG54" s="251"/>
      <c r="BH54" s="251"/>
      <c r="BI54" s="298">
        <f t="shared" si="13"/>
        <v>42</v>
      </c>
      <c r="BJ54" s="299" t="s">
        <v>349</v>
      </c>
      <c r="BK54" s="331"/>
      <c r="BL54" s="218"/>
      <c r="BM54" s="218"/>
      <c r="BN54" s="213"/>
      <c r="BO54" s="213"/>
      <c r="CC54" s="63"/>
    </row>
    <row r="55" spans="1:85">
      <c r="A55" s="253"/>
      <c r="B55" s="213"/>
      <c r="C55" s="213"/>
      <c r="D55" s="213"/>
      <c r="E55" s="213"/>
      <c r="F55" s="213"/>
      <c r="G55" s="213"/>
      <c r="L55" s="213"/>
      <c r="M55" s="213"/>
      <c r="N55" s="213"/>
      <c r="O55" s="213"/>
      <c r="R55" s="208"/>
      <c r="S55" s="208"/>
      <c r="T55" s="208"/>
      <c r="U55" s="253">
        <f t="shared" si="25"/>
        <v>43</v>
      </c>
      <c r="V55" s="319" t="s">
        <v>1083</v>
      </c>
      <c r="W55" s="102">
        <f>'[47]Storm Damage Summary'!$C$57</f>
        <v>58370860</v>
      </c>
      <c r="Y55" s="293"/>
      <c r="Z55" s="253">
        <f t="shared" si="10"/>
        <v>43</v>
      </c>
      <c r="AF55" s="251"/>
      <c r="AG55" s="251"/>
      <c r="AH55" s="251"/>
      <c r="AI55" s="251"/>
      <c r="AO55" s="251"/>
      <c r="AP55" s="251"/>
      <c r="AQ55" s="251"/>
      <c r="AR55" s="251"/>
      <c r="AS55" s="251"/>
      <c r="AT55" s="251"/>
      <c r="AU55" s="251"/>
      <c r="AV55" s="251"/>
      <c r="AW55" s="251"/>
      <c r="AX55" s="251"/>
      <c r="AY55" s="251"/>
      <c r="AZ55" s="251"/>
      <c r="BA55" s="213"/>
      <c r="BB55" s="213"/>
      <c r="BC55" s="213"/>
      <c r="BD55" s="251"/>
      <c r="BE55" s="251"/>
      <c r="BF55" s="251"/>
      <c r="BG55" s="251"/>
      <c r="BH55" s="251"/>
      <c r="BI55" s="298">
        <f t="shared" si="13"/>
        <v>43</v>
      </c>
      <c r="BJ55" s="319" t="s">
        <v>552</v>
      </c>
      <c r="BK55" s="198">
        <f>'For Prod Adj Ratebase'!B13</f>
        <v>3862817966.5075002</v>
      </c>
      <c r="BL55" s="198">
        <f t="shared" ref="BL55:BL62" si="31">-ROUND(BK55*$BL$13,0)</f>
        <v>0</v>
      </c>
      <c r="BM55" s="198">
        <f t="shared" ref="BM55:BM62" si="32">SUM(BK55:BL55)</f>
        <v>3862817966.5075002</v>
      </c>
      <c r="BN55" s="213"/>
      <c r="BO55" s="213"/>
    </row>
    <row r="56" spans="1:85">
      <c r="A56" s="253"/>
      <c r="B56" s="213"/>
      <c r="C56" s="213"/>
      <c r="D56" s="213"/>
      <c r="E56" s="213"/>
      <c r="F56" s="213"/>
      <c r="G56" s="213"/>
      <c r="L56" s="213"/>
      <c r="M56" s="213"/>
      <c r="N56" s="213"/>
      <c r="O56" s="213"/>
      <c r="R56" s="208"/>
      <c r="S56" s="208"/>
      <c r="T56" s="208"/>
      <c r="U56" s="253">
        <f t="shared" si="25"/>
        <v>44</v>
      </c>
      <c r="V56" s="319" t="s">
        <v>1084</v>
      </c>
      <c r="W56" s="956">
        <f>W50</f>
        <v>-5877031</v>
      </c>
      <c r="X56" s="293"/>
      <c r="Y56" s="293"/>
      <c r="Z56" s="253">
        <f t="shared" si="10"/>
        <v>44</v>
      </c>
      <c r="AA56" s="209"/>
      <c r="AF56" s="251"/>
      <c r="AG56" s="251"/>
      <c r="AH56" s="251"/>
      <c r="AI56" s="251"/>
      <c r="AO56" s="251"/>
      <c r="AP56" s="251"/>
      <c r="AQ56" s="251"/>
      <c r="AR56" s="251"/>
      <c r="AS56" s="251"/>
      <c r="AT56" s="251"/>
      <c r="AU56" s="251"/>
      <c r="AV56" s="251"/>
      <c r="AW56" s="251"/>
      <c r="AX56" s="251"/>
      <c r="AY56" s="251"/>
      <c r="AZ56" s="251"/>
      <c r="BA56" s="213"/>
      <c r="BB56" s="213"/>
      <c r="BC56" s="213"/>
      <c r="BD56" s="251"/>
      <c r="BE56" s="251"/>
      <c r="BF56" s="251"/>
      <c r="BG56" s="251"/>
      <c r="BH56" s="251"/>
      <c r="BI56" s="298">
        <f t="shared" si="13"/>
        <v>44</v>
      </c>
      <c r="BJ56" s="255" t="s">
        <v>350</v>
      </c>
      <c r="BK56" s="167">
        <f>'For Prod Adj Ratebase'!C13</f>
        <v>-1615202751.772563</v>
      </c>
      <c r="BL56" s="167">
        <f t="shared" si="31"/>
        <v>0</v>
      </c>
      <c r="BM56" s="167">
        <f t="shared" si="32"/>
        <v>-1615202751.772563</v>
      </c>
      <c r="BN56" s="213"/>
      <c r="BO56" s="213"/>
    </row>
    <row r="57" spans="1:85">
      <c r="A57" s="253"/>
      <c r="B57" s="213"/>
      <c r="C57" s="213"/>
      <c r="D57" s="213"/>
      <c r="E57" s="213"/>
      <c r="F57" s="213"/>
      <c r="G57" s="213"/>
      <c r="L57" s="213"/>
      <c r="M57" s="213"/>
      <c r="N57" s="213"/>
      <c r="O57" s="213"/>
      <c r="R57" s="208"/>
      <c r="S57" s="208"/>
      <c r="T57" s="208"/>
      <c r="U57" s="253">
        <f t="shared" si="25"/>
        <v>45</v>
      </c>
      <c r="V57" s="388" t="s">
        <v>1085</v>
      </c>
      <c r="W57" s="956">
        <f>SUM(W55:W56)</f>
        <v>52493829</v>
      </c>
      <c r="X57" s="102">
        <f>W57/6</f>
        <v>8748971.5</v>
      </c>
      <c r="Y57" s="293"/>
      <c r="Z57" s="253">
        <f t="shared" si="10"/>
        <v>45</v>
      </c>
      <c r="AA57" s="225" t="s">
        <v>21</v>
      </c>
      <c r="AC57" s="157"/>
      <c r="AD57" s="138">
        <f>+AD53</f>
        <v>-2671095.3099230588</v>
      </c>
      <c r="AF57" s="251"/>
      <c r="AG57" s="251"/>
      <c r="AH57" s="251"/>
      <c r="AI57" s="251"/>
      <c r="AO57" s="251"/>
      <c r="AP57" s="251"/>
      <c r="AQ57" s="251"/>
      <c r="AR57" s="251"/>
      <c r="AS57" s="251"/>
      <c r="AT57" s="251"/>
      <c r="AU57" s="251"/>
      <c r="AV57" s="251"/>
      <c r="AW57" s="251"/>
      <c r="AX57" s="251"/>
      <c r="AY57" s="251"/>
      <c r="AZ57" s="251"/>
      <c r="BA57" s="213"/>
      <c r="BB57" s="213"/>
      <c r="BC57" s="213"/>
      <c r="BD57" s="251"/>
      <c r="BE57" s="251"/>
      <c r="BF57" s="251"/>
      <c r="BG57" s="251"/>
      <c r="BH57" s="251"/>
      <c r="BI57" s="298">
        <f t="shared" si="13"/>
        <v>45</v>
      </c>
      <c r="BJ57" s="255" t="s">
        <v>351</v>
      </c>
      <c r="BK57" s="167">
        <f>'For Prod Adj Ratebase'!D13</f>
        <v>80139253</v>
      </c>
      <c r="BL57" s="167">
        <f t="shared" si="31"/>
        <v>0</v>
      </c>
      <c r="BM57" s="167">
        <f t="shared" si="32"/>
        <v>80139253</v>
      </c>
      <c r="BN57" s="213"/>
      <c r="BO57" s="213"/>
    </row>
    <row r="58" spans="1:85">
      <c r="A58" s="253"/>
      <c r="B58" s="213"/>
      <c r="C58" s="213"/>
      <c r="D58" s="213"/>
      <c r="E58" s="213"/>
      <c r="F58" s="213"/>
      <c r="G58" s="213"/>
      <c r="R58" s="208"/>
      <c r="S58" s="208"/>
      <c r="T58" s="208"/>
      <c r="U58" s="253">
        <f t="shared" si="25"/>
        <v>46</v>
      </c>
      <c r="V58" s="52"/>
      <c r="W58" s="293"/>
      <c r="X58" s="297"/>
      <c r="Y58" s="293"/>
      <c r="Z58" s="253">
        <f t="shared" si="10"/>
        <v>46</v>
      </c>
      <c r="AA58" s="209"/>
      <c r="AC58" s="157"/>
      <c r="AD58" s="95"/>
      <c r="AF58" s="251"/>
      <c r="AG58" s="251"/>
      <c r="AH58" s="251"/>
      <c r="AI58" s="251"/>
      <c r="AO58" s="251"/>
      <c r="AP58" s="20"/>
      <c r="AQ58" s="251"/>
      <c r="AR58" s="251"/>
      <c r="AS58" s="251"/>
      <c r="AT58" s="251"/>
      <c r="AU58" s="20"/>
      <c r="AV58" s="251"/>
      <c r="AW58" s="251"/>
      <c r="AX58" s="251"/>
      <c r="AY58" s="251"/>
      <c r="AZ58" s="20"/>
      <c r="BA58" s="213"/>
      <c r="BB58" s="213"/>
      <c r="BC58" s="213"/>
      <c r="BD58" s="251"/>
      <c r="BE58" s="251"/>
      <c r="BF58" s="251"/>
      <c r="BG58" s="251"/>
      <c r="BH58" s="251"/>
      <c r="BI58" s="298">
        <f t="shared" si="13"/>
        <v>46</v>
      </c>
      <c r="BJ58" s="255" t="s">
        <v>352</v>
      </c>
      <c r="BK58" s="167">
        <f>'For Prod Adj Ratebase'!E13</f>
        <v>-9933315</v>
      </c>
      <c r="BL58" s="167">
        <f t="shared" si="31"/>
        <v>0</v>
      </c>
      <c r="BM58" s="167">
        <f t="shared" si="32"/>
        <v>-9933315</v>
      </c>
      <c r="BN58" s="213"/>
      <c r="BO58" s="213"/>
    </row>
    <row r="59" spans="1:85">
      <c r="A59" s="253"/>
      <c r="B59" s="213"/>
      <c r="C59" s="213"/>
      <c r="D59" s="213"/>
      <c r="E59" s="213"/>
      <c r="F59" s="213"/>
      <c r="G59" s="213"/>
      <c r="R59" s="208"/>
      <c r="S59" s="208"/>
      <c r="T59" s="208"/>
      <c r="U59" s="253">
        <f t="shared" si="25"/>
        <v>47</v>
      </c>
      <c r="V59" s="388" t="s">
        <v>1086</v>
      </c>
      <c r="W59" s="293"/>
      <c r="X59" s="102">
        <f>X41+X48+X57</f>
        <v>8748971.5</v>
      </c>
      <c r="Y59" s="293"/>
      <c r="Z59" s="253">
        <f t="shared" si="10"/>
        <v>47</v>
      </c>
      <c r="AA59" s="209" t="s">
        <v>17</v>
      </c>
      <c r="AC59" s="157">
        <v>0.35</v>
      </c>
      <c r="AD59" s="397">
        <f>-AD53*AC59</f>
        <v>934883.35847307055</v>
      </c>
      <c r="AF59" s="251"/>
      <c r="AG59" s="251"/>
      <c r="AH59" s="251"/>
      <c r="AI59" s="251"/>
      <c r="AO59" s="251"/>
      <c r="AP59" s="303"/>
      <c r="AQ59" s="251"/>
      <c r="AR59" s="251"/>
      <c r="AS59" s="251"/>
      <c r="AT59" s="251"/>
      <c r="AU59" s="303"/>
      <c r="AV59" s="251"/>
      <c r="AW59" s="251"/>
      <c r="AX59" s="251"/>
      <c r="AY59" s="251"/>
      <c r="AZ59" s="303"/>
      <c r="BA59" s="213"/>
      <c r="BB59" s="213"/>
      <c r="BC59" s="213"/>
      <c r="BD59" s="251"/>
      <c r="BE59" s="251"/>
      <c r="BF59" s="251"/>
      <c r="BG59" s="251"/>
      <c r="BH59" s="251"/>
      <c r="BI59" s="298">
        <f t="shared" si="13"/>
        <v>47</v>
      </c>
      <c r="BJ59" s="319" t="s">
        <v>329</v>
      </c>
      <c r="BK59" s="167">
        <f>+'For Prod Adj Ratebase'!I16</f>
        <v>2908282.4799999148</v>
      </c>
      <c r="BL59" s="167">
        <f t="shared" si="31"/>
        <v>0</v>
      </c>
      <c r="BM59" s="167">
        <f t="shared" si="32"/>
        <v>2908282.4799999148</v>
      </c>
      <c r="BN59" s="213"/>
      <c r="BO59" s="213"/>
    </row>
    <row r="60" spans="1:85">
      <c r="A60" s="253"/>
      <c r="B60" s="213"/>
      <c r="C60" s="213"/>
      <c r="D60" s="213"/>
      <c r="E60" s="213"/>
      <c r="F60" s="213"/>
      <c r="G60" s="213"/>
      <c r="R60" s="208"/>
      <c r="S60" s="208"/>
      <c r="T60" s="208"/>
      <c r="U60" s="253">
        <f t="shared" si="25"/>
        <v>48</v>
      </c>
      <c r="V60" s="388" t="s">
        <v>1087</v>
      </c>
      <c r="W60" s="293"/>
      <c r="X60" s="102">
        <f>'[50]Lead E'!$D$56</f>
        <v>15477396</v>
      </c>
      <c r="Y60" s="293"/>
      <c r="Z60" s="253">
        <f t="shared" si="10"/>
        <v>48</v>
      </c>
      <c r="AA60" s="209"/>
      <c r="AF60" s="251"/>
      <c r="AG60" s="251"/>
      <c r="AH60" s="251"/>
      <c r="AI60" s="251"/>
      <c r="AO60" s="251"/>
      <c r="AP60" s="303"/>
      <c r="AQ60" s="251"/>
      <c r="AR60" s="251"/>
      <c r="AS60" s="251"/>
      <c r="AT60" s="251"/>
      <c r="AU60" s="303"/>
      <c r="AV60" s="251"/>
      <c r="AW60" s="251"/>
      <c r="AX60" s="251"/>
      <c r="AY60" s="251"/>
      <c r="AZ60" s="303"/>
      <c r="BA60" s="213"/>
      <c r="BB60" s="213"/>
      <c r="BC60" s="213"/>
      <c r="BD60" s="251"/>
      <c r="BE60" s="251"/>
      <c r="BF60" s="251"/>
      <c r="BG60" s="251"/>
      <c r="BH60" s="251"/>
      <c r="BI60" s="298">
        <f t="shared" si="13"/>
        <v>48</v>
      </c>
      <c r="BJ60" s="319" t="s">
        <v>330</v>
      </c>
      <c r="BK60" s="167">
        <f>+'For Prod Adj Ratebase'!I17</f>
        <v>858922.41599999997</v>
      </c>
      <c r="BL60" s="167">
        <f t="shared" si="31"/>
        <v>0</v>
      </c>
      <c r="BM60" s="167">
        <f t="shared" si="32"/>
        <v>858922.41599999997</v>
      </c>
      <c r="BN60" s="213"/>
      <c r="BO60" s="213"/>
    </row>
    <row r="61" spans="1:85" ht="13.5" thickBot="1">
      <c r="A61" s="253"/>
      <c r="B61" s="213"/>
      <c r="C61" s="213"/>
      <c r="D61" s="213"/>
      <c r="E61" s="213"/>
      <c r="F61" s="213"/>
      <c r="G61" s="213"/>
      <c r="R61" s="208"/>
      <c r="S61" s="208"/>
      <c r="T61" s="208"/>
      <c r="U61" s="253">
        <f t="shared" si="25"/>
        <v>49</v>
      </c>
      <c r="V61" s="388"/>
      <c r="W61" s="293"/>
      <c r="X61" s="352"/>
      <c r="Y61" s="293"/>
      <c r="Z61" s="253">
        <f t="shared" si="10"/>
        <v>49</v>
      </c>
      <c r="AA61" s="209" t="s">
        <v>109</v>
      </c>
      <c r="AD61" s="204">
        <f>-AD57-AD59</f>
        <v>1736211.9514499884</v>
      </c>
      <c r="AF61" s="251"/>
      <c r="AG61" s="251"/>
      <c r="AH61" s="251"/>
      <c r="AI61" s="251"/>
      <c r="AO61" s="251"/>
      <c r="AP61" s="303"/>
      <c r="AQ61" s="251"/>
      <c r="AR61" s="251"/>
      <c r="AS61" s="251"/>
      <c r="AT61" s="251"/>
      <c r="AU61" s="303"/>
      <c r="AV61" s="251"/>
      <c r="AW61" s="251"/>
      <c r="AX61" s="251"/>
      <c r="AY61" s="251"/>
      <c r="AZ61" s="303"/>
      <c r="BA61" s="213"/>
      <c r="BB61" s="213"/>
      <c r="BC61" s="213"/>
      <c r="BD61" s="251"/>
      <c r="BE61" s="251"/>
      <c r="BF61" s="251"/>
      <c r="BG61" s="251"/>
      <c r="BH61" s="251"/>
      <c r="BI61" s="298">
        <f t="shared" si="13"/>
        <v>49</v>
      </c>
      <c r="BJ61" s="319" t="s">
        <v>353</v>
      </c>
      <c r="BK61" s="167">
        <f>'For Prod Adj Ratebase'!F13</f>
        <v>281543145</v>
      </c>
      <c r="BL61" s="167">
        <f t="shared" si="31"/>
        <v>0</v>
      </c>
      <c r="BM61" s="167">
        <f t="shared" si="32"/>
        <v>281543145</v>
      </c>
      <c r="BN61" s="213"/>
      <c r="BO61" s="213"/>
    </row>
    <row r="62" spans="1:85" ht="13.5" thickTop="1">
      <c r="A62" s="253"/>
      <c r="B62" s="213"/>
      <c r="C62" s="213"/>
      <c r="D62" s="213"/>
      <c r="E62" s="213"/>
      <c r="F62" s="213"/>
      <c r="G62" s="213"/>
      <c r="R62" s="208"/>
      <c r="S62" s="208"/>
      <c r="T62" s="208"/>
      <c r="U62" s="253">
        <f t="shared" si="25"/>
        <v>50</v>
      </c>
      <c r="V62" s="37" t="s">
        <v>199</v>
      </c>
      <c r="W62" s="293"/>
      <c r="X62" s="293"/>
      <c r="Y62" s="102">
        <f>X59-X60</f>
        <v>-6728424.5</v>
      </c>
      <c r="Z62" s="253">
        <f t="shared" si="10"/>
        <v>50</v>
      </c>
      <c r="AA62" s="213"/>
      <c r="AB62" s="218"/>
      <c r="AC62" s="218"/>
      <c r="AD62" s="218"/>
      <c r="AF62" s="251"/>
      <c r="AG62" s="251"/>
      <c r="AH62" s="251"/>
      <c r="AI62" s="251"/>
      <c r="AO62" s="251"/>
      <c r="AP62" s="303"/>
      <c r="AQ62" s="251"/>
      <c r="AR62" s="251"/>
      <c r="AS62" s="251"/>
      <c r="AT62" s="251"/>
      <c r="AU62" s="303"/>
      <c r="AV62" s="251"/>
      <c r="AW62" s="251"/>
      <c r="AX62" s="251"/>
      <c r="AY62" s="251"/>
      <c r="AZ62" s="303"/>
      <c r="BA62" s="213"/>
      <c r="BB62" s="213"/>
      <c r="BC62" s="213"/>
      <c r="BD62" s="251"/>
      <c r="BE62" s="251"/>
      <c r="BF62" s="251"/>
      <c r="BG62" s="251"/>
      <c r="BH62" s="251"/>
      <c r="BI62" s="298">
        <f t="shared" si="13"/>
        <v>50</v>
      </c>
      <c r="BJ62" s="255" t="s">
        <v>354</v>
      </c>
      <c r="BK62" s="167">
        <f>'For Prod Adj Ratebase'!G13</f>
        <v>-113037112</v>
      </c>
      <c r="BL62" s="167">
        <f t="shared" si="31"/>
        <v>0</v>
      </c>
      <c r="BM62" s="167">
        <f t="shared" si="32"/>
        <v>-113037112</v>
      </c>
      <c r="BN62" s="213"/>
      <c r="BO62" s="213"/>
    </row>
    <row r="63" spans="1:85">
      <c r="A63" s="253"/>
      <c r="B63" s="213"/>
      <c r="C63" s="213"/>
      <c r="D63" s="213"/>
      <c r="E63" s="213"/>
      <c r="F63" s="213"/>
      <c r="G63" s="213"/>
      <c r="R63" s="208"/>
      <c r="S63" s="208"/>
      <c r="T63" s="208"/>
      <c r="U63" s="253">
        <f t="shared" si="25"/>
        <v>51</v>
      </c>
      <c r="V63" s="388"/>
      <c r="W63" s="293"/>
      <c r="X63" s="293"/>
      <c r="Y63" s="293"/>
      <c r="Z63" s="253">
        <f t="shared" si="10"/>
        <v>51</v>
      </c>
      <c r="AA63" s="213"/>
      <c r="AB63" s="218"/>
      <c r="AC63" s="218"/>
      <c r="AD63" s="218"/>
      <c r="AF63" s="251"/>
      <c r="AG63" s="251"/>
      <c r="AH63" s="251"/>
      <c r="AI63" s="251"/>
      <c r="AO63" s="251"/>
      <c r="AP63" s="303"/>
      <c r="AQ63" s="251"/>
      <c r="AR63" s="251"/>
      <c r="AS63" s="251"/>
      <c r="AT63" s="251"/>
      <c r="AU63" s="303"/>
      <c r="AV63" s="251"/>
      <c r="AW63" s="251"/>
      <c r="AX63" s="251"/>
      <c r="AY63" s="251"/>
      <c r="AZ63" s="303"/>
      <c r="BA63" s="251"/>
      <c r="BB63" s="251"/>
      <c r="BC63" s="251"/>
      <c r="BD63" s="251"/>
      <c r="BE63" s="251"/>
      <c r="BF63" s="251"/>
      <c r="BG63" s="251"/>
      <c r="BH63" s="251"/>
      <c r="BI63" s="298">
        <f t="shared" si="13"/>
        <v>51</v>
      </c>
      <c r="BJ63" s="388" t="s">
        <v>29</v>
      </c>
      <c r="BK63" s="221">
        <f>SUM(BK55:BK62)</f>
        <v>2490094390.6309371</v>
      </c>
      <c r="BL63" s="221">
        <f>SUM(BL55:BL62)</f>
        <v>0</v>
      </c>
      <c r="BM63" s="221">
        <f>SUM(BM55:BM62)</f>
        <v>2490094390.6309371</v>
      </c>
      <c r="BN63" s="213"/>
      <c r="BO63" s="213"/>
    </row>
    <row r="64" spans="1:85">
      <c r="A64" s="253"/>
      <c r="B64" s="213"/>
      <c r="C64" s="213"/>
      <c r="D64" s="213"/>
      <c r="E64" s="213"/>
      <c r="F64" s="213"/>
      <c r="G64" s="213"/>
      <c r="R64" s="208"/>
      <c r="S64" s="208"/>
      <c r="T64" s="208"/>
      <c r="U64" s="253">
        <f t="shared" si="25"/>
        <v>52</v>
      </c>
      <c r="V64" s="242" t="s">
        <v>1088</v>
      </c>
      <c r="W64" s="293"/>
      <c r="X64" s="293"/>
      <c r="Y64" s="102">
        <f>Y28+Y62</f>
        <v>981068.18499999493</v>
      </c>
      <c r="Z64" s="253">
        <f t="shared" si="10"/>
        <v>52</v>
      </c>
      <c r="AA64" s="178" t="s">
        <v>836</v>
      </c>
      <c r="AB64" s="218"/>
      <c r="AC64" s="218"/>
      <c r="AD64" s="218"/>
      <c r="AF64" s="251"/>
      <c r="AG64" s="251"/>
      <c r="AH64" s="251"/>
      <c r="AI64" s="251"/>
      <c r="AO64" s="251"/>
      <c r="AP64" s="303"/>
      <c r="AQ64" s="251"/>
      <c r="AR64" s="251"/>
      <c r="AS64" s="251"/>
      <c r="AT64" s="251"/>
      <c r="AU64" s="303"/>
      <c r="AV64" s="251"/>
      <c r="AW64" s="251"/>
      <c r="AX64" s="251"/>
      <c r="AY64" s="251"/>
      <c r="AZ64" s="303"/>
      <c r="BA64" s="251"/>
      <c r="BB64" s="251"/>
      <c r="BC64" s="251"/>
      <c r="BD64" s="251"/>
      <c r="BE64" s="251"/>
      <c r="BF64" s="251"/>
      <c r="BG64" s="251"/>
      <c r="BH64" s="251"/>
      <c r="BI64" s="298">
        <f t="shared" si="13"/>
        <v>52</v>
      </c>
      <c r="BN64" s="213"/>
      <c r="BO64" s="213"/>
    </row>
    <row r="65" spans="1:67">
      <c r="A65" s="253"/>
      <c r="B65" s="213"/>
      <c r="C65" s="213"/>
      <c r="D65" s="213"/>
      <c r="E65" s="213"/>
      <c r="F65" s="213"/>
      <c r="G65" s="213"/>
      <c r="R65" s="208"/>
      <c r="S65" s="208"/>
      <c r="T65" s="208"/>
      <c r="U65" s="253">
        <f t="shared" si="25"/>
        <v>53</v>
      </c>
      <c r="V65" s="320"/>
      <c r="W65" s="293"/>
      <c r="X65" s="293"/>
      <c r="Y65" s="293"/>
      <c r="Z65" s="253">
        <f t="shared" si="10"/>
        <v>53</v>
      </c>
      <c r="AA65" s="178" t="s">
        <v>837</v>
      </c>
      <c r="AB65" s="218"/>
      <c r="AC65" s="218"/>
      <c r="AD65" s="218"/>
      <c r="AF65" s="251"/>
      <c r="AG65" s="251"/>
      <c r="AH65" s="251"/>
      <c r="AI65" s="251"/>
      <c r="AO65" s="251"/>
      <c r="AP65" s="303"/>
      <c r="AQ65" s="251"/>
      <c r="AR65" s="251"/>
      <c r="AS65" s="251"/>
      <c r="AT65" s="251"/>
      <c r="AU65" s="303"/>
      <c r="AV65" s="251"/>
      <c r="AW65" s="251"/>
      <c r="AX65" s="251"/>
      <c r="AY65" s="251"/>
      <c r="AZ65" s="303"/>
      <c r="BA65" s="251"/>
      <c r="BB65" s="251"/>
      <c r="BC65" s="251"/>
      <c r="BD65" s="251"/>
      <c r="BE65" s="251"/>
      <c r="BF65" s="251"/>
      <c r="BG65" s="251"/>
      <c r="BH65" s="251"/>
      <c r="BI65" s="298">
        <f t="shared" si="13"/>
        <v>53</v>
      </c>
      <c r="BN65" s="213"/>
      <c r="BO65" s="213"/>
    </row>
    <row r="66" spans="1:67">
      <c r="A66" s="253"/>
      <c r="B66" s="213"/>
      <c r="C66" s="213"/>
      <c r="D66" s="213"/>
      <c r="E66" s="213"/>
      <c r="F66" s="213"/>
      <c r="G66" s="213"/>
      <c r="R66" s="208"/>
      <c r="S66" s="208"/>
      <c r="T66" s="208"/>
      <c r="U66" s="253">
        <f t="shared" si="25"/>
        <v>54</v>
      </c>
      <c r="V66" s="320" t="s">
        <v>1089</v>
      </c>
      <c r="W66" s="293"/>
      <c r="X66" s="294">
        <f>k_FITrate</f>
        <v>0.35</v>
      </c>
      <c r="Y66" s="960">
        <f>-Y64*X66</f>
        <v>-343373.8647499982</v>
      </c>
      <c r="Z66" s="253">
        <f t="shared" si="10"/>
        <v>54</v>
      </c>
      <c r="AA66" s="178" t="s">
        <v>838</v>
      </c>
      <c r="AB66" s="213"/>
      <c r="AC66" s="213"/>
      <c r="AD66" s="213"/>
      <c r="AF66" s="251"/>
      <c r="AG66" s="251"/>
      <c r="AH66" s="251"/>
      <c r="AI66" s="251"/>
      <c r="AO66" s="251"/>
      <c r="AP66" s="199"/>
      <c r="AQ66" s="251"/>
      <c r="AR66" s="251"/>
      <c r="AS66" s="251"/>
      <c r="AT66" s="251"/>
      <c r="AU66" s="199"/>
      <c r="AV66" s="251"/>
      <c r="AW66" s="251"/>
      <c r="AX66" s="251"/>
      <c r="AY66" s="251"/>
      <c r="AZ66" s="199"/>
      <c r="BA66" s="251"/>
      <c r="BB66" s="251"/>
      <c r="BC66" s="251"/>
      <c r="BD66" s="251"/>
      <c r="BE66" s="213"/>
      <c r="BF66" s="213"/>
      <c r="BG66" s="213"/>
      <c r="BH66" s="213"/>
      <c r="BI66" s="298">
        <f t="shared" si="13"/>
        <v>54</v>
      </c>
      <c r="BJ66" s="299" t="s">
        <v>355</v>
      </c>
      <c r="BK66" s="331"/>
      <c r="BL66" s="331"/>
      <c r="BM66" s="388"/>
      <c r="BN66" s="213"/>
      <c r="BO66" s="213"/>
    </row>
    <row r="67" spans="1:67">
      <c r="A67" s="253"/>
      <c r="B67" s="213"/>
      <c r="C67" s="213"/>
      <c r="D67" s="213"/>
      <c r="E67" s="213"/>
      <c r="F67" s="213"/>
      <c r="G67" s="213"/>
      <c r="R67" s="208"/>
      <c r="S67" s="208"/>
      <c r="T67" s="208"/>
      <c r="U67" s="253">
        <f t="shared" si="25"/>
        <v>55</v>
      </c>
      <c r="V67" s="320"/>
      <c r="W67" s="293"/>
      <c r="X67" s="293"/>
      <c r="Y67" s="293"/>
      <c r="Z67" s="253"/>
      <c r="AA67" s="213"/>
      <c r="AB67" s="213"/>
      <c r="AC67" s="213"/>
      <c r="AD67" s="213"/>
      <c r="AF67" s="251"/>
      <c r="AG67" s="251"/>
      <c r="AH67" s="251"/>
      <c r="AI67" s="251"/>
      <c r="AO67" s="251"/>
      <c r="AP67" s="251"/>
      <c r="AQ67" s="251"/>
      <c r="AR67" s="251"/>
      <c r="AS67" s="251"/>
      <c r="AT67" s="251"/>
      <c r="AU67" s="251"/>
      <c r="AV67" s="251"/>
      <c r="AW67" s="213"/>
      <c r="AX67" s="213"/>
      <c r="AY67" s="251"/>
      <c r="AZ67" s="251"/>
      <c r="BA67" s="251"/>
      <c r="BB67" s="213"/>
      <c r="BC67" s="213"/>
      <c r="BD67" s="213"/>
      <c r="BE67" s="627"/>
      <c r="BF67" s="627"/>
      <c r="BG67" s="627"/>
      <c r="BI67" s="298">
        <f t="shared" si="13"/>
        <v>55</v>
      </c>
      <c r="BJ67" s="319" t="s">
        <v>157</v>
      </c>
      <c r="BK67" s="331">
        <f>'For Prod Adj Ratebase'!H13</f>
        <v>-513042623.97680533</v>
      </c>
      <c r="BL67" s="167">
        <f>-ROUND(BK67*$BL$13,0)</f>
        <v>0</v>
      </c>
      <c r="BM67" s="331">
        <f>SUM(BK67:BL67)</f>
        <v>-513042623.97680533</v>
      </c>
      <c r="BN67" s="213"/>
      <c r="BO67" s="213"/>
    </row>
    <row r="68" spans="1:67" ht="13.5" thickBot="1">
      <c r="A68" s="253"/>
      <c r="B68" s="629"/>
      <c r="C68" s="213"/>
      <c r="D68" s="213"/>
      <c r="F68" s="627"/>
      <c r="G68" s="627"/>
      <c r="H68" s="627"/>
      <c r="I68" s="627"/>
      <c r="K68" s="627"/>
      <c r="L68" s="627"/>
      <c r="M68" s="627"/>
      <c r="N68" s="627"/>
      <c r="P68" s="627"/>
      <c r="Q68" s="627"/>
      <c r="R68" s="627"/>
      <c r="S68" s="627"/>
      <c r="U68" s="253">
        <f t="shared" si="25"/>
        <v>56</v>
      </c>
      <c r="V68" s="320" t="s">
        <v>109</v>
      </c>
      <c r="W68" s="52"/>
      <c r="X68" s="293"/>
      <c r="Y68" s="961">
        <f>-Y64-Y66</f>
        <v>-637694.32024999673</v>
      </c>
      <c r="Z68" s="627"/>
      <c r="AA68" s="627"/>
      <c r="AB68" s="627"/>
      <c r="AC68" s="627"/>
      <c r="AE68" s="627"/>
      <c r="AF68" s="627"/>
      <c r="AG68" s="627"/>
      <c r="AH68" s="627"/>
      <c r="AJ68" s="627"/>
      <c r="AK68" s="627"/>
      <c r="AL68" s="627"/>
      <c r="AM68" s="627"/>
      <c r="AO68" s="627"/>
      <c r="AP68" s="627"/>
      <c r="AQ68" s="627"/>
      <c r="AR68" s="627"/>
      <c r="AT68" s="627"/>
      <c r="AU68" s="627"/>
      <c r="AV68" s="627"/>
      <c r="AW68" s="627"/>
      <c r="AY68" s="627"/>
      <c r="AZ68" s="627"/>
      <c r="BA68" s="627"/>
      <c r="BB68" s="627"/>
      <c r="BD68" s="627"/>
      <c r="BE68" s="213"/>
      <c r="BF68" s="213"/>
      <c r="BG68" s="213"/>
      <c r="BI68" s="298">
        <f t="shared" si="13"/>
        <v>56</v>
      </c>
      <c r="BJ68" s="255" t="s">
        <v>356</v>
      </c>
      <c r="BK68" s="331">
        <f>+'For Prod Adj Ratebase'!I18</f>
        <v>48295905.063545831</v>
      </c>
      <c r="BL68" s="167">
        <f>-ROUND(BK68*$BL$13,0)</f>
        <v>0</v>
      </c>
      <c r="BM68" s="331">
        <f>SUM(BK68:BL68)</f>
        <v>48295905.063545831</v>
      </c>
      <c r="BN68" s="213"/>
      <c r="BO68" s="213"/>
    </row>
    <row r="69" spans="1:67" ht="13.5" thickTop="1">
      <c r="A69" s="253"/>
      <c r="B69" s="213"/>
      <c r="C69" s="213"/>
      <c r="D69" s="213"/>
      <c r="F69" s="213"/>
      <c r="G69" s="213"/>
      <c r="H69" s="213"/>
      <c r="I69" s="213"/>
      <c r="K69" s="213"/>
      <c r="L69" s="213"/>
      <c r="M69" s="213"/>
      <c r="N69" s="213"/>
      <c r="P69" s="213"/>
      <c r="Q69" s="213"/>
      <c r="R69" s="213"/>
      <c r="S69" s="213"/>
      <c r="U69" s="839"/>
      <c r="V69" s="836" t="s">
        <v>852</v>
      </c>
      <c r="W69" s="52"/>
      <c r="X69" s="52"/>
      <c r="Y69" s="52"/>
      <c r="Z69" s="213"/>
      <c r="AA69" s="213"/>
      <c r="AB69" s="213"/>
      <c r="AC69" s="213"/>
      <c r="AE69" s="213"/>
      <c r="AF69" s="213"/>
      <c r="AG69" s="213"/>
      <c r="AH69" s="213"/>
      <c r="AJ69" s="213"/>
      <c r="AK69" s="213"/>
      <c r="AL69" s="213"/>
      <c r="AM69" s="213"/>
      <c r="AO69" s="213"/>
      <c r="AP69" s="213"/>
      <c r="AQ69" s="213"/>
      <c r="AR69" s="213"/>
      <c r="AT69" s="213"/>
      <c r="AU69" s="213"/>
      <c r="AV69" s="213"/>
      <c r="AW69" s="213"/>
      <c r="AY69" s="213"/>
      <c r="AZ69" s="213"/>
      <c r="BA69" s="213"/>
      <c r="BB69" s="213"/>
      <c r="BD69" s="213"/>
      <c r="BE69" s="627"/>
      <c r="BF69" s="627"/>
      <c r="BG69" s="627"/>
      <c r="BI69" s="298">
        <f t="shared" si="13"/>
        <v>57</v>
      </c>
      <c r="BJ69" s="255" t="s">
        <v>357</v>
      </c>
      <c r="BK69" s="331"/>
      <c r="BL69" s="167">
        <f>-ROUND(BK69*$BL$13,0)</f>
        <v>0</v>
      </c>
      <c r="BM69" s="331">
        <f>SUM(BK69:BL69)</f>
        <v>0</v>
      </c>
      <c r="BN69" s="213"/>
      <c r="BO69" s="213"/>
    </row>
    <row r="70" spans="1:67">
      <c r="A70" s="253"/>
      <c r="B70" s="629"/>
      <c r="C70" s="213"/>
      <c r="D70" s="213"/>
      <c r="F70" s="627"/>
      <c r="G70" s="627"/>
      <c r="H70" s="627"/>
      <c r="I70" s="627"/>
      <c r="K70" s="627"/>
      <c r="L70" s="627"/>
      <c r="M70" s="627"/>
      <c r="N70" s="627"/>
      <c r="P70" s="627"/>
      <c r="Q70" s="627"/>
      <c r="R70" s="627"/>
      <c r="S70" s="627"/>
      <c r="U70" s="213"/>
      <c r="X70" s="52"/>
      <c r="Y70" s="293"/>
      <c r="Z70" s="627"/>
      <c r="AA70" s="627"/>
      <c r="AB70" s="627"/>
      <c r="AC70" s="627"/>
      <c r="AE70" s="627"/>
      <c r="AF70" s="627"/>
      <c r="AG70" s="627"/>
      <c r="AH70" s="627"/>
      <c r="AJ70" s="627"/>
      <c r="AK70" s="627"/>
      <c r="AL70" s="627"/>
      <c r="AM70" s="627"/>
      <c r="AO70" s="627"/>
      <c r="AP70" s="627"/>
      <c r="AQ70" s="627"/>
      <c r="AR70" s="627"/>
      <c r="AT70" s="627"/>
      <c r="AU70" s="627"/>
      <c r="AV70" s="627"/>
      <c r="AW70" s="627"/>
      <c r="AY70" s="627"/>
      <c r="AZ70" s="627"/>
      <c r="BA70" s="627"/>
      <c r="BB70" s="627"/>
      <c r="BD70" s="627"/>
      <c r="BE70" s="213"/>
      <c r="BF70" s="213"/>
      <c r="BG70" s="213"/>
      <c r="BI70" s="298">
        <f t="shared" si="13"/>
        <v>58</v>
      </c>
      <c r="BJ70" s="255" t="s">
        <v>358</v>
      </c>
      <c r="BK70" s="331"/>
      <c r="BL70" s="167">
        <f>-ROUND(BK70*$BL$13,0)</f>
        <v>0</v>
      </c>
      <c r="BM70" s="331">
        <f>SUM(BK70:BL70)</f>
        <v>0</v>
      </c>
      <c r="BN70" s="213"/>
      <c r="BO70" s="213"/>
    </row>
    <row r="71" spans="1:67">
      <c r="A71" s="253"/>
      <c r="B71" s="213"/>
      <c r="C71" s="213"/>
      <c r="D71" s="213"/>
      <c r="F71" s="213"/>
      <c r="G71" s="213"/>
      <c r="U71" s="839"/>
      <c r="V71" s="839"/>
      <c r="W71" s="839"/>
      <c r="Z71" s="253"/>
      <c r="AA71" s="213"/>
      <c r="AB71" s="213"/>
      <c r="AC71" s="213"/>
      <c r="AF71" s="251"/>
      <c r="AG71" s="251"/>
      <c r="AH71" s="251"/>
      <c r="AO71" s="251"/>
      <c r="AP71" s="251"/>
      <c r="AQ71" s="251"/>
      <c r="AR71" s="251"/>
      <c r="AT71" s="251"/>
      <c r="AU71" s="251"/>
      <c r="AV71" s="251"/>
      <c r="AW71" s="213"/>
      <c r="AY71" s="251"/>
      <c r="AZ71" s="251"/>
      <c r="BA71" s="251"/>
      <c r="BB71" s="213"/>
      <c r="BD71" s="213"/>
      <c r="BE71" s="213"/>
      <c r="BF71" s="213"/>
      <c r="BG71" s="213"/>
      <c r="BI71" s="298">
        <f t="shared" si="13"/>
        <v>59</v>
      </c>
      <c r="BJ71" s="242" t="s">
        <v>138</v>
      </c>
      <c r="BK71" s="221">
        <f>SUM(BK67:BK70)</f>
        <v>-464746718.91325951</v>
      </c>
      <c r="BL71" s="221">
        <f>SUM(BL67:BL70)</f>
        <v>0</v>
      </c>
      <c r="BM71" s="221">
        <f>SUM(BM67:BM70)</f>
        <v>-464746718.91325951</v>
      </c>
      <c r="BN71" s="213"/>
      <c r="BO71" s="213"/>
    </row>
    <row r="72" spans="1:67">
      <c r="A72" s="253"/>
      <c r="B72" s="629"/>
      <c r="C72" s="213"/>
      <c r="D72" s="213"/>
      <c r="F72" s="213"/>
      <c r="G72" s="213"/>
      <c r="H72" s="251"/>
      <c r="I72" s="251"/>
      <c r="V72" s="213"/>
      <c r="W72" s="213"/>
      <c r="X72" s="839"/>
      <c r="Z72" s="213"/>
      <c r="AA72" s="213"/>
      <c r="AB72" s="213"/>
      <c r="AC72" s="213"/>
      <c r="AF72" s="251"/>
      <c r="AG72" s="251"/>
      <c r="AH72" s="251"/>
      <c r="AO72" s="251"/>
      <c r="AP72" s="251"/>
      <c r="AQ72" s="251"/>
      <c r="AR72" s="251"/>
      <c r="AT72" s="251"/>
      <c r="AU72" s="251"/>
      <c r="AV72" s="251"/>
      <c r="AW72" s="213"/>
      <c r="AY72" s="251"/>
      <c r="AZ72" s="251"/>
      <c r="BA72" s="251"/>
      <c r="BB72" s="213"/>
      <c r="BD72" s="213"/>
      <c r="BE72" s="213"/>
      <c r="BF72" s="213"/>
      <c r="BG72" s="213"/>
      <c r="BI72" s="298">
        <f t="shared" si="13"/>
        <v>60</v>
      </c>
      <c r="BJ72" s="319"/>
      <c r="BK72" s="221"/>
      <c r="BL72" s="221"/>
      <c r="BM72" s="221"/>
      <c r="BN72" s="213"/>
      <c r="BO72" s="213"/>
    </row>
    <row r="73" spans="1:67">
      <c r="A73" s="253"/>
      <c r="B73" s="218"/>
      <c r="C73" s="213"/>
      <c r="D73" s="213"/>
      <c r="F73" s="213"/>
      <c r="G73" s="213"/>
      <c r="H73" s="251"/>
      <c r="I73" s="251"/>
      <c r="V73" s="839"/>
      <c r="W73" s="839"/>
      <c r="X73" s="213"/>
      <c r="Z73" s="213"/>
      <c r="AA73" s="213"/>
      <c r="AB73" s="213"/>
      <c r="AC73" s="213"/>
      <c r="AF73" s="251"/>
      <c r="AG73" s="251"/>
      <c r="AH73" s="251"/>
      <c r="AO73" s="251"/>
      <c r="AP73" s="251"/>
      <c r="AQ73" s="251"/>
      <c r="AR73" s="251"/>
      <c r="AT73" s="251"/>
      <c r="AU73" s="251"/>
      <c r="AV73" s="251"/>
      <c r="AW73" s="213"/>
      <c r="AY73" s="251"/>
      <c r="AZ73" s="251"/>
      <c r="BA73" s="251"/>
      <c r="BB73" s="213"/>
      <c r="BD73" s="213"/>
      <c r="BE73" s="251"/>
      <c r="BF73" s="251"/>
      <c r="BG73" s="251"/>
      <c r="BI73" s="298">
        <f t="shared" si="13"/>
        <v>61</v>
      </c>
      <c r="BJ73" s="242" t="s">
        <v>359</v>
      </c>
      <c r="BK73" s="167">
        <f>BK63+BK71</f>
        <v>2025347671.7176776</v>
      </c>
      <c r="BL73" s="167">
        <f>BL63+BL71</f>
        <v>0</v>
      </c>
      <c r="BM73" s="167">
        <f>BM63+BM71</f>
        <v>2025347671.7176776</v>
      </c>
      <c r="BN73" s="213"/>
      <c r="BO73" s="213"/>
    </row>
    <row r="74" spans="1:67">
      <c r="A74" s="253"/>
      <c r="B74" s="629"/>
      <c r="C74" s="213"/>
      <c r="D74" s="213"/>
      <c r="F74" s="213"/>
      <c r="G74" s="213"/>
      <c r="H74" s="251"/>
      <c r="I74" s="251"/>
      <c r="V74" s="52"/>
      <c r="W74" s="52"/>
      <c r="X74" s="839"/>
      <c r="Z74" s="213"/>
      <c r="AA74" s="213"/>
      <c r="AB74" s="213"/>
      <c r="AC74" s="213"/>
      <c r="AF74" s="251"/>
      <c r="AG74" s="251"/>
      <c r="AH74" s="251"/>
      <c r="AO74" s="251"/>
      <c r="AP74" s="251"/>
      <c r="AQ74" s="251"/>
      <c r="AR74" s="251"/>
      <c r="AT74" s="251"/>
      <c r="AU74" s="251"/>
      <c r="AV74" s="251"/>
      <c r="AW74" s="251"/>
      <c r="AY74" s="251"/>
      <c r="AZ74" s="251"/>
      <c r="BA74" s="251"/>
      <c r="BB74" s="251"/>
      <c r="BD74" s="251"/>
      <c r="BE74" s="251"/>
      <c r="BF74" s="251"/>
      <c r="BG74" s="251"/>
      <c r="BH74" s="251"/>
      <c r="BI74" s="298">
        <f t="shared" si="13"/>
        <v>62</v>
      </c>
      <c r="BJ74" s="388"/>
      <c r="BK74" s="388"/>
      <c r="BL74" s="388"/>
      <c r="BM74" s="388"/>
      <c r="BN74" s="213"/>
      <c r="BO74" s="213"/>
    </row>
    <row r="75" spans="1:67">
      <c r="A75" s="253"/>
      <c r="B75" s="213"/>
      <c r="C75" s="213"/>
      <c r="D75" s="213"/>
      <c r="E75" s="213"/>
      <c r="F75" s="213"/>
      <c r="G75" s="213"/>
      <c r="H75" s="251"/>
      <c r="I75" s="251"/>
      <c r="J75" s="251"/>
      <c r="X75" s="52"/>
      <c r="Z75" s="213"/>
      <c r="AA75" s="213"/>
      <c r="AB75" s="213"/>
      <c r="AC75" s="213"/>
      <c r="AD75" s="213"/>
      <c r="AF75" s="251"/>
      <c r="AG75" s="251"/>
      <c r="AH75" s="251"/>
      <c r="AI75" s="251"/>
      <c r="AO75" s="251"/>
      <c r="AP75" s="251"/>
      <c r="AQ75" s="251"/>
      <c r="AR75" s="251"/>
      <c r="AS75" s="251"/>
      <c r="AT75" s="251"/>
      <c r="AU75" s="251"/>
      <c r="AV75" s="251"/>
      <c r="AW75" s="251"/>
      <c r="AX75" s="251"/>
      <c r="AY75" s="251"/>
      <c r="AZ75" s="251"/>
      <c r="BA75" s="251"/>
      <c r="BB75" s="251"/>
      <c r="BC75" s="251"/>
      <c r="BD75" s="251"/>
      <c r="BE75" s="251"/>
      <c r="BF75" s="251"/>
      <c r="BG75" s="251"/>
      <c r="BH75" s="251"/>
      <c r="BI75" s="298">
        <f t="shared" si="13"/>
        <v>63</v>
      </c>
      <c r="BJ75" s="299" t="s">
        <v>551</v>
      </c>
      <c r="BK75" s="388"/>
      <c r="BL75" s="388"/>
      <c r="BM75" s="388"/>
      <c r="BN75" s="213"/>
      <c r="BO75" s="213"/>
    </row>
    <row r="76" spans="1:67">
      <c r="A76" s="253"/>
      <c r="B76" s="213"/>
      <c r="C76" s="213"/>
      <c r="D76" s="213"/>
      <c r="E76" s="213"/>
      <c r="F76" s="213"/>
      <c r="G76" s="213"/>
      <c r="H76" s="251"/>
      <c r="I76" s="251"/>
      <c r="J76" s="251"/>
      <c r="Z76" s="213"/>
      <c r="AA76" s="213"/>
      <c r="AB76" s="213"/>
      <c r="AC76" s="213"/>
      <c r="AD76" s="213"/>
      <c r="AF76" s="251"/>
      <c r="AG76" s="251"/>
      <c r="AH76" s="251"/>
      <c r="AI76" s="251"/>
      <c r="AO76" s="251"/>
      <c r="AP76" s="251"/>
      <c r="AQ76" s="251"/>
      <c r="AR76" s="251"/>
      <c r="AS76" s="251"/>
      <c r="AT76" s="251"/>
      <c r="AU76" s="251"/>
      <c r="AV76" s="251"/>
      <c r="AW76" s="251"/>
      <c r="AX76" s="251"/>
      <c r="AY76" s="251"/>
      <c r="AZ76" s="251"/>
      <c r="BA76" s="251"/>
      <c r="BB76" s="251"/>
      <c r="BC76" s="251"/>
      <c r="BD76" s="251"/>
      <c r="BE76" s="251"/>
      <c r="BF76" s="251"/>
      <c r="BG76" s="251"/>
      <c r="BH76" s="251"/>
      <c r="BI76" s="298">
        <f t="shared" si="13"/>
        <v>64</v>
      </c>
      <c r="BJ76" s="388" t="s">
        <v>360</v>
      </c>
      <c r="BK76" s="167">
        <f>AC29</f>
        <v>-374251.50670083519</v>
      </c>
      <c r="BL76" s="167">
        <f>-BK76*$BL$13</f>
        <v>0</v>
      </c>
      <c r="BM76" s="167">
        <f t="shared" ref="BM76:BM78" si="33">SUM(BK76:BL76)</f>
        <v>-374251.50670083519</v>
      </c>
      <c r="BN76" s="213"/>
      <c r="BO76" s="213"/>
    </row>
    <row r="77" spans="1:67">
      <c r="A77" s="253"/>
      <c r="B77" s="213"/>
      <c r="C77" s="213"/>
      <c r="D77" s="213"/>
      <c r="E77" s="213"/>
      <c r="F77" s="213"/>
      <c r="G77" s="213"/>
      <c r="H77" s="251"/>
      <c r="I77" s="251"/>
      <c r="J77" s="251"/>
      <c r="Z77" s="213"/>
      <c r="AA77" s="213"/>
      <c r="AB77" s="213"/>
      <c r="AC77" s="213"/>
      <c r="AD77" s="213"/>
      <c r="AF77" s="251"/>
      <c r="AG77" s="251"/>
      <c r="AH77" s="251"/>
      <c r="AI77" s="251"/>
      <c r="AO77" s="251"/>
      <c r="AP77" s="251"/>
      <c r="AQ77" s="251"/>
      <c r="AR77" s="251"/>
      <c r="AS77" s="251"/>
      <c r="AT77" s="251"/>
      <c r="AU77" s="251"/>
      <c r="AV77" s="251"/>
      <c r="AW77" s="251"/>
      <c r="AX77" s="251"/>
      <c r="AY77" s="251"/>
      <c r="AZ77" s="251"/>
      <c r="BA77" s="251"/>
      <c r="BB77" s="251"/>
      <c r="BC77" s="251"/>
      <c r="BD77" s="251"/>
      <c r="BE77" s="251"/>
      <c r="BF77" s="251"/>
      <c r="BG77" s="251"/>
      <c r="BH77" s="251"/>
      <c r="BI77" s="298">
        <f t="shared" si="13"/>
        <v>65</v>
      </c>
      <c r="BJ77" s="388" t="s">
        <v>361</v>
      </c>
      <c r="BK77" s="208">
        <f>AC28</f>
        <v>-108339.16201768839</v>
      </c>
      <c r="BL77" s="196">
        <f t="shared" ref="BL77:BL93" si="34">-BK77*$BL$13</f>
        <v>0</v>
      </c>
      <c r="BM77" s="167">
        <f t="shared" si="33"/>
        <v>-108339.16201768839</v>
      </c>
      <c r="BN77" s="213"/>
      <c r="BO77" s="213"/>
    </row>
    <row r="78" spans="1:67">
      <c r="A78" s="253"/>
      <c r="B78" s="213"/>
      <c r="C78" s="213"/>
      <c r="D78" s="213"/>
      <c r="E78" s="213"/>
      <c r="F78" s="213"/>
      <c r="G78" s="213"/>
      <c r="H78" s="251"/>
      <c r="I78" s="251"/>
      <c r="J78" s="251"/>
      <c r="Z78" s="213"/>
      <c r="AA78" s="213"/>
      <c r="AB78" s="213"/>
      <c r="AC78" s="213"/>
      <c r="AD78" s="213"/>
      <c r="AF78" s="251"/>
      <c r="AG78" s="251"/>
      <c r="AH78" s="251"/>
      <c r="AI78" s="251"/>
      <c r="AO78" s="251"/>
      <c r="AP78" s="251"/>
      <c r="AQ78" s="251"/>
      <c r="AR78" s="251"/>
      <c r="AS78" s="251"/>
      <c r="AT78" s="251"/>
      <c r="AU78" s="251"/>
      <c r="AV78" s="251"/>
      <c r="AW78" s="251"/>
      <c r="AX78" s="251"/>
      <c r="AY78" s="251"/>
      <c r="AZ78" s="251"/>
      <c r="BA78" s="251"/>
      <c r="BB78" s="251"/>
      <c r="BC78" s="251"/>
      <c r="BD78" s="251"/>
      <c r="BE78" s="251"/>
      <c r="BF78" s="251"/>
      <c r="BG78" s="251"/>
      <c r="BH78" s="251"/>
      <c r="BI78" s="298">
        <f t="shared" si="13"/>
        <v>66</v>
      </c>
      <c r="BJ78" s="224" t="s">
        <v>201</v>
      </c>
      <c r="BK78" s="167">
        <f>AC14</f>
        <v>0</v>
      </c>
      <c r="BL78" s="196">
        <f t="shared" si="34"/>
        <v>0</v>
      </c>
      <c r="BM78" s="167">
        <f t="shared" si="33"/>
        <v>0</v>
      </c>
      <c r="BN78" s="213"/>
      <c r="BO78" s="213"/>
    </row>
    <row r="79" spans="1:67" ht="13.5">
      <c r="A79" s="253"/>
      <c r="B79" s="213"/>
      <c r="C79" s="213"/>
      <c r="D79" s="213"/>
      <c r="E79" s="213"/>
      <c r="F79" s="213"/>
      <c r="G79" s="213"/>
      <c r="H79" s="251"/>
      <c r="I79" s="251"/>
      <c r="J79" s="251"/>
      <c r="Z79" s="213"/>
      <c r="AA79" s="213"/>
      <c r="AB79" s="213"/>
      <c r="AC79" s="213"/>
      <c r="AD79" s="213"/>
      <c r="AF79" s="251"/>
      <c r="AG79" s="251"/>
      <c r="AH79" s="251"/>
      <c r="AI79" s="251"/>
      <c r="AO79" s="251"/>
      <c r="AP79" s="251"/>
      <c r="AQ79" s="251"/>
      <c r="AR79" s="251"/>
      <c r="AS79" s="251"/>
      <c r="AT79" s="251"/>
      <c r="AU79" s="251"/>
      <c r="AV79" s="251"/>
      <c r="AW79" s="251"/>
      <c r="AX79" s="251"/>
      <c r="AY79" s="251"/>
      <c r="AZ79" s="251"/>
      <c r="BA79" s="251"/>
      <c r="BB79" s="251"/>
      <c r="BC79" s="251"/>
      <c r="BD79" s="251"/>
      <c r="BE79" s="251"/>
      <c r="BF79" s="251"/>
      <c r="BG79" s="251"/>
      <c r="BH79" s="251"/>
      <c r="BI79" s="298">
        <f t="shared" si="13"/>
        <v>67</v>
      </c>
      <c r="BJ79" s="224" t="s">
        <v>772</v>
      </c>
      <c r="BK79" s="714">
        <f>BB20-BB15-BB16</f>
        <v>12293821.450076893</v>
      </c>
      <c r="BL79" s="644">
        <f t="shared" ref="BL79" si="35">-BK79*$BL$13</f>
        <v>0</v>
      </c>
      <c r="BM79" s="714">
        <f t="shared" ref="BM79" si="36">SUM(BK79:BL79)</f>
        <v>12293821.450076893</v>
      </c>
      <c r="BN79" s="213"/>
      <c r="BO79" s="213"/>
    </row>
    <row r="80" spans="1:67">
      <c r="A80" s="253"/>
      <c r="B80" s="213"/>
      <c r="C80" s="213"/>
      <c r="D80" s="213"/>
      <c r="E80" s="213"/>
      <c r="F80" s="213"/>
      <c r="G80" s="213"/>
      <c r="H80" s="251"/>
      <c r="I80" s="251"/>
      <c r="J80" s="251"/>
      <c r="Z80" s="213"/>
      <c r="AA80" s="213"/>
      <c r="AB80" s="213"/>
      <c r="AC80" s="213"/>
      <c r="AD80" s="213"/>
      <c r="AF80" s="251"/>
      <c r="AG80" s="251"/>
      <c r="AH80" s="251"/>
      <c r="AI80" s="251"/>
      <c r="AO80" s="251"/>
      <c r="AP80" s="251"/>
      <c r="AQ80" s="251"/>
      <c r="AR80" s="251"/>
      <c r="AS80" s="251"/>
      <c r="AT80" s="251"/>
      <c r="AU80" s="251"/>
      <c r="AV80" s="251"/>
      <c r="AW80" s="251"/>
      <c r="AX80" s="251"/>
      <c r="AY80" s="251"/>
      <c r="AZ80" s="251"/>
      <c r="BA80" s="251"/>
      <c r="BB80" s="251"/>
      <c r="BC80" s="251"/>
      <c r="BD80" s="251"/>
      <c r="BE80" s="251"/>
      <c r="BF80" s="251"/>
      <c r="BG80" s="251"/>
      <c r="BH80" s="251"/>
      <c r="BI80" s="298">
        <f t="shared" si="13"/>
        <v>68</v>
      </c>
      <c r="BJ80" s="224" t="s">
        <v>122</v>
      </c>
      <c r="BK80" s="167">
        <f>AC15</f>
        <v>-88510.49771296572</v>
      </c>
      <c r="BL80" s="196">
        <f t="shared" si="34"/>
        <v>0</v>
      </c>
      <c r="BM80" s="167">
        <f t="shared" ref="BM80:BM93" si="37">SUM(BK80:BL80)</f>
        <v>-88510.49771296572</v>
      </c>
      <c r="BN80" s="213"/>
      <c r="BO80" s="213"/>
    </row>
    <row r="81" spans="1:67">
      <c r="A81" s="253"/>
      <c r="B81" s="213"/>
      <c r="C81" s="213"/>
      <c r="D81" s="213"/>
      <c r="E81" s="213"/>
      <c r="F81" s="213"/>
      <c r="G81" s="213"/>
      <c r="H81" s="251"/>
      <c r="I81" s="251"/>
      <c r="J81" s="251"/>
      <c r="Z81" s="213"/>
      <c r="AA81" s="213"/>
      <c r="AB81" s="213"/>
      <c r="AC81" s="213"/>
      <c r="AD81" s="213"/>
      <c r="AF81" s="251"/>
      <c r="AG81" s="251"/>
      <c r="AH81" s="251"/>
      <c r="AI81" s="251"/>
      <c r="AO81" s="251"/>
      <c r="AP81" s="251"/>
      <c r="AQ81" s="251"/>
      <c r="AR81" s="251"/>
      <c r="AS81" s="251"/>
      <c r="AT81" s="251"/>
      <c r="AU81" s="251"/>
      <c r="AV81" s="251"/>
      <c r="AW81" s="251"/>
      <c r="AX81" s="251"/>
      <c r="AY81" s="251"/>
      <c r="AZ81" s="251"/>
      <c r="BA81" s="251"/>
      <c r="BB81" s="251"/>
      <c r="BC81" s="251"/>
      <c r="BD81" s="251"/>
      <c r="BE81" s="251"/>
      <c r="BF81" s="251"/>
      <c r="BG81" s="251"/>
      <c r="BH81" s="251"/>
      <c r="BI81" s="298">
        <f t="shared" si="13"/>
        <v>69</v>
      </c>
      <c r="BJ81" s="224" t="s">
        <v>121</v>
      </c>
      <c r="BK81" s="167">
        <f>AC16</f>
        <v>-121339.24959547223</v>
      </c>
      <c r="BL81" s="196">
        <f t="shared" si="34"/>
        <v>0</v>
      </c>
      <c r="BM81" s="167">
        <f t="shared" si="37"/>
        <v>-121339.24959547223</v>
      </c>
      <c r="BN81" s="213"/>
      <c r="BO81" s="213"/>
    </row>
    <row r="82" spans="1:67">
      <c r="A82" s="253"/>
      <c r="B82" s="213"/>
      <c r="C82" s="213"/>
      <c r="D82" s="213"/>
      <c r="E82" s="213"/>
      <c r="F82" s="213"/>
      <c r="G82" s="213"/>
      <c r="H82" s="251"/>
      <c r="I82" s="251"/>
      <c r="J82" s="251"/>
      <c r="Z82" s="213"/>
      <c r="AA82" s="213"/>
      <c r="AB82" s="213"/>
      <c r="AC82" s="213"/>
      <c r="AD82" s="213"/>
      <c r="AF82" s="251"/>
      <c r="AG82" s="251"/>
      <c r="AH82" s="251"/>
      <c r="AI82" s="251"/>
      <c r="AO82" s="251"/>
      <c r="AP82" s="251"/>
      <c r="AQ82" s="251"/>
      <c r="AR82" s="251"/>
      <c r="AS82" s="251"/>
      <c r="AT82" s="251"/>
      <c r="AU82" s="251"/>
      <c r="AV82" s="251"/>
      <c r="AW82" s="251"/>
      <c r="AX82" s="251"/>
      <c r="AY82" s="251"/>
      <c r="AZ82" s="251"/>
      <c r="BA82" s="251"/>
      <c r="BB82" s="251"/>
      <c r="BC82" s="251"/>
      <c r="BD82" s="251"/>
      <c r="BE82" s="251"/>
      <c r="BF82" s="251"/>
      <c r="BG82" s="251"/>
      <c r="BH82" s="251"/>
      <c r="BI82" s="298">
        <f t="shared" ref="BI82:BI84" si="38">+BI81+1</f>
        <v>70</v>
      </c>
      <c r="BJ82" s="224" t="s">
        <v>362</v>
      </c>
      <c r="BK82" s="167">
        <f t="shared" ref="BK82:BK87" si="39">AC18</f>
        <v>82196760.579333305</v>
      </c>
      <c r="BL82" s="196">
        <f t="shared" si="34"/>
        <v>0</v>
      </c>
      <c r="BM82" s="167">
        <f t="shared" si="37"/>
        <v>82196760.579333305</v>
      </c>
      <c r="BN82" s="213"/>
      <c r="BO82" s="213"/>
    </row>
    <row r="83" spans="1:67">
      <c r="A83" s="253"/>
      <c r="B83" s="213"/>
      <c r="C83" s="213"/>
      <c r="D83" s="213"/>
      <c r="E83" s="213"/>
      <c r="F83" s="213"/>
      <c r="G83" s="213"/>
      <c r="H83" s="251"/>
      <c r="I83" s="251"/>
      <c r="J83" s="251"/>
      <c r="Z83" s="213"/>
      <c r="AA83" s="213"/>
      <c r="AB83" s="213"/>
      <c r="AC83" s="213"/>
      <c r="AD83" s="213"/>
      <c r="AF83" s="251"/>
      <c r="AG83" s="251"/>
      <c r="AH83" s="251"/>
      <c r="AI83" s="251"/>
      <c r="AO83" s="251"/>
      <c r="AQ83" s="251"/>
      <c r="AR83" s="251"/>
      <c r="AS83" s="251"/>
      <c r="AT83" s="251"/>
      <c r="AV83" s="251"/>
      <c r="AW83" s="251"/>
      <c r="AX83" s="251"/>
      <c r="AY83" s="251"/>
      <c r="BA83" s="251"/>
      <c r="BB83" s="251"/>
      <c r="BC83" s="251"/>
      <c r="BD83" s="251"/>
      <c r="BE83" s="251"/>
      <c r="BF83" s="251"/>
      <c r="BG83" s="251"/>
      <c r="BH83" s="251"/>
      <c r="BI83" s="298">
        <f t="shared" si="38"/>
        <v>71</v>
      </c>
      <c r="BJ83" s="224" t="s">
        <v>363</v>
      </c>
      <c r="BK83" s="167">
        <f t="shared" si="39"/>
        <v>18500000</v>
      </c>
      <c r="BL83" s="196">
        <f>-BK83*$BL$13</f>
        <v>0</v>
      </c>
      <c r="BM83" s="167">
        <f t="shared" si="37"/>
        <v>18500000</v>
      </c>
      <c r="BN83" s="213"/>
      <c r="BO83" s="213"/>
    </row>
    <row r="84" spans="1:67">
      <c r="A84" s="253"/>
      <c r="B84" s="213"/>
      <c r="C84" s="213"/>
      <c r="D84" s="213"/>
      <c r="E84" s="213"/>
      <c r="F84" s="213"/>
      <c r="G84" s="213"/>
      <c r="H84" s="251"/>
      <c r="I84" s="251"/>
      <c r="J84" s="251"/>
      <c r="Z84" s="213"/>
      <c r="AA84" s="213"/>
      <c r="AB84" s="213"/>
      <c r="AC84" s="213"/>
      <c r="AD84" s="213"/>
      <c r="AF84" s="251"/>
      <c r="AG84" s="251"/>
      <c r="AH84" s="251"/>
      <c r="AI84" s="251"/>
      <c r="AO84" s="251"/>
      <c r="AQ84" s="251"/>
      <c r="AR84" s="251"/>
      <c r="AS84" s="251"/>
      <c r="AT84" s="251"/>
      <c r="AV84" s="251"/>
      <c r="AW84" s="251"/>
      <c r="AX84" s="251"/>
      <c r="AY84" s="251"/>
      <c r="BA84" s="251"/>
      <c r="BB84" s="251"/>
      <c r="BC84" s="251"/>
      <c r="BD84" s="251"/>
      <c r="BE84" s="251"/>
      <c r="BF84" s="251"/>
      <c r="BG84" s="251"/>
      <c r="BH84" s="251"/>
      <c r="BI84" s="298">
        <f t="shared" si="38"/>
        <v>72</v>
      </c>
      <c r="BJ84" s="224" t="s">
        <v>347</v>
      </c>
      <c r="BK84" s="167">
        <f t="shared" si="39"/>
        <v>750000.00000000524</v>
      </c>
      <c r="BL84" s="196">
        <f t="shared" si="34"/>
        <v>0</v>
      </c>
      <c r="BM84" s="167">
        <f t="shared" si="37"/>
        <v>750000.00000000524</v>
      </c>
      <c r="BN84" s="213"/>
      <c r="BO84" s="213"/>
    </row>
    <row r="85" spans="1:67">
      <c r="A85" s="253"/>
      <c r="B85" s="213"/>
      <c r="C85" s="213"/>
      <c r="D85" s="213"/>
      <c r="E85" s="213"/>
      <c r="F85" s="213"/>
      <c r="G85" s="213"/>
      <c r="H85" s="251"/>
      <c r="I85" s="251"/>
      <c r="J85" s="251"/>
      <c r="Z85" s="213"/>
      <c r="AA85" s="213"/>
      <c r="AB85" s="213"/>
      <c r="AC85" s="213"/>
      <c r="AD85" s="213"/>
      <c r="AF85" s="251"/>
      <c r="AG85" s="251"/>
      <c r="AH85" s="251"/>
      <c r="AI85" s="251"/>
      <c r="AO85" s="251"/>
      <c r="AQ85" s="251"/>
      <c r="AR85" s="251"/>
      <c r="AS85" s="251"/>
      <c r="AT85" s="251"/>
      <c r="AV85" s="251"/>
      <c r="AW85" s="251"/>
      <c r="AX85" s="251"/>
      <c r="AY85" s="251"/>
      <c r="BA85" s="251"/>
      <c r="BB85" s="251"/>
      <c r="BC85" s="251"/>
      <c r="BD85" s="251"/>
      <c r="BE85" s="251"/>
      <c r="BF85" s="251"/>
      <c r="BG85" s="251"/>
      <c r="BH85" s="251"/>
      <c r="BI85" s="298">
        <f t="shared" ref="BI85:BI96" si="40">+BI84+1</f>
        <v>73</v>
      </c>
      <c r="BJ85" s="224" t="s">
        <v>192</v>
      </c>
      <c r="BK85" s="167">
        <f t="shared" si="39"/>
        <v>0</v>
      </c>
      <c r="BL85" s="196">
        <f t="shared" si="34"/>
        <v>0</v>
      </c>
      <c r="BM85" s="167">
        <f t="shared" si="37"/>
        <v>0</v>
      </c>
      <c r="BN85" s="213"/>
      <c r="BO85" s="213"/>
    </row>
    <row r="86" spans="1:67">
      <c r="A86" s="253"/>
      <c r="B86" s="213"/>
      <c r="C86" s="213"/>
      <c r="D86" s="213"/>
      <c r="E86" s="213"/>
      <c r="F86" s="213"/>
      <c r="G86" s="213"/>
      <c r="H86" s="251"/>
      <c r="I86" s="251"/>
      <c r="J86" s="251"/>
      <c r="Z86" s="213"/>
      <c r="AA86" s="213"/>
      <c r="AB86" s="213"/>
      <c r="AC86" s="213"/>
      <c r="AD86" s="213"/>
      <c r="AF86" s="251"/>
      <c r="AG86" s="251"/>
      <c r="AH86" s="251"/>
      <c r="AI86" s="251"/>
      <c r="AO86" s="251"/>
      <c r="AP86" s="251"/>
      <c r="AQ86" s="251"/>
      <c r="AR86" s="251"/>
      <c r="AS86" s="251"/>
      <c r="AT86" s="251"/>
      <c r="AU86" s="251"/>
      <c r="AV86" s="251"/>
      <c r="AW86" s="251"/>
      <c r="AX86" s="251"/>
      <c r="AY86" s="251"/>
      <c r="AZ86" s="251"/>
      <c r="BA86" s="251"/>
      <c r="BB86" s="251"/>
      <c r="BC86" s="251"/>
      <c r="BD86" s="251"/>
      <c r="BE86" s="251"/>
      <c r="BF86" s="251"/>
      <c r="BG86" s="251"/>
      <c r="BH86" s="251"/>
      <c r="BI86" s="298">
        <f t="shared" si="40"/>
        <v>74</v>
      </c>
      <c r="BJ86" s="224" t="s">
        <v>364</v>
      </c>
      <c r="BK86" s="167">
        <f t="shared" si="39"/>
        <v>60863794.047865629</v>
      </c>
      <c r="BL86" s="196">
        <f t="shared" si="34"/>
        <v>0</v>
      </c>
      <c r="BM86" s="167">
        <f t="shared" si="37"/>
        <v>60863794.047865629</v>
      </c>
      <c r="BN86" s="213"/>
      <c r="BO86" s="213"/>
    </row>
    <row r="87" spans="1:67">
      <c r="A87" s="253"/>
      <c r="B87" s="213"/>
      <c r="C87" s="213"/>
      <c r="D87" s="213"/>
      <c r="E87" s="213"/>
      <c r="F87" s="213"/>
      <c r="G87" s="213"/>
      <c r="H87" s="251"/>
      <c r="I87" s="251"/>
      <c r="J87" s="251"/>
      <c r="Z87" s="213"/>
      <c r="AA87" s="213"/>
      <c r="AB87" s="213"/>
      <c r="AC87" s="213"/>
      <c r="AD87" s="213"/>
      <c r="AF87" s="251"/>
      <c r="AG87" s="251"/>
      <c r="AH87" s="251"/>
      <c r="AI87" s="251"/>
      <c r="AO87" s="251"/>
      <c r="AP87" s="251"/>
      <c r="AQ87" s="251"/>
      <c r="AR87" s="251"/>
      <c r="AS87" s="251"/>
      <c r="AT87" s="251"/>
      <c r="AU87" s="251"/>
      <c r="AV87" s="251"/>
      <c r="AW87" s="251"/>
      <c r="AX87" s="251"/>
      <c r="AY87" s="251"/>
      <c r="AZ87" s="251"/>
      <c r="BA87" s="251"/>
      <c r="BB87" s="251"/>
      <c r="BC87" s="251"/>
      <c r="BD87" s="251"/>
      <c r="BE87" s="251"/>
      <c r="BF87" s="251"/>
      <c r="BG87" s="251"/>
      <c r="BH87" s="251"/>
      <c r="BI87" s="298">
        <f t="shared" si="40"/>
        <v>75</v>
      </c>
      <c r="BJ87" s="224" t="s">
        <v>365</v>
      </c>
      <c r="BK87" s="167">
        <f t="shared" si="39"/>
        <v>8466701.2744743638</v>
      </c>
      <c r="BL87" s="196">
        <f t="shared" si="34"/>
        <v>0</v>
      </c>
      <c r="BM87" s="167">
        <f t="shared" si="37"/>
        <v>8466701.2744743638</v>
      </c>
      <c r="BN87" s="213"/>
      <c r="BO87" s="213"/>
    </row>
    <row r="88" spans="1:67">
      <c r="A88" s="253"/>
      <c r="B88" s="213"/>
      <c r="C88" s="213"/>
      <c r="D88" s="213"/>
      <c r="E88" s="213"/>
      <c r="F88" s="213"/>
      <c r="G88" s="213"/>
      <c r="H88" s="251"/>
      <c r="I88" s="251"/>
      <c r="J88" s="251"/>
      <c r="Z88" s="213"/>
      <c r="AA88" s="213"/>
      <c r="AB88" s="213"/>
      <c r="AC88" s="213"/>
      <c r="AD88" s="213"/>
      <c r="AF88" s="251"/>
      <c r="AG88" s="251"/>
      <c r="AH88" s="251"/>
      <c r="AI88" s="251"/>
      <c r="AO88" s="251"/>
      <c r="AP88" s="251"/>
      <c r="AQ88" s="251"/>
      <c r="AR88" s="251"/>
      <c r="AS88" s="251"/>
      <c r="AT88" s="251"/>
      <c r="AU88" s="251"/>
      <c r="AV88" s="251"/>
      <c r="AW88" s="251"/>
      <c r="AX88" s="251"/>
      <c r="AY88" s="251"/>
      <c r="AZ88" s="251"/>
      <c r="BA88" s="251"/>
      <c r="BB88" s="251"/>
      <c r="BC88" s="251"/>
      <c r="BD88" s="251"/>
      <c r="BE88" s="251"/>
      <c r="BF88" s="251"/>
      <c r="BG88" s="251"/>
      <c r="BH88" s="251"/>
      <c r="BI88" s="298">
        <f t="shared" si="40"/>
        <v>76</v>
      </c>
      <c r="BJ88" s="224" t="s">
        <v>553</v>
      </c>
      <c r="BK88" s="167">
        <f>AC17</f>
        <v>12550110.290861849</v>
      </c>
      <c r="BL88" s="196">
        <f t="shared" si="34"/>
        <v>0</v>
      </c>
      <c r="BM88" s="167">
        <f t="shared" si="37"/>
        <v>12550110.290861849</v>
      </c>
      <c r="BN88" s="213"/>
      <c r="BO88" s="213"/>
    </row>
    <row r="89" spans="1:67">
      <c r="A89" s="253"/>
      <c r="B89" s="213"/>
      <c r="C89" s="213"/>
      <c r="D89" s="213"/>
      <c r="E89" s="213"/>
      <c r="F89" s="213"/>
      <c r="G89" s="213"/>
      <c r="H89" s="251"/>
      <c r="I89" s="251"/>
      <c r="J89" s="251"/>
      <c r="Z89" s="213"/>
      <c r="AA89" s="213"/>
      <c r="AB89" s="213"/>
      <c r="AC89" s="213"/>
      <c r="AD89" s="213"/>
      <c r="AF89" s="251"/>
      <c r="AG89" s="251"/>
      <c r="AH89" s="251"/>
      <c r="AI89" s="251"/>
      <c r="AO89" s="251"/>
      <c r="AP89" s="251"/>
      <c r="AQ89" s="251"/>
      <c r="AR89" s="251"/>
      <c r="AS89" s="251"/>
      <c r="AT89" s="251"/>
      <c r="AU89" s="251"/>
      <c r="AV89" s="251"/>
      <c r="AW89" s="251"/>
      <c r="AX89" s="251"/>
      <c r="AY89" s="251"/>
      <c r="AZ89" s="251"/>
      <c r="BA89" s="251"/>
      <c r="BB89" s="251"/>
      <c r="BC89" s="251"/>
      <c r="BD89" s="251"/>
      <c r="BE89" s="251"/>
      <c r="BF89" s="251"/>
      <c r="BG89" s="251"/>
      <c r="BH89" s="251"/>
      <c r="BI89" s="298">
        <f t="shared" si="40"/>
        <v>77</v>
      </c>
      <c r="BJ89" s="224" t="s">
        <v>554</v>
      </c>
      <c r="BK89" s="208">
        <f>AC24</f>
        <v>0.16838636322063394</v>
      </c>
      <c r="BL89" s="196">
        <f t="shared" si="34"/>
        <v>0</v>
      </c>
      <c r="BM89" s="208">
        <f t="shared" si="37"/>
        <v>0.16838636322063394</v>
      </c>
      <c r="BN89" s="213"/>
      <c r="BO89" s="213"/>
    </row>
    <row r="90" spans="1:67">
      <c r="A90" s="253"/>
      <c r="B90" s="213"/>
      <c r="C90" s="213"/>
      <c r="D90" s="213"/>
      <c r="E90" s="213"/>
      <c r="F90" s="213"/>
      <c r="G90" s="213"/>
      <c r="H90" s="251"/>
      <c r="I90" s="251"/>
      <c r="J90" s="251"/>
      <c r="Z90" s="213"/>
      <c r="AA90" s="213"/>
      <c r="AB90" s="213"/>
      <c r="AC90" s="213"/>
      <c r="AD90" s="213"/>
      <c r="AF90" s="251"/>
      <c r="AG90" s="251"/>
      <c r="AH90" s="251"/>
      <c r="AI90" s="251"/>
      <c r="AO90" s="251"/>
      <c r="AP90" s="251"/>
      <c r="AQ90" s="251"/>
      <c r="AR90" s="251"/>
      <c r="AS90" s="251"/>
      <c r="AT90" s="251"/>
      <c r="AU90" s="251"/>
      <c r="AV90" s="251"/>
      <c r="AW90" s="251"/>
      <c r="AX90" s="251"/>
      <c r="AY90" s="251"/>
      <c r="AZ90" s="251"/>
      <c r="BA90" s="251"/>
      <c r="BB90" s="251"/>
      <c r="BC90" s="251"/>
      <c r="BD90" s="251"/>
      <c r="BE90" s="251"/>
      <c r="BF90" s="251"/>
      <c r="BG90" s="251"/>
      <c r="BH90" s="251"/>
      <c r="BI90" s="298">
        <f t="shared" si="40"/>
        <v>78</v>
      </c>
      <c r="BJ90" s="224" t="s">
        <v>555</v>
      </c>
      <c r="BK90" s="167">
        <f>AC27</f>
        <v>3917699.507429909</v>
      </c>
      <c r="BL90" s="196">
        <f t="shared" si="34"/>
        <v>0</v>
      </c>
      <c r="BM90" s="167">
        <f t="shared" si="37"/>
        <v>3917699.507429909</v>
      </c>
      <c r="BN90" s="213"/>
      <c r="BO90" s="213"/>
    </row>
    <row r="91" spans="1:67">
      <c r="A91" s="253"/>
      <c r="B91" s="213"/>
      <c r="C91" s="213"/>
      <c r="D91" s="213"/>
      <c r="E91" s="213"/>
      <c r="F91" s="213"/>
      <c r="G91" s="213"/>
      <c r="H91" s="251"/>
      <c r="I91" s="251"/>
      <c r="J91" s="251"/>
      <c r="Z91" s="213"/>
      <c r="AA91" s="213"/>
      <c r="AB91" s="213"/>
      <c r="AC91" s="213"/>
      <c r="AD91" s="213"/>
      <c r="AF91" s="251"/>
      <c r="AG91" s="251"/>
      <c r="AH91" s="251"/>
      <c r="AI91" s="251"/>
      <c r="AO91" s="251"/>
      <c r="AP91" s="251"/>
      <c r="AQ91" s="251"/>
      <c r="AR91" s="251"/>
      <c r="AS91" s="251"/>
      <c r="AT91" s="251"/>
      <c r="AU91" s="251"/>
      <c r="AV91" s="251"/>
      <c r="AW91" s="251"/>
      <c r="AX91" s="251"/>
      <c r="AY91" s="251"/>
      <c r="AZ91" s="251"/>
      <c r="BA91" s="251"/>
      <c r="BB91" s="251"/>
      <c r="BC91" s="251"/>
      <c r="BD91" s="251"/>
      <c r="BE91" s="251"/>
      <c r="BF91" s="251"/>
      <c r="BG91" s="251"/>
      <c r="BH91" s="251"/>
      <c r="BI91" s="298">
        <f t="shared" si="40"/>
        <v>79</v>
      </c>
      <c r="BJ91" s="224" t="s">
        <v>556</v>
      </c>
      <c r="BK91" s="167">
        <f>AC26</f>
        <v>596763.95810137875</v>
      </c>
      <c r="BL91" s="196">
        <f t="shared" si="34"/>
        <v>0</v>
      </c>
      <c r="BM91" s="167">
        <f t="shared" si="37"/>
        <v>596763.95810137875</v>
      </c>
      <c r="BN91" s="213"/>
      <c r="BO91" s="213"/>
    </row>
    <row r="92" spans="1:67">
      <c r="A92" s="253"/>
      <c r="B92" s="213"/>
      <c r="C92" s="213"/>
      <c r="D92" s="213"/>
      <c r="E92" s="213"/>
      <c r="F92" s="213"/>
      <c r="G92" s="213"/>
      <c r="H92" s="251"/>
      <c r="I92" s="251"/>
      <c r="J92" s="251"/>
      <c r="Z92" s="213"/>
      <c r="AA92" s="213"/>
      <c r="AB92" s="213"/>
      <c r="AC92" s="213"/>
      <c r="AD92" s="213"/>
      <c r="AF92" s="251"/>
      <c r="AG92" s="251"/>
      <c r="AH92" s="251"/>
      <c r="AI92" s="251"/>
      <c r="AO92" s="251"/>
      <c r="AP92" s="251"/>
      <c r="AQ92" s="251"/>
      <c r="AR92" s="251"/>
      <c r="AS92" s="251"/>
      <c r="AT92" s="251"/>
      <c r="AU92" s="251"/>
      <c r="AV92" s="251"/>
      <c r="AW92" s="251"/>
      <c r="AX92" s="251"/>
      <c r="AY92" s="251"/>
      <c r="AZ92" s="251"/>
      <c r="BA92" s="251"/>
      <c r="BB92" s="251"/>
      <c r="BC92" s="251"/>
      <c r="BD92" s="251"/>
      <c r="BE92" s="251"/>
      <c r="BF92" s="251"/>
      <c r="BG92" s="251"/>
      <c r="BH92" s="251"/>
      <c r="BI92" s="298">
        <f t="shared" si="40"/>
        <v>80</v>
      </c>
      <c r="BJ92" s="224" t="s">
        <v>557</v>
      </c>
      <c r="BK92" s="167">
        <f>AC25</f>
        <v>151971.71732166281</v>
      </c>
      <c r="BL92" s="196">
        <f t="shared" si="34"/>
        <v>0</v>
      </c>
      <c r="BM92" s="138">
        <f t="shared" si="37"/>
        <v>151971.71732166281</v>
      </c>
      <c r="BN92" s="213"/>
      <c r="BO92" s="213"/>
    </row>
    <row r="93" spans="1:67">
      <c r="A93" s="253"/>
      <c r="B93" s="213"/>
      <c r="C93" s="213"/>
      <c r="D93" s="213"/>
      <c r="E93" s="213"/>
      <c r="F93" s="213"/>
      <c r="G93" s="213"/>
      <c r="H93" s="251"/>
      <c r="I93" s="251"/>
      <c r="J93" s="251"/>
      <c r="Z93" s="213"/>
      <c r="AA93" s="213"/>
      <c r="AB93" s="213"/>
      <c r="AC93" s="213"/>
      <c r="AD93" s="213"/>
      <c r="AF93" s="251"/>
      <c r="AG93" s="251"/>
      <c r="AH93" s="251"/>
      <c r="AI93" s="251"/>
      <c r="AO93" s="251"/>
      <c r="AP93" s="251"/>
      <c r="AQ93" s="251"/>
      <c r="AR93" s="251"/>
      <c r="AS93" s="251"/>
      <c r="AT93" s="251"/>
      <c r="AU93" s="251"/>
      <c r="AV93" s="251"/>
      <c r="AW93" s="251"/>
      <c r="AX93" s="251"/>
      <c r="AY93" s="251"/>
      <c r="AZ93" s="251"/>
      <c r="BA93" s="251"/>
      <c r="BB93" s="251"/>
      <c r="BC93" s="251"/>
      <c r="BD93" s="251"/>
      <c r="BE93" s="251"/>
      <c r="BF93" s="251"/>
      <c r="BG93" s="251"/>
      <c r="BH93" s="251"/>
      <c r="BI93" s="298">
        <f t="shared" si="40"/>
        <v>81</v>
      </c>
      <c r="BJ93" s="224" t="s">
        <v>368</v>
      </c>
      <c r="BK93" s="138">
        <f>AC30</f>
        <v>1128003.9151666719</v>
      </c>
      <c r="BL93" s="196">
        <f t="shared" si="34"/>
        <v>0</v>
      </c>
      <c r="BM93" s="138">
        <f t="shared" si="37"/>
        <v>1128003.9151666719</v>
      </c>
      <c r="BN93" s="213"/>
      <c r="BO93" s="213"/>
    </row>
    <row r="94" spans="1:67" ht="14.25" thickBot="1">
      <c r="A94" s="253"/>
      <c r="B94" s="213"/>
      <c r="C94" s="213"/>
      <c r="D94" s="213"/>
      <c r="E94" s="213"/>
      <c r="F94" s="213"/>
      <c r="G94" s="213"/>
      <c r="H94" s="251"/>
      <c r="I94" s="251"/>
      <c r="J94" s="251"/>
      <c r="Z94" s="213"/>
      <c r="AA94" s="213"/>
      <c r="AB94" s="213"/>
      <c r="AC94" s="213"/>
      <c r="AD94" s="213"/>
      <c r="AF94" s="251"/>
      <c r="AG94" s="251"/>
      <c r="AH94" s="251"/>
      <c r="AI94" s="251"/>
      <c r="AO94" s="251"/>
      <c r="AP94" s="251"/>
      <c r="AQ94" s="251"/>
      <c r="AR94" s="251"/>
      <c r="AS94" s="251"/>
      <c r="AT94" s="251"/>
      <c r="AU94" s="251"/>
      <c r="AV94" s="251"/>
      <c r="AW94" s="251"/>
      <c r="AX94" s="251"/>
      <c r="AY94" s="251"/>
      <c r="AZ94" s="251"/>
      <c r="BA94" s="251"/>
      <c r="BB94" s="251"/>
      <c r="BC94" s="251"/>
      <c r="BD94" s="251"/>
      <c r="BE94" s="251"/>
      <c r="BF94" s="251"/>
      <c r="BG94" s="251"/>
      <c r="BH94" s="251"/>
      <c r="BI94" s="298">
        <f t="shared" si="40"/>
        <v>82</v>
      </c>
      <c r="BJ94" s="388" t="s">
        <v>369</v>
      </c>
      <c r="BK94" s="730">
        <f>SUM(BK76:BK93)</f>
        <v>200723186.49299106</v>
      </c>
      <c r="BL94" s="730">
        <f>SUM(BL76:BL93)</f>
        <v>0</v>
      </c>
      <c r="BM94" s="730">
        <f>SUM(BM76:BM93)</f>
        <v>200723186.49299106</v>
      </c>
      <c r="BN94" s="213"/>
      <c r="BO94" s="213"/>
    </row>
    <row r="95" spans="1:67" ht="13.5" thickTop="1">
      <c r="A95" s="253"/>
      <c r="B95" s="213"/>
      <c r="C95" s="213"/>
      <c r="D95" s="213"/>
      <c r="E95" s="213"/>
      <c r="F95" s="213"/>
      <c r="G95" s="213"/>
      <c r="H95" s="251"/>
      <c r="I95" s="251"/>
      <c r="J95" s="251"/>
      <c r="Z95" s="213"/>
      <c r="AA95" s="213"/>
      <c r="AB95" s="213"/>
      <c r="AC95" s="213"/>
      <c r="AD95" s="213"/>
      <c r="AF95" s="251"/>
      <c r="AG95" s="251"/>
      <c r="AH95" s="251"/>
      <c r="AI95" s="251"/>
      <c r="AO95" s="251"/>
      <c r="AP95" s="251"/>
      <c r="AQ95" s="251"/>
      <c r="AR95" s="251"/>
      <c r="AS95" s="251"/>
      <c r="AT95" s="251"/>
      <c r="AU95" s="251"/>
      <c r="AV95" s="251"/>
      <c r="AW95" s="251"/>
      <c r="AX95" s="251"/>
      <c r="AY95" s="251"/>
      <c r="AZ95" s="251"/>
      <c r="BA95" s="251"/>
      <c r="BB95" s="251"/>
      <c r="BC95" s="251"/>
      <c r="BD95" s="251"/>
      <c r="BE95" s="251"/>
      <c r="BF95" s="251"/>
      <c r="BG95" s="251"/>
      <c r="BH95" s="251"/>
      <c r="BI95" s="298">
        <f t="shared" si="40"/>
        <v>83</v>
      </c>
      <c r="BJ95" s="747" t="s">
        <v>445</v>
      </c>
      <c r="BK95" s="196">
        <f>AC33+BB20-BB15-BB16-BK94</f>
        <v>0</v>
      </c>
      <c r="BL95" s="388"/>
      <c r="BM95" s="388"/>
      <c r="BN95" s="213"/>
      <c r="BO95" s="213"/>
    </row>
    <row r="96" spans="1:67" ht="14.25" thickBot="1">
      <c r="A96" s="253"/>
      <c r="B96" s="627"/>
      <c r="C96" s="213"/>
      <c r="D96" s="213"/>
      <c r="E96" s="213"/>
      <c r="F96" s="213"/>
      <c r="G96" s="213"/>
      <c r="H96" s="251"/>
      <c r="I96" s="251"/>
      <c r="J96" s="251"/>
      <c r="Z96" s="213"/>
      <c r="AA96" s="213"/>
      <c r="AB96" s="213"/>
      <c r="AC96" s="213"/>
      <c r="AD96" s="213"/>
      <c r="AF96" s="251"/>
      <c r="AG96" s="251"/>
      <c r="AH96" s="251"/>
      <c r="AI96" s="251"/>
      <c r="AO96" s="251"/>
      <c r="AP96" s="251"/>
      <c r="AQ96" s="251"/>
      <c r="AR96" s="251"/>
      <c r="AS96" s="251"/>
      <c r="AT96" s="251"/>
      <c r="AU96" s="251"/>
      <c r="AV96" s="251"/>
      <c r="AW96" s="251"/>
      <c r="AX96" s="251"/>
      <c r="AY96" s="251"/>
      <c r="AZ96" s="251"/>
      <c r="BA96" s="251"/>
      <c r="BB96" s="251"/>
      <c r="BC96" s="251"/>
      <c r="BD96" s="251"/>
      <c r="BE96" s="251"/>
      <c r="BF96" s="251"/>
      <c r="BG96" s="251"/>
      <c r="BH96" s="251"/>
      <c r="BI96" s="298">
        <f t="shared" si="40"/>
        <v>84</v>
      </c>
      <c r="BJ96" s="388" t="s">
        <v>308</v>
      </c>
      <c r="BK96" s="388"/>
      <c r="BL96" s="749">
        <f>BL73+BL94</f>
        <v>0</v>
      </c>
      <c r="BM96" s="388"/>
      <c r="BN96" s="213"/>
      <c r="BO96" s="213"/>
    </row>
    <row r="97" spans="1:85" s="252" customFormat="1" ht="13.5" thickTop="1">
      <c r="A97" s="253"/>
      <c r="B97" s="213"/>
      <c r="C97" s="213"/>
      <c r="D97" s="213"/>
      <c r="E97" s="213"/>
      <c r="F97" s="213"/>
      <c r="G97" s="213"/>
      <c r="H97" s="251"/>
      <c r="I97" s="251"/>
      <c r="J97" s="251"/>
      <c r="Z97" s="213"/>
      <c r="AA97" s="213"/>
      <c r="AB97" s="213"/>
      <c r="AC97" s="213"/>
      <c r="AD97" s="213"/>
      <c r="AF97" s="251"/>
      <c r="AG97" s="251"/>
      <c r="AH97" s="251"/>
      <c r="AI97" s="251"/>
      <c r="AO97" s="251"/>
      <c r="AP97" s="251"/>
      <c r="AQ97" s="251"/>
      <c r="AR97" s="251"/>
      <c r="AS97" s="251"/>
      <c r="AT97" s="251"/>
      <c r="AU97" s="251"/>
      <c r="AV97" s="251"/>
      <c r="AW97" s="251"/>
      <c r="AX97" s="251"/>
      <c r="AY97" s="251"/>
      <c r="AZ97" s="251"/>
      <c r="BA97" s="251"/>
      <c r="BB97" s="251"/>
      <c r="BC97" s="251"/>
      <c r="BD97" s="251"/>
      <c r="BE97" s="251"/>
      <c r="BF97" s="251"/>
      <c r="BG97" s="251"/>
      <c r="BH97" s="251"/>
      <c r="BI97" s="298"/>
      <c r="BN97" s="213"/>
      <c r="BO97" s="213"/>
      <c r="BP97" s="209"/>
      <c r="BQ97" s="209"/>
      <c r="BR97" s="209"/>
      <c r="BS97" s="209"/>
      <c r="BT97" s="209"/>
      <c r="BU97" s="209"/>
      <c r="BV97" s="209"/>
      <c r="BW97" s="209"/>
      <c r="BX97" s="209"/>
      <c r="BY97" s="209"/>
      <c r="BZ97" s="209"/>
      <c r="CA97" s="209"/>
      <c r="CB97" s="209"/>
      <c r="CD97" s="72"/>
      <c r="CE97" s="72"/>
      <c r="CF97" s="72"/>
      <c r="CG97" s="72"/>
    </row>
    <row r="98" spans="1:85" s="252" customFormat="1">
      <c r="A98" s="253"/>
      <c r="B98" s="627"/>
      <c r="C98" s="213"/>
      <c r="D98" s="213"/>
      <c r="E98" s="213"/>
      <c r="F98" s="213"/>
      <c r="G98" s="213"/>
      <c r="H98" s="251"/>
      <c r="I98" s="251"/>
      <c r="J98" s="251"/>
      <c r="Z98" s="213"/>
      <c r="AA98" s="213"/>
      <c r="AB98" s="213"/>
      <c r="AC98" s="213"/>
      <c r="AD98" s="213"/>
      <c r="AF98" s="251"/>
      <c r="AG98" s="251"/>
      <c r="AH98" s="251"/>
      <c r="AI98" s="251"/>
      <c r="AO98" s="251"/>
      <c r="AP98" s="251"/>
      <c r="AQ98" s="251"/>
      <c r="AR98" s="251"/>
      <c r="AS98" s="251"/>
      <c r="AT98" s="251"/>
      <c r="AU98" s="251"/>
      <c r="AV98" s="251"/>
      <c r="AW98" s="251"/>
      <c r="AX98" s="251"/>
      <c r="AY98" s="251"/>
      <c r="AZ98" s="251"/>
      <c r="BA98" s="251"/>
      <c r="BB98" s="251"/>
      <c r="BC98" s="251"/>
      <c r="BD98" s="251"/>
      <c r="BE98" s="251"/>
      <c r="BF98" s="251"/>
      <c r="BG98" s="251"/>
      <c r="BH98" s="627">
        <v>-2131857</v>
      </c>
      <c r="BI98" s="627"/>
      <c r="BJ98" s="627"/>
      <c r="BK98" s="627"/>
      <c r="BL98" s="627"/>
      <c r="BM98" s="627"/>
      <c r="BN98" s="213"/>
      <c r="BO98" s="213"/>
      <c r="BP98" s="209"/>
      <c r="BQ98" s="209"/>
      <c r="BR98" s="209"/>
      <c r="BS98" s="209"/>
      <c r="BT98" s="209"/>
      <c r="BU98" s="209"/>
      <c r="BV98" s="209"/>
      <c r="BW98" s="209"/>
      <c r="BX98" s="209"/>
      <c r="BY98" s="209"/>
      <c r="BZ98" s="209"/>
      <c r="CA98" s="209"/>
      <c r="CB98" s="209"/>
      <c r="CD98" s="72"/>
      <c r="CE98" s="72"/>
      <c r="CF98" s="72"/>
      <c r="CG98" s="72"/>
    </row>
    <row r="99" spans="1:85" s="252" customFormat="1" outlineLevel="1">
      <c r="A99" s="253">
        <v>87</v>
      </c>
      <c r="B99" s="629" t="s">
        <v>928</v>
      </c>
      <c r="C99" s="213"/>
      <c r="D99" s="213"/>
      <c r="E99" s="627">
        <v>-14772509.684517073</v>
      </c>
      <c r="F99" s="213"/>
      <c r="G99" s="213"/>
      <c r="H99" s="251"/>
      <c r="I99" s="251"/>
      <c r="J99" s="627">
        <v>61133.271335334284</v>
      </c>
      <c r="O99" s="627">
        <v>137890.37865459672</v>
      </c>
      <c r="T99" s="627">
        <v>-41672583.95949994</v>
      </c>
      <c r="Z99" s="213"/>
      <c r="AA99" s="213"/>
      <c r="AB99" s="213"/>
      <c r="AC99" s="213"/>
      <c r="AD99" s="627">
        <v>1736211.9514499884</v>
      </c>
      <c r="AF99" s="251"/>
      <c r="AG99" s="251"/>
      <c r="AH99" s="251"/>
      <c r="AI99" s="627">
        <v>-145490.32262849354</v>
      </c>
      <c r="AN99" s="627">
        <v>-3492716.8900000006</v>
      </c>
      <c r="AO99" s="251"/>
      <c r="AP99" s="251"/>
      <c r="AQ99" s="251"/>
      <c r="AR99" s="251"/>
      <c r="AS99" s="627">
        <v>2156.0948424596518</v>
      </c>
      <c r="AT99" s="251"/>
      <c r="AU99" s="251"/>
      <c r="AV99" s="251"/>
      <c r="AW99" s="251"/>
      <c r="AX99" s="627">
        <v>0</v>
      </c>
      <c r="AY99" s="251"/>
      <c r="AZ99" s="251"/>
      <c r="BA99" s="251"/>
      <c r="BB99" s="251"/>
      <c r="BC99" s="627">
        <v>-3288310.2380116768</v>
      </c>
      <c r="BD99" s="251"/>
      <c r="BE99" s="251"/>
      <c r="BF99" s="251"/>
      <c r="BG99" s="251"/>
      <c r="BH99" s="213"/>
      <c r="BI99" s="213"/>
      <c r="BJ99" s="213"/>
      <c r="BK99" s="213"/>
      <c r="BL99" s="213"/>
      <c r="BM99" s="627">
        <v>3129292.1922478946</v>
      </c>
      <c r="BN99" s="213"/>
      <c r="BO99" s="213"/>
      <c r="BP99" s="209"/>
      <c r="BQ99" s="209"/>
      <c r="BR99" s="209"/>
      <c r="BS99" s="209"/>
      <c r="BT99" s="209"/>
      <c r="BU99" s="209"/>
      <c r="BV99" s="209"/>
      <c r="BW99" s="209"/>
      <c r="BX99" s="209"/>
      <c r="BY99" s="209"/>
      <c r="BZ99" s="209"/>
      <c r="CA99" s="209"/>
      <c r="CB99" s="209"/>
      <c r="CD99" s="72"/>
      <c r="CE99" s="72"/>
      <c r="CF99" s="72"/>
      <c r="CG99" s="72"/>
    </row>
    <row r="100" spans="1:85" s="252" customFormat="1" outlineLevel="1">
      <c r="A100" s="253">
        <v>88</v>
      </c>
      <c r="B100" s="213"/>
      <c r="C100" s="213"/>
      <c r="D100" s="213"/>
      <c r="E100" s="213"/>
      <c r="F100" s="213"/>
      <c r="G100" s="213"/>
      <c r="H100" s="251"/>
      <c r="I100" s="251"/>
      <c r="J100" s="213"/>
      <c r="O100" s="213"/>
      <c r="T100" s="213"/>
      <c r="Z100" s="213"/>
      <c r="AA100" s="213"/>
      <c r="AB100" s="213"/>
      <c r="AC100" s="213"/>
      <c r="AD100" s="213"/>
      <c r="AF100" s="251"/>
      <c r="AG100" s="251"/>
      <c r="AH100" s="251"/>
      <c r="AI100" s="213"/>
      <c r="AN100" s="213"/>
      <c r="AO100" s="251"/>
      <c r="AP100" s="251"/>
      <c r="AQ100" s="251"/>
      <c r="AR100" s="251"/>
      <c r="AS100" s="213"/>
      <c r="AT100" s="251"/>
      <c r="AU100" s="251"/>
      <c r="AV100" s="251"/>
      <c r="AW100" s="251"/>
      <c r="AX100" s="213"/>
      <c r="AY100" s="251"/>
      <c r="AZ100" s="251"/>
      <c r="BA100" s="251"/>
      <c r="BB100" s="251"/>
      <c r="BC100" s="213"/>
      <c r="BD100" s="251"/>
      <c r="BE100" s="251"/>
      <c r="BF100" s="251"/>
      <c r="BG100" s="251"/>
      <c r="BH100" s="627">
        <f>BH23-BH98</f>
        <v>560258.83333333302</v>
      </c>
      <c r="BI100" s="627"/>
      <c r="BJ100" s="627"/>
      <c r="BK100" s="627"/>
      <c r="BL100" s="627"/>
      <c r="BM100" s="213"/>
      <c r="BN100" s="213"/>
      <c r="BO100" s="213"/>
      <c r="BP100" s="209"/>
      <c r="BQ100" s="209"/>
      <c r="BR100" s="209"/>
      <c r="BS100" s="209"/>
      <c r="BT100" s="209"/>
      <c r="BU100" s="209"/>
      <c r="BV100" s="209"/>
      <c r="BW100" s="209"/>
      <c r="BX100" s="209"/>
      <c r="BY100" s="209"/>
      <c r="BZ100" s="209"/>
      <c r="CA100" s="209"/>
      <c r="CB100" s="209"/>
      <c r="CD100" s="72"/>
      <c r="CE100" s="72"/>
      <c r="CF100" s="72"/>
      <c r="CG100" s="72"/>
    </row>
    <row r="101" spans="1:85" s="252" customFormat="1" outlineLevel="1">
      <c r="A101" s="253">
        <v>89</v>
      </c>
      <c r="B101" s="629" t="s">
        <v>888</v>
      </c>
      <c r="C101" s="218"/>
      <c r="D101" s="218"/>
      <c r="E101" s="627">
        <f>E33-E99</f>
        <v>11943137.818645086</v>
      </c>
      <c r="G101" s="251"/>
      <c r="H101" s="251"/>
      <c r="I101" s="251"/>
      <c r="J101" s="627">
        <f>J26-J99</f>
        <v>0</v>
      </c>
      <c r="O101" s="627">
        <f>O28-O99</f>
        <v>0</v>
      </c>
      <c r="T101" s="627">
        <f>T21-T99</f>
        <v>0</v>
      </c>
      <c r="Z101" s="213"/>
      <c r="AA101" s="213"/>
      <c r="AB101" s="213"/>
      <c r="AC101" s="213"/>
      <c r="AD101" s="627">
        <f>AD61-AD99</f>
        <v>0</v>
      </c>
      <c r="AF101" s="251"/>
      <c r="AG101" s="251"/>
      <c r="AH101" s="251"/>
      <c r="AI101" s="627">
        <f>AI29-AI99</f>
        <v>0</v>
      </c>
      <c r="AN101" s="627">
        <f>AN29-AN99</f>
        <v>3492716.8900000006</v>
      </c>
      <c r="AO101" s="251"/>
      <c r="AP101" s="251"/>
      <c r="AQ101" s="251"/>
      <c r="AR101" s="251"/>
      <c r="AS101" s="627">
        <f>AS39-AS99</f>
        <v>0</v>
      </c>
      <c r="AT101" s="251"/>
      <c r="AU101" s="251"/>
      <c r="AV101" s="251"/>
      <c r="AW101" s="251"/>
      <c r="AX101" s="627">
        <f>AX39-AX99</f>
        <v>0</v>
      </c>
      <c r="AY101" s="251"/>
      <c r="AZ101" s="251"/>
      <c r="BA101" s="251"/>
      <c r="BB101" s="251"/>
      <c r="BC101" s="627">
        <f>BC29-BC99</f>
        <v>3288310.2380116768</v>
      </c>
      <c r="BD101" s="251"/>
      <c r="BE101" s="251"/>
      <c r="BF101" s="251"/>
      <c r="BG101" s="251"/>
      <c r="BH101" s="213"/>
      <c r="BI101" s="627"/>
      <c r="BJ101" s="627"/>
      <c r="BK101" s="627"/>
      <c r="BL101" s="627"/>
      <c r="BM101" s="627">
        <f>BM50-BM99</f>
        <v>-3095135.719882831</v>
      </c>
      <c r="BN101" s="213"/>
      <c r="BO101" s="213"/>
      <c r="BP101" s="209"/>
      <c r="BQ101" s="209"/>
      <c r="BR101" s="209"/>
      <c r="BS101" s="209"/>
      <c r="BT101" s="209"/>
      <c r="BU101" s="209"/>
      <c r="BV101" s="209"/>
      <c r="BW101" s="209"/>
      <c r="BX101" s="209"/>
      <c r="BY101" s="209"/>
      <c r="BZ101" s="209"/>
      <c r="CA101" s="209"/>
      <c r="CB101" s="209"/>
      <c r="CD101" s="72"/>
      <c r="CE101" s="72"/>
      <c r="CF101" s="72"/>
      <c r="CG101" s="72"/>
    </row>
    <row r="102" spans="1:85" s="252" customFormat="1" outlineLevel="1">
      <c r="A102" s="253">
        <v>90</v>
      </c>
      <c r="B102" s="218"/>
      <c r="C102" s="218"/>
      <c r="D102" s="218"/>
      <c r="E102" s="213"/>
      <c r="G102" s="251"/>
      <c r="H102" s="251"/>
      <c r="I102" s="251"/>
      <c r="Y102" s="839">
        <v>-8389017.6852083318</v>
      </c>
      <c r="Z102" s="213"/>
      <c r="AA102" s="213"/>
      <c r="AB102" s="213"/>
      <c r="AC102" s="213"/>
      <c r="AD102" s="213"/>
      <c r="AF102" s="251"/>
      <c r="AG102" s="251"/>
      <c r="AH102" s="251"/>
      <c r="AI102" s="251"/>
      <c r="AO102" s="251"/>
      <c r="AP102" s="251"/>
      <c r="AQ102" s="251"/>
      <c r="AR102" s="251"/>
      <c r="AS102" s="251"/>
      <c r="AT102" s="251"/>
      <c r="AU102" s="251"/>
      <c r="AV102" s="251"/>
      <c r="AW102" s="251"/>
      <c r="AX102" s="213"/>
      <c r="AY102" s="251"/>
      <c r="AZ102" s="251"/>
      <c r="BA102" s="251"/>
      <c r="BB102" s="251"/>
      <c r="BC102" s="213"/>
      <c r="BD102" s="251"/>
      <c r="BE102" s="251"/>
      <c r="BF102" s="251"/>
      <c r="BG102" s="251"/>
      <c r="BH102" s="627">
        <v>5739614.9999999851</v>
      </c>
      <c r="BI102" s="213"/>
      <c r="BJ102" s="213"/>
      <c r="BK102" s="213"/>
      <c r="BL102" s="213"/>
      <c r="BM102" s="213"/>
      <c r="BN102" s="213"/>
      <c r="BO102" s="213"/>
      <c r="BP102" s="209"/>
      <c r="BQ102" s="209"/>
      <c r="BR102" s="209"/>
      <c r="BS102" s="209"/>
      <c r="BT102" s="209"/>
      <c r="BU102" s="209"/>
      <c r="BV102" s="209"/>
      <c r="BW102" s="209"/>
      <c r="BX102" s="209"/>
      <c r="BY102" s="209"/>
      <c r="BZ102" s="209"/>
      <c r="CA102" s="209"/>
      <c r="CB102" s="209"/>
      <c r="CD102" s="72"/>
      <c r="CE102" s="72"/>
      <c r="CF102" s="72"/>
      <c r="CG102" s="72"/>
    </row>
    <row r="103" spans="1:85" s="252" customFormat="1" outlineLevel="1">
      <c r="A103" s="253">
        <v>91</v>
      </c>
      <c r="B103" s="629" t="s">
        <v>929</v>
      </c>
      <c r="C103" s="218"/>
      <c r="D103" s="218"/>
      <c r="E103" s="627">
        <v>0</v>
      </c>
      <c r="G103" s="251"/>
      <c r="H103" s="251"/>
      <c r="I103" s="251"/>
      <c r="J103" s="627">
        <v>0</v>
      </c>
      <c r="O103" s="627">
        <v>-1969341.3363122563</v>
      </c>
      <c r="T103" s="627">
        <v>0</v>
      </c>
      <c r="Y103" s="213"/>
      <c r="Z103" s="213"/>
      <c r="AA103" s="213"/>
      <c r="AB103" s="213"/>
      <c r="AC103" s="213"/>
      <c r="AD103" s="627">
        <v>-44085326.485419191</v>
      </c>
      <c r="AF103" s="251"/>
      <c r="AG103" s="251"/>
      <c r="AH103" s="251"/>
      <c r="AI103" s="627">
        <v>2842787.0613208562</v>
      </c>
      <c r="AN103" s="627">
        <v>5131869.0972135225</v>
      </c>
      <c r="AO103" s="251"/>
      <c r="AP103" s="251"/>
      <c r="AQ103" s="251"/>
      <c r="AR103" s="251"/>
      <c r="AS103" s="627">
        <v>18140954.406375196</v>
      </c>
      <c r="AT103" s="251"/>
      <c r="AU103" s="251"/>
      <c r="AV103" s="251"/>
      <c r="AW103" s="251"/>
      <c r="AX103" s="627">
        <v>19004590.008907948</v>
      </c>
      <c r="AY103" s="251"/>
      <c r="AZ103" s="251"/>
      <c r="BA103" s="251"/>
      <c r="BB103" s="251"/>
      <c r="BC103" s="627">
        <v>-4108724.3018971421</v>
      </c>
      <c r="BD103" s="251"/>
      <c r="BE103" s="251"/>
      <c r="BF103" s="251"/>
      <c r="BG103" s="251"/>
      <c r="BH103" s="213"/>
      <c r="BI103" s="298"/>
      <c r="BJ103" s="213"/>
      <c r="BK103" s="213"/>
      <c r="BL103" s="213"/>
      <c r="BM103" s="627">
        <v>-54762869.208236404</v>
      </c>
      <c r="BN103" s="213"/>
      <c r="BO103" s="213"/>
      <c r="BP103" s="209"/>
      <c r="BQ103" s="209"/>
      <c r="BR103" s="209"/>
      <c r="BS103" s="209"/>
      <c r="BT103" s="209"/>
      <c r="BU103" s="209"/>
      <c r="BV103" s="209"/>
      <c r="BW103" s="209"/>
      <c r="BX103" s="209"/>
      <c r="BY103" s="209"/>
      <c r="BZ103" s="209"/>
      <c r="CA103" s="209"/>
      <c r="CB103" s="209"/>
      <c r="CD103" s="72"/>
      <c r="CE103" s="72"/>
      <c r="CF103" s="72"/>
      <c r="CG103" s="72"/>
    </row>
    <row r="104" spans="1:85" s="252" customFormat="1" outlineLevel="1">
      <c r="A104" s="253">
        <v>92</v>
      </c>
      <c r="B104" s="218"/>
      <c r="C104" s="218"/>
      <c r="D104" s="218"/>
      <c r="E104" s="213"/>
      <c r="G104" s="251"/>
      <c r="H104" s="251"/>
      <c r="I104" s="251"/>
      <c r="J104" s="213"/>
      <c r="O104" s="213"/>
      <c r="T104" s="213"/>
      <c r="Y104" s="839">
        <f>Y68-Y102</f>
        <v>7751323.3649583347</v>
      </c>
      <c r="Z104" s="213"/>
      <c r="AA104" s="213"/>
      <c r="AB104" s="213"/>
      <c r="AC104" s="213"/>
      <c r="AD104" s="213"/>
      <c r="AF104" s="251"/>
      <c r="AG104" s="251"/>
      <c r="AH104" s="251"/>
      <c r="AI104" s="213"/>
      <c r="AN104" s="213"/>
      <c r="AO104" s="251"/>
      <c r="AP104" s="251"/>
      <c r="AQ104" s="251"/>
      <c r="AR104" s="251"/>
      <c r="AS104" s="213"/>
      <c r="AT104" s="251"/>
      <c r="AU104" s="251"/>
      <c r="AV104" s="251"/>
      <c r="AW104" s="251"/>
      <c r="AX104" s="213"/>
      <c r="AY104" s="251"/>
      <c r="AZ104" s="251"/>
      <c r="BA104" s="251"/>
      <c r="BB104" s="251"/>
      <c r="BC104" s="213"/>
      <c r="BD104" s="251"/>
      <c r="BE104" s="251"/>
      <c r="BF104" s="251"/>
      <c r="BG104" s="251"/>
      <c r="BH104" s="627">
        <f>BH15-BH102</f>
        <v>63899999.979849756</v>
      </c>
      <c r="BM104" s="213"/>
      <c r="BN104" s="213"/>
      <c r="BO104" s="213"/>
      <c r="BP104" s="209"/>
      <c r="BQ104" s="209"/>
      <c r="BR104" s="209"/>
      <c r="BS104" s="209"/>
      <c r="BT104" s="209"/>
      <c r="BU104" s="209"/>
      <c r="BV104" s="209"/>
      <c r="BW104" s="209"/>
      <c r="BX104" s="209"/>
      <c r="BY104" s="209"/>
      <c r="BZ104" s="209"/>
      <c r="CA104" s="209"/>
      <c r="CB104" s="209"/>
      <c r="CD104" s="72"/>
      <c r="CE104" s="72"/>
      <c r="CF104" s="72"/>
      <c r="CG104" s="72"/>
    </row>
    <row r="105" spans="1:85" s="252" customFormat="1" outlineLevel="1">
      <c r="A105" s="253">
        <v>93</v>
      </c>
      <c r="B105" s="629" t="s">
        <v>888</v>
      </c>
      <c r="C105" s="218"/>
      <c r="D105" s="218"/>
      <c r="E105" s="627">
        <v>0</v>
      </c>
      <c r="G105" s="251"/>
      <c r="H105" s="251"/>
      <c r="I105" s="251"/>
      <c r="J105" s="627">
        <v>0</v>
      </c>
      <c r="O105" s="627">
        <f>O20-O103</f>
        <v>0</v>
      </c>
      <c r="T105" s="627">
        <v>0</v>
      </c>
      <c r="Y105" s="839"/>
      <c r="Z105" s="213"/>
      <c r="AA105" s="213"/>
      <c r="AB105" s="213"/>
      <c r="AC105" s="213"/>
      <c r="AD105" s="627">
        <f>AD33-AD103</f>
        <v>0</v>
      </c>
      <c r="AF105" s="251"/>
      <c r="AG105" s="251"/>
      <c r="AH105" s="251"/>
      <c r="AI105" s="627">
        <f>AI19-AI103</f>
        <v>0</v>
      </c>
      <c r="AN105" s="627">
        <f>AN18-AN103</f>
        <v>-5131869.0972135225</v>
      </c>
      <c r="AO105" s="251"/>
      <c r="AP105" s="251"/>
      <c r="AQ105" s="251"/>
      <c r="AR105" s="251"/>
      <c r="AS105" s="627">
        <f>AS19+AS27-AS103</f>
        <v>0</v>
      </c>
      <c r="AT105" s="251"/>
      <c r="AU105" s="251"/>
      <c r="AV105" s="251"/>
      <c r="AW105" s="251"/>
      <c r="AX105" s="627">
        <f>AX18-AX103</f>
        <v>0</v>
      </c>
      <c r="AY105" s="251"/>
      <c r="AZ105" s="251"/>
      <c r="BA105" s="251"/>
      <c r="BB105" s="251"/>
      <c r="BC105" s="627">
        <f>BC20-BC103</f>
        <v>1644155.1190058426</v>
      </c>
      <c r="BD105" s="251"/>
      <c r="BE105" s="251"/>
      <c r="BF105" s="251"/>
      <c r="BG105" s="251"/>
      <c r="BH105" s="251"/>
      <c r="BM105" s="627">
        <f>BL96-BM103</f>
        <v>54762869.208236404</v>
      </c>
      <c r="BN105" s="213"/>
      <c r="BO105" s="213"/>
      <c r="BP105" s="209"/>
      <c r="BQ105" s="209"/>
      <c r="BR105" s="209"/>
      <c r="BS105" s="209"/>
      <c r="BT105" s="209"/>
      <c r="BU105" s="209"/>
      <c r="BV105" s="209"/>
      <c r="BW105" s="209"/>
      <c r="BX105" s="209"/>
      <c r="BY105" s="209"/>
      <c r="BZ105" s="209"/>
      <c r="CA105" s="209"/>
      <c r="CB105" s="209"/>
      <c r="CD105" s="72"/>
      <c r="CE105" s="72"/>
      <c r="CF105" s="72"/>
      <c r="CG105" s="72"/>
    </row>
    <row r="106" spans="1:85" s="252" customFormat="1">
      <c r="A106" s="253"/>
      <c r="B106" s="218"/>
      <c r="C106" s="218"/>
      <c r="D106" s="218"/>
      <c r="E106" s="218"/>
      <c r="G106" s="251"/>
      <c r="H106" s="251"/>
      <c r="I106" s="251"/>
      <c r="J106" s="251"/>
      <c r="Y106" s="839">
        <v>0</v>
      </c>
      <c r="Z106" s="213"/>
      <c r="AA106" s="213"/>
      <c r="AB106" s="213"/>
      <c r="AC106" s="213"/>
      <c r="AD106" s="213"/>
      <c r="AF106" s="251"/>
      <c r="AG106" s="251"/>
      <c r="AH106" s="251"/>
      <c r="AI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N106" s="213"/>
      <c r="BO106" s="213"/>
      <c r="BP106" s="209"/>
      <c r="BQ106" s="209"/>
      <c r="BR106" s="209"/>
      <c r="BS106" s="209"/>
      <c r="BT106" s="209"/>
      <c r="BU106" s="209"/>
      <c r="BV106" s="209"/>
      <c r="BW106" s="209"/>
      <c r="BX106" s="209"/>
      <c r="BY106" s="209"/>
      <c r="BZ106" s="209"/>
      <c r="CA106" s="209"/>
      <c r="CB106" s="209"/>
      <c r="CD106" s="72"/>
      <c r="CE106" s="72"/>
      <c r="CF106" s="72"/>
      <c r="CG106" s="72"/>
    </row>
    <row r="107" spans="1:85" s="252" customFormat="1">
      <c r="A107" s="253"/>
      <c r="B107" s="218"/>
      <c r="C107" s="218"/>
      <c r="D107" s="218"/>
      <c r="E107" s="218"/>
      <c r="G107" s="251"/>
      <c r="H107" s="251"/>
      <c r="I107" s="251"/>
      <c r="J107" s="251"/>
      <c r="Y107" s="213"/>
      <c r="Z107" s="213"/>
      <c r="AA107" s="213"/>
      <c r="AB107" s="213"/>
      <c r="AC107" s="213"/>
      <c r="AD107" s="213"/>
      <c r="AF107" s="251"/>
      <c r="AG107" s="251"/>
      <c r="AH107" s="251"/>
      <c r="AI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N107" s="213"/>
      <c r="BO107" s="213"/>
      <c r="BP107" s="209"/>
      <c r="BQ107" s="209"/>
      <c r="BR107" s="209"/>
      <c r="BS107" s="209"/>
      <c r="BT107" s="209"/>
      <c r="BU107" s="209"/>
      <c r="BV107" s="209"/>
      <c r="BW107" s="209"/>
      <c r="BX107" s="209"/>
      <c r="BY107" s="209"/>
      <c r="BZ107" s="209"/>
      <c r="CA107" s="209"/>
      <c r="CB107" s="209"/>
      <c r="CD107" s="72"/>
      <c r="CE107" s="72"/>
      <c r="CF107" s="72"/>
      <c r="CG107" s="72"/>
    </row>
    <row r="108" spans="1:85" s="252" customFormat="1">
      <c r="A108" s="253"/>
      <c r="B108" s="218"/>
      <c r="C108" s="218"/>
      <c r="D108" s="218"/>
      <c r="E108" s="218"/>
      <c r="G108" s="251"/>
      <c r="H108" s="251"/>
      <c r="I108" s="251"/>
      <c r="J108" s="251"/>
      <c r="Y108" s="839">
        <v>0</v>
      </c>
      <c r="Z108" s="213"/>
      <c r="AA108" s="213"/>
      <c r="AB108" s="213"/>
      <c r="AC108" s="213"/>
      <c r="AD108" s="213"/>
      <c r="AF108" s="251"/>
      <c r="AG108" s="251"/>
      <c r="AH108" s="251"/>
      <c r="AI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N108" s="213"/>
      <c r="BO108" s="213"/>
      <c r="BP108" s="209"/>
      <c r="BQ108" s="209"/>
      <c r="BR108" s="209"/>
      <c r="BS108" s="209"/>
      <c r="BT108" s="209"/>
      <c r="BU108" s="209"/>
      <c r="BV108" s="209"/>
      <c r="BW108" s="209"/>
      <c r="BX108" s="209"/>
      <c r="BY108" s="209"/>
      <c r="BZ108" s="209"/>
      <c r="CA108" s="209"/>
      <c r="CB108" s="209"/>
      <c r="CD108" s="72"/>
      <c r="CE108" s="72"/>
      <c r="CF108" s="72"/>
      <c r="CG108" s="72"/>
    </row>
    <row r="109" spans="1:85" s="252" customFormat="1">
      <c r="A109" s="253"/>
      <c r="B109" s="218"/>
      <c r="C109" s="218"/>
      <c r="D109" s="218"/>
      <c r="E109" s="218"/>
      <c r="G109" s="251"/>
      <c r="H109" s="251"/>
      <c r="I109" s="251"/>
      <c r="J109" s="251"/>
      <c r="Z109" s="213"/>
      <c r="AA109" s="213"/>
      <c r="AB109" s="213"/>
      <c r="AC109" s="213"/>
      <c r="AD109" s="213"/>
      <c r="AF109" s="251"/>
      <c r="AG109" s="251"/>
      <c r="AH109" s="251"/>
      <c r="AI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N109" s="213"/>
      <c r="BO109" s="213"/>
      <c r="BP109" s="209"/>
      <c r="BQ109" s="209"/>
      <c r="BR109" s="209"/>
      <c r="BS109" s="209"/>
      <c r="BT109" s="209"/>
      <c r="BU109" s="209"/>
      <c r="BV109" s="209"/>
      <c r="BW109" s="209"/>
      <c r="BX109" s="209"/>
      <c r="BY109" s="209"/>
      <c r="BZ109" s="209"/>
      <c r="CA109" s="209"/>
      <c r="CB109" s="209"/>
      <c r="CD109" s="72"/>
      <c r="CE109" s="72"/>
      <c r="CF109" s="72"/>
      <c r="CG109" s="72"/>
    </row>
    <row r="110" spans="1:85" s="252" customFormat="1">
      <c r="A110" s="253"/>
      <c r="B110" s="218"/>
      <c r="C110" s="218"/>
      <c r="D110" s="218"/>
      <c r="E110" s="218"/>
      <c r="G110" s="251"/>
      <c r="H110" s="251"/>
      <c r="I110" s="251"/>
      <c r="J110" s="251"/>
      <c r="Z110" s="213"/>
      <c r="AA110" s="213"/>
      <c r="AB110" s="213"/>
      <c r="AC110" s="213"/>
      <c r="AD110" s="213"/>
      <c r="AF110" s="251"/>
      <c r="AG110" s="251"/>
      <c r="AH110" s="251"/>
      <c r="AI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N110" s="213"/>
      <c r="BO110" s="213"/>
      <c r="BP110" s="209"/>
      <c r="BQ110" s="209"/>
      <c r="BR110" s="209"/>
      <c r="BS110" s="209"/>
      <c r="BT110" s="209"/>
      <c r="BU110" s="209"/>
      <c r="BV110" s="209"/>
      <c r="BW110" s="209"/>
      <c r="BX110" s="209"/>
      <c r="BY110" s="209"/>
      <c r="BZ110" s="209"/>
      <c r="CA110" s="209"/>
      <c r="CB110" s="209"/>
      <c r="CD110" s="72"/>
      <c r="CE110" s="72"/>
      <c r="CF110" s="72"/>
      <c r="CG110" s="72"/>
    </row>
    <row r="111" spans="1:85">
      <c r="A111" s="253"/>
      <c r="B111" s="218"/>
      <c r="C111" s="218"/>
      <c r="D111" s="218"/>
      <c r="E111" s="218"/>
      <c r="G111" s="251"/>
      <c r="H111" s="251"/>
      <c r="I111" s="251"/>
      <c r="J111" s="251"/>
      <c r="Z111" s="213"/>
      <c r="AA111" s="213"/>
      <c r="AB111" s="213"/>
      <c r="AC111" s="213"/>
      <c r="AD111" s="213"/>
      <c r="AF111" s="251"/>
      <c r="AG111" s="251"/>
      <c r="AH111" s="251"/>
      <c r="AI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N111" s="213"/>
      <c r="BO111" s="213"/>
    </row>
    <row r="112" spans="1:85">
      <c r="A112" s="253"/>
      <c r="B112" s="218"/>
      <c r="C112" s="218"/>
      <c r="D112" s="218"/>
      <c r="E112" s="218"/>
      <c r="G112" s="251"/>
      <c r="H112" s="251"/>
      <c r="I112" s="251"/>
      <c r="J112" s="251"/>
      <c r="Z112" s="213"/>
      <c r="AA112" s="213"/>
      <c r="AB112" s="213"/>
      <c r="AC112" s="213"/>
      <c r="AD112" s="213"/>
      <c r="AF112" s="251"/>
      <c r="AG112" s="251"/>
      <c r="AH112" s="251"/>
      <c r="AI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N112" s="213"/>
      <c r="BO112" s="213"/>
    </row>
    <row r="113" spans="1:67">
      <c r="A113" s="253"/>
      <c r="B113" s="218"/>
      <c r="C113" s="218"/>
      <c r="D113" s="218"/>
      <c r="E113" s="218"/>
      <c r="G113" s="251"/>
      <c r="H113" s="251"/>
      <c r="I113" s="251"/>
      <c r="J113" s="251"/>
      <c r="Z113" s="213"/>
      <c r="AA113" s="213"/>
      <c r="AB113" s="213"/>
      <c r="AC113" s="213"/>
      <c r="AD113" s="213"/>
      <c r="AF113" s="251"/>
      <c r="AG113" s="251"/>
      <c r="AH113" s="251"/>
      <c r="AI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N113" s="213"/>
      <c r="BO113" s="213"/>
    </row>
    <row r="114" spans="1:67">
      <c r="A114" s="253"/>
      <c r="B114" s="218"/>
      <c r="C114" s="218"/>
      <c r="D114" s="218"/>
      <c r="E114" s="218"/>
      <c r="G114" s="251"/>
      <c r="H114" s="251"/>
      <c r="I114" s="251"/>
      <c r="J114" s="251"/>
      <c r="Z114" s="213"/>
      <c r="AA114" s="213"/>
      <c r="AB114" s="213"/>
      <c r="AC114" s="213"/>
      <c r="AD114" s="213"/>
      <c r="AF114" s="251"/>
      <c r="AG114" s="251"/>
      <c r="AH114" s="251"/>
      <c r="AI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N114" s="213"/>
      <c r="BO114" s="213"/>
    </row>
    <row r="115" spans="1:67">
      <c r="A115" s="253"/>
      <c r="B115" s="218"/>
      <c r="C115" s="218"/>
      <c r="D115" s="218"/>
      <c r="E115" s="218"/>
      <c r="G115" s="251"/>
      <c r="H115" s="251"/>
      <c r="I115" s="251"/>
      <c r="J115" s="251"/>
      <c r="Z115" s="213"/>
      <c r="AA115" s="213"/>
      <c r="AB115" s="213"/>
      <c r="AC115" s="213"/>
      <c r="AD115" s="213"/>
      <c r="AF115" s="251"/>
      <c r="AG115" s="251"/>
      <c r="AH115" s="251"/>
      <c r="AI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N115" s="213"/>
      <c r="BO115" s="213"/>
    </row>
    <row r="116" spans="1:67">
      <c r="A116" s="253"/>
      <c r="B116" s="218"/>
      <c r="C116" s="218"/>
      <c r="D116" s="218"/>
      <c r="E116" s="218"/>
      <c r="G116" s="251"/>
      <c r="H116" s="251"/>
      <c r="I116" s="251"/>
      <c r="J116" s="251"/>
      <c r="Z116" s="213"/>
      <c r="AA116" s="213"/>
      <c r="AB116" s="213"/>
      <c r="AC116" s="213"/>
      <c r="AD116" s="213"/>
      <c r="AF116" s="251"/>
      <c r="AG116" s="251"/>
      <c r="AH116" s="251"/>
      <c r="AI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N116" s="213"/>
      <c r="BO116" s="213"/>
    </row>
    <row r="117" spans="1:67">
      <c r="A117" s="213"/>
      <c r="B117" s="218"/>
      <c r="C117" s="218"/>
      <c r="D117" s="218"/>
      <c r="E117" s="218"/>
      <c r="G117" s="251"/>
      <c r="H117" s="251"/>
      <c r="I117" s="251"/>
      <c r="J117" s="251"/>
      <c r="Z117" s="213"/>
      <c r="AA117" s="213"/>
      <c r="AB117" s="213"/>
      <c r="AC117" s="213"/>
      <c r="AD117" s="213"/>
      <c r="AF117" s="251"/>
      <c r="AG117" s="251"/>
      <c r="AH117" s="251"/>
      <c r="AI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N117" s="213"/>
      <c r="BO117" s="213"/>
    </row>
    <row r="118" spans="1:67">
      <c r="A118" s="213"/>
      <c r="B118" s="218"/>
      <c r="C118" s="218"/>
      <c r="D118" s="218"/>
      <c r="E118" s="218"/>
      <c r="G118" s="251"/>
      <c r="H118" s="251"/>
      <c r="I118" s="251"/>
      <c r="J118" s="251"/>
      <c r="Z118" s="213"/>
      <c r="AA118" s="213"/>
      <c r="AB118" s="213"/>
      <c r="AC118" s="213"/>
      <c r="AD118" s="213"/>
      <c r="AF118" s="251"/>
      <c r="AG118" s="251"/>
      <c r="AH118" s="251"/>
      <c r="AI118" s="251"/>
      <c r="AO118" s="251"/>
      <c r="AP118" s="251"/>
      <c r="AQ118" s="251"/>
      <c r="AR118" s="251"/>
      <c r="AS118" s="251"/>
      <c r="AT118" s="251"/>
      <c r="AU118" s="251"/>
      <c r="AV118" s="251"/>
      <c r="AW118" s="251"/>
      <c r="AX118" s="251"/>
      <c r="AY118" s="251"/>
      <c r="AZ118" s="251"/>
      <c r="BA118" s="251"/>
      <c r="BB118" s="251"/>
      <c r="BC118" s="251"/>
      <c r="BD118" s="251"/>
      <c r="BN118" s="213"/>
      <c r="BO118" s="213"/>
    </row>
    <row r="119" spans="1:67">
      <c r="G119" s="251"/>
      <c r="H119" s="251"/>
      <c r="I119" s="251"/>
      <c r="J119" s="251"/>
      <c r="Z119" s="213"/>
      <c r="AA119" s="213"/>
      <c r="AB119" s="213"/>
      <c r="AC119" s="213"/>
      <c r="AD119" s="213"/>
      <c r="AF119" s="251"/>
      <c r="AG119" s="251"/>
      <c r="AH119" s="251"/>
      <c r="AI119" s="251"/>
      <c r="BJ119" s="72"/>
      <c r="BK119" s="72"/>
      <c r="BL119" s="72"/>
      <c r="BM119" s="72"/>
      <c r="BN119" s="213"/>
      <c r="BO119" s="213"/>
    </row>
    <row r="120" spans="1:67">
      <c r="G120" s="251"/>
      <c r="H120" s="251"/>
      <c r="I120" s="251"/>
      <c r="J120" s="251"/>
      <c r="Z120" s="213"/>
      <c r="AA120" s="213"/>
      <c r="AB120" s="213"/>
      <c r="AC120" s="213"/>
      <c r="AD120" s="213"/>
      <c r="AF120" s="251"/>
      <c r="AG120" s="251"/>
      <c r="AH120" s="251"/>
      <c r="AI120" s="251"/>
      <c r="BJ120" s="72"/>
      <c r="BK120" s="72"/>
      <c r="BL120" s="72"/>
      <c r="BM120" s="72"/>
      <c r="BN120" s="213"/>
      <c r="BO120" s="213"/>
    </row>
    <row r="121" spans="1:67">
      <c r="G121" s="251"/>
      <c r="H121" s="251"/>
      <c r="I121" s="251"/>
      <c r="J121" s="251"/>
      <c r="Z121" s="213"/>
      <c r="AA121" s="213"/>
      <c r="AB121" s="213"/>
      <c r="AC121" s="213"/>
      <c r="AD121" s="213"/>
      <c r="BJ121" s="72"/>
      <c r="BK121" s="72"/>
      <c r="BL121" s="72"/>
      <c r="BM121" s="72"/>
      <c r="BN121" s="213"/>
      <c r="BO121" s="213"/>
    </row>
    <row r="122" spans="1:67">
      <c r="G122" s="251"/>
      <c r="H122" s="251"/>
      <c r="I122" s="251"/>
      <c r="J122" s="251"/>
      <c r="Z122" s="213"/>
      <c r="AA122" s="213"/>
      <c r="AB122" s="213"/>
      <c r="AC122" s="213"/>
      <c r="AD122" s="213"/>
      <c r="BJ122" s="72"/>
      <c r="BK122" s="72"/>
      <c r="BL122" s="72"/>
      <c r="BM122" s="72"/>
      <c r="BN122" s="213"/>
      <c r="BO122" s="213"/>
    </row>
    <row r="123" spans="1:67">
      <c r="G123" s="251"/>
      <c r="H123" s="251"/>
      <c r="I123" s="251"/>
      <c r="J123" s="251"/>
      <c r="Z123" s="213"/>
      <c r="AA123" s="213"/>
      <c r="AB123" s="213"/>
      <c r="AC123" s="213"/>
      <c r="AD123" s="213"/>
      <c r="BJ123" s="72"/>
      <c r="BK123" s="72"/>
      <c r="BL123" s="72"/>
      <c r="BM123" s="72"/>
      <c r="BN123" s="213"/>
      <c r="BO123" s="213"/>
    </row>
    <row r="124" spans="1:67">
      <c r="G124" s="251"/>
      <c r="H124" s="251"/>
      <c r="I124" s="251"/>
      <c r="J124" s="251"/>
      <c r="Z124" s="213"/>
      <c r="AA124" s="213"/>
      <c r="AB124" s="213"/>
      <c r="AC124" s="213"/>
      <c r="AD124" s="213"/>
      <c r="BJ124" s="72"/>
      <c r="BK124" s="72"/>
      <c r="BL124" s="72"/>
      <c r="BM124" s="72"/>
      <c r="BN124" s="213"/>
      <c r="BO124" s="213"/>
    </row>
    <row r="125" spans="1:67">
      <c r="G125" s="251"/>
      <c r="H125" s="251"/>
      <c r="I125" s="251"/>
      <c r="J125" s="251"/>
      <c r="Z125" s="213"/>
      <c r="AA125" s="213"/>
      <c r="AB125" s="213"/>
      <c r="AC125" s="213"/>
      <c r="AD125" s="213"/>
      <c r="BJ125" s="72"/>
      <c r="BK125" s="72"/>
      <c r="BL125" s="72"/>
      <c r="BM125" s="72"/>
      <c r="BN125" s="213"/>
      <c r="BO125" s="213"/>
    </row>
    <row r="126" spans="1:67">
      <c r="G126" s="251"/>
      <c r="H126" s="251"/>
      <c r="I126" s="251"/>
      <c r="J126" s="251"/>
      <c r="Z126" s="213"/>
      <c r="AA126" s="213"/>
      <c r="AB126" s="213"/>
      <c r="AC126" s="213"/>
      <c r="AD126" s="213"/>
      <c r="BJ126" s="72"/>
      <c r="BK126" s="72"/>
      <c r="BL126" s="72"/>
      <c r="BM126" s="72"/>
      <c r="BN126" s="213"/>
      <c r="BO126" s="213"/>
    </row>
    <row r="127" spans="1:67">
      <c r="G127" s="251"/>
      <c r="H127" s="251"/>
      <c r="I127" s="251"/>
      <c r="J127" s="251"/>
      <c r="Z127" s="213"/>
      <c r="AA127" s="213"/>
      <c r="AB127" s="213"/>
      <c r="AC127" s="213"/>
      <c r="AD127" s="213"/>
      <c r="BJ127" s="72"/>
      <c r="BK127" s="72"/>
      <c r="BL127" s="72"/>
      <c r="BM127" s="72"/>
      <c r="BN127" s="213"/>
      <c r="BO127" s="213"/>
    </row>
    <row r="128" spans="1:67">
      <c r="G128" s="251"/>
      <c r="H128" s="251"/>
      <c r="I128" s="251"/>
      <c r="J128" s="251"/>
      <c r="Z128" s="213"/>
      <c r="AA128" s="213"/>
      <c r="AB128" s="213"/>
      <c r="AC128" s="213"/>
      <c r="AD128" s="213"/>
      <c r="BJ128" s="72"/>
      <c r="BK128" s="72"/>
      <c r="BL128" s="72"/>
      <c r="BM128" s="72"/>
      <c r="BN128" s="213"/>
      <c r="BO128" s="213"/>
    </row>
    <row r="129" spans="26:67">
      <c r="Z129" s="213"/>
      <c r="AA129" s="213"/>
      <c r="AB129" s="213"/>
      <c r="AC129" s="213"/>
      <c r="AD129" s="213"/>
      <c r="BJ129" s="72"/>
      <c r="BK129" s="72"/>
      <c r="BL129" s="72"/>
      <c r="BM129" s="72"/>
      <c r="BN129" s="213"/>
      <c r="BO129" s="213"/>
    </row>
    <row r="130" spans="26:67">
      <c r="Z130" s="213"/>
      <c r="AA130" s="213"/>
      <c r="AB130" s="213"/>
      <c r="AC130" s="213"/>
      <c r="AD130" s="213"/>
      <c r="BN130" s="213"/>
      <c r="BO130" s="213"/>
    </row>
    <row r="131" spans="26:67">
      <c r="Z131" s="213"/>
      <c r="AA131" s="213"/>
      <c r="AB131" s="213"/>
      <c r="AC131" s="213"/>
      <c r="AD131" s="213"/>
      <c r="BJ131" s="72"/>
      <c r="BK131" s="72"/>
      <c r="BL131" s="72"/>
      <c r="BM131" s="72"/>
      <c r="BN131" s="213"/>
      <c r="BO131" s="213"/>
    </row>
    <row r="132" spans="26:67">
      <c r="Z132" s="213"/>
      <c r="AA132" s="213"/>
      <c r="AB132" s="213"/>
      <c r="AC132" s="213"/>
      <c r="AD132" s="213"/>
      <c r="BJ132" s="72"/>
      <c r="BK132" s="72"/>
      <c r="BL132" s="72"/>
      <c r="BM132" s="72"/>
      <c r="BN132" s="213"/>
      <c r="BO132" s="213"/>
    </row>
    <row r="133" spans="26:67">
      <c r="Z133" s="213"/>
      <c r="AA133" s="213"/>
      <c r="AB133" s="213"/>
      <c r="AC133" s="213"/>
      <c r="AD133" s="213"/>
      <c r="BJ133" s="72"/>
      <c r="BK133" s="72"/>
      <c r="BL133" s="72"/>
      <c r="BM133" s="72"/>
      <c r="BN133" s="213"/>
    </row>
    <row r="134" spans="26:67">
      <c r="Z134" s="213"/>
      <c r="AA134" s="213"/>
      <c r="AB134" s="213"/>
      <c r="AC134" s="213"/>
      <c r="AD134" s="213"/>
      <c r="BJ134" s="72"/>
      <c r="BK134" s="72"/>
      <c r="BL134" s="72"/>
      <c r="BM134" s="72"/>
    </row>
    <row r="135" spans="26:67">
      <c r="Z135" s="213"/>
      <c r="AA135" s="213"/>
      <c r="AB135" s="213"/>
      <c r="AC135" s="213"/>
      <c r="AD135" s="213"/>
      <c r="BJ135" s="72"/>
      <c r="BK135" s="72"/>
      <c r="BL135" s="72"/>
      <c r="BM135" s="72"/>
    </row>
    <row r="136" spans="26:67">
      <c r="Z136" s="213"/>
      <c r="AA136" s="213"/>
      <c r="AB136" s="213"/>
      <c r="AC136" s="213"/>
      <c r="AD136" s="213"/>
      <c r="BJ136" s="72"/>
      <c r="BK136" s="72"/>
      <c r="BL136" s="72"/>
      <c r="BM136" s="72"/>
    </row>
    <row r="137" spans="26:67">
      <c r="Z137" s="213"/>
      <c r="AA137" s="213"/>
      <c r="AB137" s="213"/>
      <c r="AC137" s="213"/>
      <c r="AD137" s="213"/>
      <c r="BJ137" s="72"/>
      <c r="BK137" s="72"/>
      <c r="BL137" s="72"/>
      <c r="BM137" s="72"/>
    </row>
    <row r="138" spans="26:67">
      <c r="Z138" s="213"/>
      <c r="AA138" s="213"/>
      <c r="AB138" s="213"/>
      <c r="AC138" s="213"/>
      <c r="AD138" s="213"/>
    </row>
    <row r="139" spans="26:67">
      <c r="Z139" s="213"/>
      <c r="AA139" s="213"/>
      <c r="AB139" s="213"/>
      <c r="AC139" s="213"/>
      <c r="AD139" s="213"/>
    </row>
    <row r="140" spans="26:67">
      <c r="Z140" s="213"/>
      <c r="AA140" s="213"/>
      <c r="AB140" s="213"/>
      <c r="AC140" s="213"/>
      <c r="AD140" s="213"/>
    </row>
    <row r="141" spans="26:67">
      <c r="Z141" s="213"/>
      <c r="AA141" s="213"/>
      <c r="AB141" s="213"/>
      <c r="AC141" s="213"/>
      <c r="AD141" s="213"/>
      <c r="BJ141" s="72"/>
      <c r="BK141" s="72"/>
      <c r="BL141" s="72"/>
      <c r="BM141" s="72"/>
    </row>
    <row r="142" spans="26:67">
      <c r="Z142" s="213"/>
      <c r="AA142" s="213"/>
      <c r="AB142" s="213"/>
      <c r="AC142" s="213"/>
      <c r="AD142" s="213"/>
      <c r="BJ142" s="72"/>
      <c r="BK142" s="72"/>
      <c r="BL142" s="72"/>
      <c r="BM142" s="72"/>
    </row>
    <row r="143" spans="26:67">
      <c r="Z143" s="213"/>
      <c r="AA143" s="213"/>
      <c r="AB143" s="213"/>
      <c r="AC143" s="213"/>
      <c r="AD143" s="213"/>
      <c r="BJ143" s="72"/>
      <c r="BK143" s="72"/>
      <c r="BL143" s="72"/>
      <c r="BM143" s="72"/>
    </row>
    <row r="144" spans="26:67">
      <c r="Z144" s="213"/>
      <c r="AA144" s="213"/>
      <c r="AB144" s="213"/>
      <c r="AC144" s="213"/>
      <c r="AD144" s="213"/>
      <c r="BJ144" s="72"/>
      <c r="BK144" s="72"/>
      <c r="BL144" s="72"/>
      <c r="BM144" s="72"/>
    </row>
    <row r="145" spans="26:65">
      <c r="Z145" s="213"/>
      <c r="AA145" s="213"/>
      <c r="AB145" s="213"/>
      <c r="AC145" s="213"/>
      <c r="AD145" s="213"/>
      <c r="BJ145" s="72"/>
      <c r="BK145" s="72"/>
      <c r="BL145" s="72"/>
      <c r="BM145" s="72"/>
    </row>
    <row r="146" spans="26:65">
      <c r="Z146" s="213"/>
      <c r="AA146" s="213"/>
      <c r="AB146" s="213"/>
      <c r="AC146" s="213"/>
      <c r="AD146" s="213"/>
      <c r="BJ146" s="72"/>
      <c r="BK146" s="72"/>
      <c r="BL146" s="72"/>
      <c r="BM146" s="72"/>
    </row>
    <row r="147" spans="26:65">
      <c r="Z147" s="213"/>
      <c r="AA147" s="213"/>
      <c r="AB147" s="213"/>
      <c r="AC147" s="213"/>
      <c r="AD147" s="213"/>
      <c r="BJ147" s="72"/>
      <c r="BK147" s="72"/>
      <c r="BL147" s="72"/>
      <c r="BM147" s="72"/>
    </row>
    <row r="148" spans="26:65">
      <c r="Z148" s="213"/>
      <c r="AA148" s="213"/>
      <c r="AB148" s="213"/>
      <c r="AC148" s="213"/>
      <c r="AD148" s="213"/>
      <c r="BJ148" s="72"/>
      <c r="BK148" s="72"/>
      <c r="BL148" s="72"/>
      <c r="BM148" s="72"/>
    </row>
    <row r="149" spans="26:65">
      <c r="Z149" s="213"/>
      <c r="AA149" s="213"/>
      <c r="AB149" s="213"/>
      <c r="AC149" s="213"/>
      <c r="AD149" s="213"/>
      <c r="BJ149" s="72"/>
      <c r="BK149" s="72"/>
      <c r="BL149" s="72"/>
      <c r="BM149" s="72"/>
    </row>
    <row r="150" spans="26:65">
      <c r="Z150" s="213"/>
      <c r="AA150" s="213"/>
      <c r="AB150" s="213"/>
      <c r="AC150" s="213"/>
      <c r="AD150" s="213"/>
      <c r="BJ150" s="72"/>
      <c r="BK150" s="72"/>
      <c r="BL150" s="72"/>
      <c r="BM150" s="72"/>
    </row>
    <row r="151" spans="26:65">
      <c r="Z151" s="213"/>
      <c r="AA151" s="213"/>
      <c r="AB151" s="213"/>
      <c r="AC151" s="213"/>
      <c r="AD151" s="213"/>
      <c r="BJ151" s="72"/>
      <c r="BK151" s="72"/>
      <c r="BL151" s="72"/>
      <c r="BM151" s="72"/>
    </row>
    <row r="152" spans="26:65">
      <c r="Z152" s="213"/>
      <c r="AA152" s="213"/>
      <c r="AB152" s="213"/>
      <c r="AC152" s="213"/>
      <c r="AD152" s="213"/>
      <c r="BJ152" s="72"/>
      <c r="BK152" s="72"/>
      <c r="BL152" s="72"/>
      <c r="BM152" s="72"/>
    </row>
    <row r="153" spans="26:65">
      <c r="Z153" s="213"/>
      <c r="AA153" s="213"/>
      <c r="AB153" s="213"/>
      <c r="AC153" s="213"/>
      <c r="AD153" s="213"/>
      <c r="BJ153" s="72"/>
      <c r="BK153" s="72"/>
      <c r="BL153" s="72"/>
      <c r="BM153" s="72"/>
    </row>
    <row r="154" spans="26:65">
      <c r="Z154" s="213"/>
      <c r="AA154" s="213"/>
      <c r="AB154" s="213"/>
      <c r="AC154" s="213"/>
      <c r="AD154" s="213"/>
      <c r="BJ154" s="72"/>
      <c r="BK154" s="72"/>
      <c r="BL154" s="72"/>
      <c r="BM154" s="72"/>
    </row>
    <row r="155" spans="26:65">
      <c r="Z155" s="213"/>
      <c r="AA155" s="213"/>
      <c r="AB155" s="213"/>
      <c r="AC155" s="213"/>
      <c r="AD155" s="213"/>
      <c r="BJ155" s="72"/>
      <c r="BK155" s="72"/>
      <c r="BL155" s="72"/>
      <c r="BM155" s="72"/>
    </row>
    <row r="156" spans="26:65">
      <c r="Z156" s="213"/>
      <c r="AA156" s="213"/>
      <c r="AB156" s="213"/>
      <c r="AC156" s="213"/>
      <c r="AD156" s="213"/>
      <c r="BJ156" s="72"/>
      <c r="BK156" s="72"/>
      <c r="BL156" s="72"/>
      <c r="BM156" s="72"/>
    </row>
    <row r="157" spans="26:65">
      <c r="Z157" s="213"/>
      <c r="AA157" s="213"/>
      <c r="AB157" s="213"/>
      <c r="AC157" s="213"/>
      <c r="AD157" s="213"/>
      <c r="BJ157" s="72"/>
      <c r="BK157" s="72"/>
      <c r="BL157" s="72"/>
      <c r="BM157" s="72"/>
    </row>
    <row r="158" spans="26:65">
      <c r="Z158" s="213"/>
      <c r="AA158" s="213"/>
      <c r="AB158" s="213"/>
      <c r="AC158" s="213"/>
      <c r="AD158" s="213"/>
      <c r="BJ158" s="72"/>
      <c r="BK158" s="72"/>
      <c r="BL158" s="72"/>
      <c r="BM158" s="72"/>
    </row>
    <row r="159" spans="26:65">
      <c r="Z159" s="213"/>
      <c r="AA159" s="213"/>
      <c r="AB159" s="213"/>
      <c r="AC159" s="213"/>
      <c r="AD159" s="213"/>
      <c r="BJ159" s="72"/>
      <c r="BK159" s="72"/>
      <c r="BL159" s="72"/>
      <c r="BM159" s="72"/>
    </row>
    <row r="160" spans="26:65">
      <c r="Z160" s="213"/>
      <c r="AA160" s="213"/>
      <c r="AB160" s="213"/>
      <c r="AC160" s="213"/>
      <c r="AD160" s="213"/>
      <c r="BJ160" s="72"/>
      <c r="BK160" s="72"/>
      <c r="BL160" s="72"/>
      <c r="BM160" s="72"/>
    </row>
    <row r="161" spans="26:65">
      <c r="Z161" s="213"/>
      <c r="AA161" s="213"/>
      <c r="AB161" s="213"/>
      <c r="AC161" s="213"/>
      <c r="AD161" s="213"/>
      <c r="BJ161" s="72"/>
      <c r="BK161" s="72"/>
      <c r="BL161" s="72"/>
      <c r="BM161" s="72"/>
    </row>
    <row r="162" spans="26:65">
      <c r="Z162" s="213"/>
      <c r="AA162" s="213"/>
      <c r="AB162" s="213"/>
      <c r="AC162" s="213"/>
      <c r="AD162" s="213"/>
      <c r="BJ162" s="72"/>
      <c r="BK162" s="72"/>
      <c r="BL162" s="72"/>
      <c r="BM162" s="72"/>
    </row>
    <row r="163" spans="26:65">
      <c r="Z163" s="213"/>
      <c r="AA163" s="213"/>
      <c r="AB163" s="213"/>
      <c r="AC163" s="213"/>
      <c r="AD163" s="213"/>
      <c r="BJ163" s="72"/>
      <c r="BK163" s="72"/>
      <c r="BL163" s="72"/>
      <c r="BM163" s="72"/>
    </row>
    <row r="164" spans="26:65">
      <c r="Z164" s="213"/>
      <c r="AA164" s="213"/>
      <c r="AB164" s="213"/>
      <c r="AC164" s="213"/>
      <c r="AD164" s="213"/>
      <c r="BJ164" s="72"/>
      <c r="BK164" s="72"/>
      <c r="BL164" s="72"/>
      <c r="BM164" s="72"/>
    </row>
    <row r="165" spans="26:65">
      <c r="Z165" s="213"/>
      <c r="AA165" s="213"/>
      <c r="AB165" s="213"/>
      <c r="AC165" s="213"/>
      <c r="AD165" s="213"/>
      <c r="BJ165" s="72"/>
      <c r="BK165" s="72"/>
      <c r="BL165" s="72"/>
      <c r="BM165" s="72"/>
    </row>
    <row r="166" spans="26:65">
      <c r="Z166" s="213"/>
      <c r="AA166" s="213"/>
      <c r="AB166" s="213"/>
      <c r="AC166" s="213"/>
      <c r="AD166" s="213"/>
      <c r="BJ166" s="72"/>
      <c r="BK166" s="72"/>
      <c r="BL166" s="72"/>
      <c r="BM166" s="72"/>
    </row>
    <row r="167" spans="26:65">
      <c r="Z167" s="213"/>
      <c r="AA167" s="213"/>
      <c r="AB167" s="213"/>
      <c r="AC167" s="213"/>
      <c r="AD167" s="213"/>
      <c r="BJ167" s="72"/>
      <c r="BK167" s="72"/>
      <c r="BL167" s="72"/>
      <c r="BM167" s="72"/>
    </row>
    <row r="168" spans="26:65">
      <c r="Z168" s="213"/>
      <c r="AA168" s="213"/>
      <c r="AB168" s="213"/>
      <c r="AC168" s="213"/>
      <c r="AD168" s="213"/>
      <c r="BJ168" s="72"/>
      <c r="BK168" s="72"/>
      <c r="BL168" s="72"/>
      <c r="BM168" s="72"/>
    </row>
    <row r="169" spans="26:65">
      <c r="Z169" s="213"/>
      <c r="AA169" s="213"/>
      <c r="AB169" s="213"/>
      <c r="AC169" s="213"/>
      <c r="AD169" s="213"/>
      <c r="BJ169" s="72"/>
      <c r="BK169" s="72"/>
      <c r="BL169" s="72"/>
      <c r="BM169" s="72"/>
    </row>
    <row r="170" spans="26:65">
      <c r="Z170" s="213"/>
      <c r="AA170" s="213"/>
      <c r="AB170" s="213"/>
      <c r="AC170" s="213"/>
      <c r="AD170" s="213"/>
      <c r="BJ170" s="72"/>
      <c r="BK170" s="72"/>
      <c r="BL170" s="72"/>
      <c r="BM170" s="72"/>
    </row>
    <row r="171" spans="26:65">
      <c r="Z171" s="213"/>
      <c r="AA171" s="213"/>
      <c r="AB171" s="213"/>
      <c r="AC171" s="213"/>
      <c r="AD171" s="213"/>
      <c r="BJ171" s="72"/>
      <c r="BK171" s="72"/>
      <c r="BL171" s="72"/>
      <c r="BM171" s="72"/>
    </row>
    <row r="172" spans="26:65">
      <c r="Z172" s="213"/>
      <c r="AA172" s="213"/>
      <c r="AB172" s="213"/>
      <c r="AC172" s="213"/>
      <c r="AD172" s="213"/>
      <c r="BJ172" s="72"/>
      <c r="BK172" s="72"/>
      <c r="BL172" s="72"/>
      <c r="BM172" s="72"/>
    </row>
    <row r="173" spans="26:65">
      <c r="Z173" s="213"/>
      <c r="AA173" s="213"/>
      <c r="AB173" s="213"/>
      <c r="AC173" s="213"/>
      <c r="AD173" s="213"/>
      <c r="BJ173" s="72"/>
      <c r="BK173" s="72"/>
      <c r="BL173" s="72"/>
      <c r="BM173" s="72"/>
    </row>
    <row r="174" spans="26:65">
      <c r="Z174" s="213"/>
      <c r="AA174" s="213"/>
      <c r="AB174" s="213"/>
      <c r="AC174" s="213"/>
      <c r="AD174" s="213"/>
      <c r="BJ174" s="72"/>
      <c r="BK174" s="72"/>
      <c r="BL174" s="72"/>
      <c r="BM174" s="72"/>
    </row>
    <row r="175" spans="26:65">
      <c r="Z175" s="213"/>
      <c r="AA175" s="213"/>
      <c r="AB175" s="213"/>
      <c r="AC175" s="213"/>
      <c r="AD175" s="213"/>
      <c r="BJ175" s="72"/>
      <c r="BK175" s="72"/>
      <c r="BL175" s="72"/>
      <c r="BM175" s="72"/>
    </row>
    <row r="176" spans="26:65">
      <c r="Z176" s="213"/>
      <c r="AA176" s="213"/>
      <c r="AB176" s="213"/>
      <c r="AC176" s="213"/>
      <c r="AD176" s="213"/>
      <c r="BJ176" s="72"/>
      <c r="BK176" s="72"/>
      <c r="BL176" s="72"/>
      <c r="BM176" s="72"/>
    </row>
    <row r="177" spans="26:65">
      <c r="Z177" s="213"/>
      <c r="AA177" s="213"/>
      <c r="AB177" s="213"/>
      <c r="AC177" s="213"/>
      <c r="AD177" s="213"/>
      <c r="BJ177" s="72"/>
      <c r="BK177" s="72"/>
      <c r="BL177" s="72"/>
      <c r="BM177" s="72"/>
    </row>
    <row r="178" spans="26:65">
      <c r="Z178" s="213"/>
      <c r="AA178" s="213"/>
      <c r="AB178" s="213"/>
      <c r="AC178" s="213"/>
      <c r="AD178" s="213"/>
      <c r="BJ178" s="72"/>
      <c r="BK178" s="72"/>
      <c r="BL178" s="72"/>
      <c r="BM178" s="72"/>
    </row>
    <row r="179" spans="26:65">
      <c r="Z179" s="213"/>
      <c r="AA179" s="213"/>
      <c r="AB179" s="213"/>
      <c r="AC179" s="213"/>
      <c r="AD179" s="213"/>
      <c r="BJ179" s="72"/>
      <c r="BK179" s="72"/>
      <c r="BL179" s="72"/>
      <c r="BM179" s="72"/>
    </row>
    <row r="180" spans="26:65">
      <c r="Z180" s="213"/>
      <c r="AA180" s="213"/>
      <c r="AB180" s="213"/>
      <c r="AC180" s="213"/>
      <c r="AD180" s="213"/>
      <c r="BJ180" s="72"/>
      <c r="BK180" s="72"/>
      <c r="BL180" s="72"/>
      <c r="BM180" s="72"/>
    </row>
    <row r="181" spans="26:65">
      <c r="Z181" s="213"/>
      <c r="AA181" s="213"/>
      <c r="AB181" s="213"/>
      <c r="AC181" s="213"/>
      <c r="AD181" s="213"/>
      <c r="BJ181" s="72"/>
      <c r="BK181" s="72"/>
      <c r="BL181" s="72"/>
      <c r="BM181" s="72"/>
    </row>
    <row r="182" spans="26:65">
      <c r="Z182" s="213"/>
      <c r="AA182" s="213"/>
      <c r="AB182" s="213"/>
      <c r="AC182" s="213"/>
      <c r="AD182" s="213"/>
      <c r="BJ182" s="72"/>
      <c r="BK182" s="72"/>
      <c r="BL182" s="72"/>
      <c r="BM182" s="72"/>
    </row>
    <row r="183" spans="26:65">
      <c r="Z183" s="213"/>
      <c r="AA183" s="213"/>
      <c r="AB183" s="213"/>
      <c r="AC183" s="213"/>
      <c r="AD183" s="213"/>
      <c r="BJ183" s="72"/>
      <c r="BK183" s="72"/>
      <c r="BL183" s="72"/>
      <c r="BM183" s="72"/>
    </row>
    <row r="184" spans="26:65">
      <c r="Z184" s="213"/>
      <c r="AA184" s="213"/>
      <c r="AB184" s="213"/>
      <c r="AC184" s="213"/>
      <c r="AD184" s="213"/>
      <c r="BJ184" s="72"/>
      <c r="BK184" s="72"/>
      <c r="BL184" s="72"/>
      <c r="BM184" s="72"/>
    </row>
    <row r="185" spans="26:65">
      <c r="Z185" s="213"/>
      <c r="AA185" s="213"/>
      <c r="AB185" s="213"/>
      <c r="AC185" s="213"/>
      <c r="AD185" s="213"/>
      <c r="BJ185" s="72"/>
      <c r="BK185" s="72"/>
      <c r="BL185" s="72"/>
      <c r="BM185" s="72"/>
    </row>
    <row r="186" spans="26:65">
      <c r="Z186" s="213"/>
      <c r="AA186" s="213"/>
      <c r="AB186" s="213"/>
      <c r="AC186" s="213"/>
      <c r="AD186" s="213"/>
      <c r="BJ186" s="72"/>
      <c r="BK186" s="72"/>
      <c r="BL186" s="72"/>
      <c r="BM186" s="72"/>
    </row>
    <row r="187" spans="26:65">
      <c r="Z187" s="213"/>
      <c r="AA187" s="213"/>
      <c r="AB187" s="213"/>
      <c r="AC187" s="213"/>
      <c r="AD187" s="213"/>
      <c r="BJ187" s="72"/>
      <c r="BK187" s="72"/>
      <c r="BL187" s="72"/>
      <c r="BM187" s="72"/>
    </row>
    <row r="188" spans="26:65">
      <c r="Z188" s="213"/>
      <c r="AA188" s="213"/>
      <c r="AB188" s="213"/>
      <c r="AC188" s="213"/>
      <c r="AD188" s="213"/>
      <c r="BJ188" s="72"/>
      <c r="BK188" s="72"/>
      <c r="BL188" s="72"/>
      <c r="BM188" s="72"/>
    </row>
    <row r="189" spans="26:65">
      <c r="Z189" s="213"/>
      <c r="AA189" s="213"/>
      <c r="AB189" s="213"/>
      <c r="AC189" s="213"/>
      <c r="AD189" s="213"/>
      <c r="BJ189" s="72"/>
      <c r="BK189" s="72"/>
      <c r="BL189" s="72"/>
      <c r="BM189" s="72"/>
    </row>
    <row r="190" spans="26:65">
      <c r="Z190" s="213"/>
      <c r="AA190" s="213"/>
      <c r="AB190" s="213"/>
      <c r="AC190" s="213"/>
      <c r="AD190" s="213"/>
      <c r="BJ190" s="72"/>
      <c r="BK190" s="72"/>
      <c r="BL190" s="72"/>
      <c r="BM190" s="72"/>
    </row>
    <row r="191" spans="26:65">
      <c r="Z191" s="213"/>
      <c r="AA191" s="213"/>
      <c r="AB191" s="213"/>
      <c r="AC191" s="213"/>
      <c r="AD191" s="213"/>
      <c r="BJ191" s="72"/>
      <c r="BK191" s="72"/>
      <c r="BL191" s="72"/>
      <c r="BM191" s="72"/>
    </row>
    <row r="192" spans="26:65">
      <c r="Z192" s="213"/>
      <c r="AA192" s="213"/>
      <c r="AB192" s="213"/>
      <c r="AC192" s="213"/>
      <c r="AD192" s="213"/>
      <c r="BJ192" s="72"/>
      <c r="BK192" s="72"/>
      <c r="BL192" s="72"/>
      <c r="BM192" s="72"/>
    </row>
    <row r="193" spans="26:65">
      <c r="Z193" s="213"/>
      <c r="AA193" s="213"/>
      <c r="AB193" s="213"/>
      <c r="AC193" s="213"/>
      <c r="AD193" s="213"/>
      <c r="BJ193" s="72"/>
      <c r="BK193" s="72"/>
      <c r="BL193" s="72"/>
      <c r="BM193" s="72"/>
    </row>
    <row r="194" spans="26:65">
      <c r="Z194" s="213"/>
      <c r="AA194" s="213"/>
      <c r="AB194" s="213"/>
      <c r="AC194" s="213"/>
      <c r="AD194" s="213"/>
      <c r="BJ194" s="72"/>
      <c r="BK194" s="72"/>
      <c r="BL194" s="72"/>
      <c r="BM194" s="72"/>
    </row>
    <row r="195" spans="26:65">
      <c r="Z195" s="213"/>
      <c r="AA195" s="213"/>
      <c r="AB195" s="213"/>
      <c r="AC195" s="213"/>
      <c r="AD195" s="213"/>
      <c r="BJ195" s="72"/>
      <c r="BK195" s="72"/>
      <c r="BL195" s="72"/>
      <c r="BM195" s="72"/>
    </row>
    <row r="196" spans="26:65">
      <c r="Z196" s="213"/>
      <c r="AA196" s="213"/>
      <c r="AB196" s="213"/>
      <c r="AC196" s="213"/>
      <c r="AD196" s="213"/>
      <c r="BJ196" s="72"/>
      <c r="BK196" s="72"/>
      <c r="BL196" s="72"/>
      <c r="BM196" s="72"/>
    </row>
    <row r="197" spans="26:65">
      <c r="Z197" s="213"/>
      <c r="AA197" s="213"/>
      <c r="AB197" s="213"/>
      <c r="AC197" s="213"/>
      <c r="AD197" s="213"/>
      <c r="BJ197" s="72"/>
      <c r="BK197" s="72"/>
      <c r="BL197" s="72"/>
      <c r="BM197" s="72"/>
    </row>
    <row r="198" spans="26:65">
      <c r="Z198" s="213"/>
      <c r="AA198" s="213"/>
      <c r="AB198" s="213"/>
      <c r="AC198" s="213"/>
      <c r="AD198" s="213"/>
      <c r="BK198" s="72"/>
      <c r="BL198" s="72"/>
      <c r="BM198" s="72"/>
    </row>
    <row r="199" spans="26:65">
      <c r="Z199" s="213"/>
      <c r="AA199" s="213"/>
      <c r="AB199" s="213"/>
      <c r="AC199" s="213"/>
      <c r="AD199" s="213"/>
      <c r="BK199" s="72"/>
      <c r="BL199" s="72"/>
      <c r="BM199" s="72"/>
    </row>
    <row r="200" spans="26:65">
      <c r="Z200" s="213"/>
      <c r="AA200" s="213"/>
      <c r="AB200" s="213"/>
      <c r="AC200" s="213"/>
      <c r="AD200" s="213"/>
      <c r="BK200" s="72"/>
      <c r="BL200" s="72"/>
      <c r="BM200" s="72"/>
    </row>
    <row r="201" spans="26:65">
      <c r="Z201" s="213"/>
      <c r="AA201" s="213"/>
      <c r="AB201" s="213"/>
      <c r="AC201" s="213"/>
      <c r="AD201" s="213"/>
      <c r="BK201" s="72"/>
      <c r="BL201" s="72"/>
      <c r="BM201" s="72"/>
    </row>
    <row r="202" spans="26:65">
      <c r="Z202" s="213"/>
      <c r="AA202" s="213"/>
      <c r="AB202" s="213"/>
      <c r="AC202" s="213"/>
      <c r="AD202" s="213"/>
      <c r="BK202" s="72"/>
      <c r="BL202" s="72"/>
      <c r="BM202" s="72"/>
    </row>
    <row r="203" spans="26:65">
      <c r="Z203" s="213"/>
      <c r="AA203" s="213"/>
      <c r="AB203" s="213"/>
      <c r="AC203" s="213"/>
      <c r="AD203" s="213"/>
      <c r="BK203" s="72"/>
      <c r="BL203" s="72"/>
      <c r="BM203" s="72"/>
    </row>
    <row r="204" spans="26:65">
      <c r="Z204" s="213"/>
      <c r="AA204" s="213"/>
      <c r="AB204" s="213"/>
      <c r="AC204" s="213"/>
      <c r="AD204" s="213"/>
      <c r="BK204" s="72"/>
      <c r="BL204" s="72"/>
      <c r="BM204" s="72"/>
    </row>
    <row r="205" spans="26:65">
      <c r="Z205" s="213"/>
      <c r="AA205" s="213"/>
      <c r="AB205" s="213"/>
      <c r="AC205" s="213"/>
      <c r="AD205" s="213"/>
      <c r="BK205" s="72"/>
      <c r="BL205" s="72"/>
      <c r="BM205" s="72"/>
    </row>
    <row r="206" spans="26:65">
      <c r="Z206" s="213"/>
      <c r="AA206" s="213"/>
      <c r="AB206" s="213"/>
      <c r="AC206" s="213"/>
      <c r="AD206" s="213"/>
      <c r="BK206" s="72"/>
      <c r="BL206" s="72"/>
      <c r="BM206" s="72"/>
    </row>
    <row r="207" spans="26:65">
      <c r="Z207" s="213"/>
      <c r="AA207" s="213"/>
      <c r="AB207" s="213"/>
      <c r="AC207" s="213"/>
      <c r="AD207" s="213"/>
      <c r="BK207" s="72"/>
      <c r="BL207" s="72"/>
      <c r="BM207" s="72"/>
    </row>
    <row r="208" spans="26:65">
      <c r="Z208" s="213"/>
      <c r="AA208" s="213"/>
      <c r="AB208" s="213"/>
      <c r="AC208" s="213"/>
      <c r="AD208" s="213"/>
      <c r="BK208" s="72"/>
      <c r="BL208" s="72"/>
      <c r="BM208" s="72"/>
    </row>
    <row r="209" spans="26:65">
      <c r="Z209" s="213"/>
      <c r="AA209" s="213"/>
      <c r="AB209" s="213"/>
      <c r="AC209" s="213"/>
      <c r="AD209" s="213"/>
      <c r="BK209" s="72"/>
      <c r="BL209" s="72"/>
      <c r="BM209" s="72"/>
    </row>
    <row r="210" spans="26:65">
      <c r="Z210" s="213"/>
      <c r="AA210" s="213"/>
      <c r="AB210" s="213"/>
      <c r="AC210" s="213"/>
      <c r="AD210" s="213"/>
      <c r="BK210" s="72"/>
      <c r="BL210" s="72"/>
      <c r="BM210" s="72"/>
    </row>
    <row r="211" spans="26:65">
      <c r="Z211" s="213"/>
      <c r="AA211" s="213"/>
      <c r="AB211" s="213"/>
      <c r="AC211" s="213"/>
      <c r="AD211" s="213"/>
      <c r="BK211" s="72"/>
      <c r="BL211" s="72"/>
      <c r="BM211" s="72"/>
    </row>
    <row r="212" spans="26:65">
      <c r="Z212" s="213"/>
      <c r="AA212" s="213"/>
      <c r="AB212" s="213"/>
      <c r="AC212" s="213"/>
      <c r="AD212" s="213"/>
      <c r="BK212" s="72"/>
      <c r="BL212" s="72"/>
      <c r="BM212" s="72"/>
    </row>
    <row r="213" spans="26:65">
      <c r="Z213" s="213"/>
      <c r="AA213" s="213"/>
      <c r="AB213" s="213"/>
      <c r="AC213" s="213"/>
      <c r="AD213" s="213"/>
      <c r="BK213" s="72"/>
      <c r="BL213" s="72"/>
      <c r="BM213" s="72"/>
    </row>
    <row r="214" spans="26:65">
      <c r="Z214" s="213"/>
      <c r="AA214" s="213"/>
      <c r="AB214" s="213"/>
      <c r="AC214" s="213"/>
      <c r="AD214" s="213"/>
      <c r="BK214" s="72"/>
      <c r="BL214" s="72"/>
      <c r="BM214" s="72"/>
    </row>
    <row r="215" spans="26:65">
      <c r="Z215" s="213"/>
      <c r="AA215" s="213"/>
      <c r="AB215" s="213"/>
      <c r="AC215" s="213"/>
      <c r="AD215" s="213"/>
      <c r="BK215" s="72"/>
      <c r="BL215" s="72"/>
      <c r="BM215" s="72"/>
    </row>
    <row r="216" spans="26:65">
      <c r="Z216" s="213"/>
      <c r="AA216" s="213"/>
      <c r="AB216" s="213"/>
      <c r="AC216" s="213"/>
      <c r="AD216" s="213"/>
      <c r="BK216" s="72"/>
      <c r="BL216" s="72"/>
      <c r="BM216" s="72"/>
    </row>
    <row r="217" spans="26:65">
      <c r="Z217" s="213"/>
      <c r="AA217" s="213"/>
      <c r="AB217" s="213"/>
      <c r="AC217" s="213"/>
      <c r="AD217" s="213"/>
      <c r="BK217" s="72"/>
      <c r="BL217" s="72"/>
      <c r="BM217" s="72"/>
    </row>
    <row r="218" spans="26:65">
      <c r="Z218" s="213"/>
      <c r="AA218" s="213"/>
      <c r="AB218" s="213"/>
      <c r="AC218" s="213"/>
      <c r="AD218" s="213"/>
      <c r="BK218" s="72"/>
      <c r="BL218" s="72"/>
      <c r="BM218" s="72"/>
    </row>
    <row r="219" spans="26:65">
      <c r="Z219" s="213"/>
      <c r="AA219" s="213"/>
      <c r="AB219" s="213"/>
      <c r="AC219" s="213"/>
      <c r="AD219" s="213"/>
      <c r="BK219" s="72"/>
      <c r="BL219" s="72"/>
      <c r="BM219" s="72"/>
    </row>
    <row r="220" spans="26:65">
      <c r="Z220" s="213"/>
      <c r="AA220" s="213"/>
      <c r="AB220" s="213"/>
      <c r="AC220" s="213"/>
      <c r="AD220" s="213"/>
      <c r="BK220" s="72"/>
      <c r="BL220" s="72"/>
      <c r="BM220" s="72"/>
    </row>
    <row r="221" spans="26:65">
      <c r="Z221" s="213"/>
      <c r="AA221" s="213"/>
      <c r="AB221" s="213"/>
      <c r="AC221" s="213"/>
      <c r="AD221" s="213"/>
      <c r="BK221" s="72"/>
      <c r="BL221" s="72"/>
      <c r="BM221" s="72"/>
    </row>
    <row r="222" spans="26:65">
      <c r="Z222" s="213"/>
      <c r="AA222" s="213"/>
      <c r="AB222" s="213"/>
      <c r="AC222" s="213"/>
      <c r="AD222" s="213"/>
      <c r="BK222" s="72"/>
      <c r="BL222" s="72"/>
      <c r="BM222" s="72"/>
    </row>
    <row r="223" spans="26:65">
      <c r="Z223" s="213"/>
      <c r="AA223" s="213"/>
      <c r="AB223" s="213"/>
      <c r="AC223" s="213"/>
      <c r="AD223" s="213"/>
      <c r="BK223" s="72"/>
      <c r="BL223" s="72"/>
      <c r="BM223" s="72"/>
    </row>
    <row r="224" spans="26:65">
      <c r="Z224" s="213"/>
      <c r="AA224" s="213"/>
      <c r="AB224" s="213"/>
      <c r="AC224" s="213"/>
      <c r="AD224" s="213"/>
      <c r="BK224" s="72"/>
      <c r="BL224" s="72"/>
      <c r="BM224" s="72"/>
    </row>
    <row r="225" spans="26:65">
      <c r="Z225" s="213"/>
      <c r="AA225" s="213"/>
      <c r="AB225" s="213"/>
      <c r="AC225" s="213"/>
      <c r="AD225" s="213"/>
      <c r="BK225" s="72"/>
      <c r="BL225" s="72"/>
      <c r="BM225" s="72"/>
    </row>
    <row r="226" spans="26:65">
      <c r="Z226" s="213"/>
      <c r="AA226" s="213"/>
      <c r="AB226" s="213"/>
      <c r="AC226" s="213"/>
      <c r="AD226" s="213"/>
      <c r="BK226" s="72"/>
      <c r="BL226" s="72"/>
      <c r="BM226" s="72"/>
    </row>
    <row r="227" spans="26:65">
      <c r="Z227" s="213"/>
      <c r="AA227" s="213"/>
      <c r="AB227" s="213"/>
      <c r="AC227" s="213"/>
      <c r="AD227" s="213"/>
      <c r="BK227" s="72"/>
      <c r="BL227" s="72"/>
      <c r="BM227" s="72"/>
    </row>
    <row r="228" spans="26:65">
      <c r="Z228" s="213"/>
      <c r="AA228" s="213"/>
      <c r="AB228" s="213"/>
      <c r="AC228" s="213"/>
      <c r="AD228" s="213"/>
      <c r="BK228" s="72"/>
      <c r="BL228" s="72"/>
      <c r="BM228" s="72"/>
    </row>
    <row r="229" spans="26:65">
      <c r="Z229" s="213"/>
      <c r="AA229" s="213"/>
      <c r="AB229" s="213"/>
      <c r="AC229" s="213"/>
      <c r="AD229" s="213"/>
      <c r="BK229" s="72"/>
      <c r="BL229" s="72"/>
      <c r="BM229" s="72"/>
    </row>
    <row r="230" spans="26:65">
      <c r="Z230" s="213"/>
      <c r="AA230" s="213"/>
      <c r="AB230" s="213"/>
      <c r="AC230" s="213"/>
      <c r="AD230" s="213"/>
      <c r="BK230" s="72"/>
      <c r="BL230" s="72"/>
      <c r="BM230" s="72"/>
    </row>
    <row r="231" spans="26:65">
      <c r="Z231" s="213"/>
      <c r="AA231" s="213"/>
      <c r="AB231" s="213"/>
      <c r="AC231" s="213"/>
      <c r="AD231" s="213"/>
      <c r="BK231" s="72"/>
      <c r="BL231" s="72"/>
      <c r="BM231" s="72"/>
    </row>
    <row r="232" spans="26:65">
      <c r="Z232" s="213"/>
      <c r="AA232" s="213"/>
      <c r="AB232" s="213"/>
      <c r="AC232" s="213"/>
      <c r="AD232" s="213"/>
      <c r="BK232" s="72"/>
      <c r="BL232" s="72"/>
      <c r="BM232" s="72"/>
    </row>
    <row r="233" spans="26:65">
      <c r="Z233" s="213"/>
      <c r="AA233" s="213"/>
      <c r="AB233" s="213"/>
      <c r="AC233" s="213"/>
      <c r="AD233" s="213"/>
      <c r="BK233" s="72"/>
      <c r="BL233" s="72"/>
      <c r="BM233" s="72"/>
    </row>
    <row r="234" spans="26:65">
      <c r="Z234" s="213"/>
      <c r="AA234" s="213"/>
      <c r="AB234" s="213"/>
      <c r="AC234" s="213"/>
      <c r="AD234" s="213"/>
      <c r="BK234" s="72"/>
      <c r="BL234" s="72"/>
      <c r="BM234" s="72"/>
    </row>
    <row r="235" spans="26:65">
      <c r="Z235" s="213"/>
      <c r="AA235" s="213"/>
      <c r="AB235" s="213"/>
      <c r="AC235" s="213"/>
      <c r="AD235" s="213"/>
      <c r="BK235" s="72"/>
      <c r="BL235" s="72"/>
      <c r="BM235" s="72"/>
    </row>
    <row r="236" spans="26:65">
      <c r="Z236" s="213"/>
      <c r="AA236" s="213"/>
      <c r="AB236" s="213"/>
      <c r="AC236" s="213"/>
      <c r="AD236" s="213"/>
      <c r="BK236" s="72"/>
      <c r="BL236" s="72"/>
      <c r="BM236" s="72"/>
    </row>
    <row r="237" spans="26:65">
      <c r="Z237" s="213"/>
      <c r="AA237" s="213"/>
      <c r="AB237" s="213"/>
      <c r="AC237" s="213"/>
      <c r="AD237" s="213"/>
      <c r="BK237" s="72"/>
      <c r="BL237" s="72"/>
      <c r="BM237" s="72"/>
    </row>
    <row r="238" spans="26:65">
      <c r="Z238" s="213"/>
      <c r="AA238" s="213"/>
      <c r="AB238" s="213"/>
      <c r="AC238" s="213"/>
      <c r="AD238" s="213"/>
      <c r="BK238" s="72"/>
      <c r="BL238" s="72"/>
      <c r="BM238" s="72"/>
    </row>
    <row r="239" spans="26:65">
      <c r="Z239" s="213"/>
      <c r="AA239" s="213"/>
      <c r="AB239" s="213"/>
      <c r="AC239" s="213"/>
      <c r="AD239" s="213"/>
      <c r="BK239" s="72"/>
      <c r="BL239" s="72"/>
      <c r="BM239" s="72"/>
    </row>
    <row r="240" spans="26:65">
      <c r="Z240" s="213"/>
      <c r="AA240" s="213"/>
      <c r="AB240" s="213"/>
      <c r="AC240" s="213"/>
      <c r="AD240" s="213"/>
      <c r="BK240" s="72"/>
      <c r="BL240" s="72"/>
      <c r="BM240" s="72"/>
    </row>
    <row r="241" spans="26:65">
      <c r="Z241" s="213"/>
      <c r="AA241" s="213"/>
      <c r="AB241" s="213"/>
      <c r="AC241" s="213"/>
      <c r="AD241" s="213"/>
      <c r="BK241" s="72"/>
      <c r="BL241" s="72"/>
      <c r="BM241" s="72"/>
    </row>
    <row r="242" spans="26:65">
      <c r="Z242" s="213"/>
      <c r="AA242" s="213"/>
      <c r="AB242" s="213"/>
      <c r="AC242" s="213"/>
      <c r="AD242" s="213"/>
      <c r="BK242" s="72"/>
      <c r="BL242" s="72"/>
      <c r="BM242" s="72"/>
    </row>
    <row r="243" spans="26:65">
      <c r="Z243" s="213"/>
      <c r="AA243" s="213"/>
      <c r="AB243" s="213"/>
      <c r="AC243" s="213"/>
      <c r="AD243" s="213"/>
      <c r="BK243" s="72"/>
      <c r="BL243" s="72"/>
      <c r="BM243" s="72"/>
    </row>
    <row r="244" spans="26:65">
      <c r="Z244" s="213"/>
      <c r="AA244" s="213"/>
      <c r="AB244" s="213"/>
      <c r="AC244" s="213"/>
      <c r="AD244" s="213"/>
      <c r="BK244" s="72"/>
      <c r="BL244" s="72"/>
      <c r="BM244" s="72"/>
    </row>
    <row r="245" spans="26:65">
      <c r="Z245" s="213"/>
      <c r="AA245" s="213"/>
      <c r="AB245" s="213"/>
      <c r="AC245" s="213"/>
      <c r="AD245" s="213"/>
      <c r="BK245" s="72"/>
      <c r="BL245" s="72"/>
      <c r="BM245" s="72"/>
    </row>
    <row r="246" spans="26:65">
      <c r="Z246" s="213"/>
      <c r="AA246" s="213"/>
      <c r="AB246" s="213"/>
      <c r="AC246" s="213"/>
      <c r="AD246" s="213"/>
      <c r="BK246" s="72"/>
      <c r="BL246" s="72"/>
      <c r="BM246" s="72"/>
    </row>
    <row r="247" spans="26:65">
      <c r="Z247" s="213"/>
      <c r="AA247" s="213"/>
      <c r="AB247" s="213"/>
      <c r="AC247" s="213"/>
      <c r="AD247" s="213"/>
      <c r="BK247" s="72"/>
      <c r="BL247" s="72"/>
      <c r="BM247" s="72"/>
    </row>
    <row r="248" spans="26:65">
      <c r="Z248" s="213"/>
      <c r="AA248" s="213"/>
      <c r="AB248" s="213"/>
      <c r="AC248" s="213"/>
      <c r="AD248" s="213"/>
      <c r="BK248" s="72"/>
      <c r="BL248" s="72"/>
      <c r="BM248" s="72"/>
    </row>
    <row r="249" spans="26:65">
      <c r="Z249" s="213"/>
      <c r="AA249" s="213"/>
      <c r="AB249" s="213"/>
      <c r="AC249" s="213"/>
      <c r="AD249" s="213"/>
      <c r="BK249" s="72"/>
      <c r="BL249" s="72"/>
      <c r="BM249" s="72"/>
    </row>
    <row r="250" spans="26:65">
      <c r="Z250" s="213"/>
      <c r="AA250" s="213"/>
      <c r="AB250" s="213"/>
      <c r="AC250" s="213"/>
      <c r="AD250" s="213"/>
      <c r="BK250" s="72"/>
      <c r="BL250" s="72"/>
      <c r="BM250" s="72"/>
    </row>
    <row r="251" spans="26:65">
      <c r="Z251" s="213"/>
      <c r="AA251" s="213"/>
      <c r="AB251" s="213"/>
      <c r="AC251" s="213"/>
      <c r="AD251" s="213"/>
      <c r="BK251" s="72"/>
      <c r="BL251" s="72"/>
      <c r="BM251" s="72"/>
    </row>
    <row r="252" spans="26:65">
      <c r="Z252" s="213"/>
      <c r="AA252" s="213"/>
      <c r="AB252" s="213"/>
      <c r="AC252" s="213"/>
      <c r="AD252" s="213"/>
      <c r="BK252" s="72"/>
      <c r="BL252" s="72"/>
      <c r="BM252" s="72"/>
    </row>
    <row r="253" spans="26:65">
      <c r="Z253" s="213"/>
      <c r="AA253" s="213"/>
      <c r="AB253" s="213"/>
      <c r="AC253" s="213"/>
      <c r="AD253" s="213"/>
      <c r="BK253" s="72"/>
      <c r="BL253" s="72"/>
      <c r="BM253" s="72"/>
    </row>
    <row r="254" spans="26:65">
      <c r="Z254" s="213"/>
      <c r="AA254" s="213"/>
      <c r="AB254" s="213"/>
      <c r="AC254" s="213"/>
      <c r="AD254" s="213"/>
      <c r="BK254" s="72"/>
      <c r="BL254" s="72"/>
      <c r="BM254" s="72"/>
    </row>
    <row r="255" spans="26:65">
      <c r="Z255" s="213"/>
      <c r="AA255" s="213"/>
      <c r="AB255" s="213"/>
      <c r="AC255" s="213"/>
      <c r="AD255" s="213"/>
      <c r="BK255" s="72"/>
      <c r="BL255" s="72"/>
      <c r="BM255" s="72"/>
    </row>
    <row r="256" spans="26:65">
      <c r="Z256" s="213"/>
      <c r="AA256" s="213"/>
      <c r="AB256" s="213"/>
      <c r="AC256" s="213"/>
      <c r="AD256" s="213"/>
      <c r="BK256" s="72"/>
      <c r="BL256" s="72"/>
      <c r="BM256" s="72"/>
    </row>
    <row r="257" spans="26:30">
      <c r="Z257" s="213"/>
      <c r="AA257" s="213"/>
      <c r="AB257" s="213"/>
      <c r="AC257" s="213"/>
      <c r="AD257" s="213"/>
    </row>
    <row r="258" spans="26:30">
      <c r="Z258" s="213"/>
      <c r="AA258" s="213"/>
      <c r="AB258" s="213"/>
      <c r="AC258" s="213"/>
      <c r="AD258" s="213"/>
    </row>
    <row r="259" spans="26:30">
      <c r="Z259" s="213"/>
      <c r="AA259" s="213"/>
      <c r="AB259" s="213"/>
      <c r="AC259" s="213"/>
      <c r="AD259" s="213"/>
    </row>
    <row r="260" spans="26:30">
      <c r="Z260" s="213"/>
      <c r="AA260" s="213"/>
      <c r="AB260" s="213"/>
      <c r="AC260" s="213"/>
      <c r="AD260" s="213"/>
    </row>
    <row r="261" spans="26:30">
      <c r="Z261" s="213"/>
      <c r="AA261" s="213"/>
      <c r="AB261" s="213"/>
      <c r="AC261" s="213"/>
      <c r="AD261" s="213"/>
    </row>
    <row r="262" spans="26:30">
      <c r="Z262" s="213"/>
      <c r="AA262" s="213"/>
      <c r="AB262" s="213"/>
      <c r="AC262" s="213"/>
      <c r="AD262" s="213"/>
    </row>
    <row r="263" spans="26:30">
      <c r="Z263" s="213"/>
      <c r="AA263" s="213"/>
      <c r="AB263" s="213"/>
      <c r="AC263" s="213"/>
      <c r="AD263" s="213"/>
    </row>
    <row r="264" spans="26:30">
      <c r="Z264" s="213"/>
      <c r="AA264" s="213"/>
      <c r="AB264" s="213"/>
      <c r="AC264" s="213"/>
      <c r="AD264" s="213"/>
    </row>
    <row r="265" spans="26:30">
      <c r="Z265" s="213"/>
      <c r="AA265" s="213"/>
      <c r="AB265" s="213"/>
      <c r="AC265" s="213"/>
      <c r="AD265" s="213"/>
    </row>
    <row r="266" spans="26:30">
      <c r="Z266" s="213"/>
      <c r="AA266" s="213"/>
      <c r="AB266" s="213"/>
      <c r="AC266" s="213"/>
      <c r="AD266" s="213"/>
    </row>
    <row r="267" spans="26:30">
      <c r="Z267" s="213"/>
      <c r="AA267" s="213"/>
      <c r="AB267" s="213"/>
      <c r="AC267" s="213"/>
      <c r="AD267" s="213"/>
    </row>
    <row r="268" spans="26:30">
      <c r="Z268" s="213"/>
      <c r="AA268" s="213"/>
      <c r="AB268" s="213"/>
      <c r="AC268" s="213"/>
      <c r="AD268" s="213"/>
    </row>
    <row r="269" spans="26:30">
      <c r="Z269" s="213"/>
      <c r="AA269" s="213"/>
      <c r="AB269" s="213"/>
      <c r="AC269" s="213"/>
      <c r="AD269" s="213"/>
    </row>
    <row r="270" spans="26:30">
      <c r="Z270" s="213"/>
      <c r="AA270" s="213"/>
      <c r="AB270" s="213"/>
      <c r="AC270" s="213"/>
      <c r="AD270" s="213"/>
    </row>
    <row r="271" spans="26:30">
      <c r="Z271" s="213"/>
      <c r="AA271" s="213"/>
      <c r="AB271" s="213"/>
      <c r="AC271" s="213"/>
      <c r="AD271" s="213"/>
    </row>
    <row r="272" spans="26:30">
      <c r="Z272" s="213"/>
      <c r="AA272" s="213"/>
      <c r="AB272" s="213"/>
      <c r="AC272" s="213"/>
      <c r="AD272" s="213"/>
    </row>
    <row r="273" spans="26:65">
      <c r="Z273" s="213"/>
      <c r="AA273" s="213"/>
      <c r="AB273" s="213"/>
      <c r="AC273" s="213"/>
      <c r="AD273" s="213"/>
    </row>
    <row r="274" spans="26:65">
      <c r="Z274" s="213"/>
      <c r="AA274" s="213"/>
      <c r="AB274" s="213"/>
      <c r="AC274" s="213"/>
      <c r="AD274" s="213"/>
    </row>
    <row r="275" spans="26:65">
      <c r="Z275" s="213"/>
      <c r="AA275" s="213"/>
      <c r="AB275" s="213"/>
      <c r="AC275" s="213"/>
      <c r="AD275" s="213"/>
    </row>
    <row r="276" spans="26:65">
      <c r="Z276" s="213"/>
      <c r="AA276" s="213"/>
      <c r="AB276" s="213"/>
      <c r="AC276" s="213"/>
      <c r="AD276" s="213"/>
    </row>
    <row r="277" spans="26:65">
      <c r="Z277" s="213"/>
      <c r="AA277" s="213"/>
      <c r="AB277" s="213"/>
      <c r="AC277" s="213"/>
      <c r="AD277" s="213"/>
    </row>
    <row r="278" spans="26:65">
      <c r="Z278" s="213"/>
      <c r="AA278" s="213"/>
      <c r="AB278" s="213"/>
      <c r="AC278" s="213"/>
      <c r="AD278" s="213"/>
      <c r="BK278" s="72"/>
      <c r="BL278" s="72"/>
      <c r="BM278" s="72"/>
    </row>
    <row r="279" spans="26:65">
      <c r="Z279" s="213"/>
      <c r="AA279" s="213"/>
      <c r="AB279" s="213"/>
      <c r="AC279" s="213"/>
      <c r="AD279" s="213"/>
      <c r="BK279" s="72"/>
      <c r="BL279" s="72"/>
      <c r="BM279" s="72"/>
    </row>
    <row r="280" spans="26:65">
      <c r="Z280" s="213"/>
      <c r="AA280" s="213"/>
      <c r="AB280" s="213"/>
      <c r="AC280" s="213"/>
      <c r="AD280" s="213"/>
      <c r="BK280" s="72"/>
      <c r="BL280" s="72"/>
      <c r="BM280" s="72"/>
    </row>
    <row r="281" spans="26:65">
      <c r="Z281" s="213"/>
      <c r="AA281" s="213"/>
      <c r="AB281" s="213"/>
      <c r="AC281" s="213"/>
      <c r="AD281" s="213"/>
      <c r="BK281" s="72"/>
      <c r="BL281" s="72"/>
      <c r="BM281" s="72"/>
    </row>
    <row r="282" spans="26:65">
      <c r="Z282" s="213"/>
      <c r="AA282" s="213"/>
      <c r="AB282" s="213"/>
      <c r="AC282" s="213"/>
      <c r="AD282" s="213"/>
      <c r="BK282" s="72"/>
      <c r="BL282" s="72"/>
      <c r="BM282" s="72"/>
    </row>
    <row r="283" spans="26:65">
      <c r="Z283" s="213"/>
      <c r="AA283" s="213"/>
      <c r="AB283" s="213"/>
      <c r="AC283" s="213"/>
      <c r="AD283" s="213"/>
      <c r="BK283" s="72"/>
      <c r="BL283" s="72"/>
      <c r="BM283" s="72"/>
    </row>
    <row r="284" spans="26:65">
      <c r="Z284" s="213"/>
      <c r="AA284" s="213"/>
      <c r="AB284" s="213"/>
      <c r="AC284" s="213"/>
      <c r="AD284" s="213"/>
      <c r="BK284" s="72"/>
      <c r="BL284" s="72"/>
      <c r="BM284" s="72"/>
    </row>
    <row r="285" spans="26:65">
      <c r="Z285" s="213"/>
      <c r="AA285" s="213"/>
      <c r="AB285" s="213"/>
      <c r="AC285" s="213"/>
      <c r="AD285" s="213"/>
      <c r="BK285" s="72"/>
      <c r="BL285" s="72"/>
      <c r="BM285" s="72"/>
    </row>
    <row r="286" spans="26:65">
      <c r="Z286" s="213"/>
      <c r="AA286" s="213"/>
      <c r="AB286" s="213"/>
      <c r="AC286" s="213"/>
      <c r="AD286" s="213"/>
      <c r="BK286" s="72"/>
      <c r="BL286" s="72"/>
      <c r="BM286" s="72"/>
    </row>
    <row r="287" spans="26:65">
      <c r="Z287" s="213"/>
      <c r="AA287" s="213"/>
      <c r="AB287" s="213"/>
      <c r="AC287" s="213"/>
      <c r="AD287" s="213"/>
      <c r="BK287" s="72"/>
      <c r="BL287" s="72"/>
      <c r="BM287" s="72"/>
    </row>
    <row r="288" spans="26:65">
      <c r="Z288" s="213"/>
      <c r="AA288" s="213"/>
      <c r="AB288" s="213"/>
      <c r="AC288" s="213"/>
      <c r="AD288" s="213"/>
      <c r="BK288" s="72"/>
      <c r="BL288" s="72"/>
      <c r="BM288" s="72"/>
    </row>
    <row r="289" spans="26:65">
      <c r="Z289" s="213"/>
      <c r="AA289" s="213"/>
      <c r="AB289" s="213"/>
      <c r="AC289" s="213"/>
      <c r="AD289" s="213"/>
      <c r="BK289" s="72"/>
      <c r="BL289" s="72"/>
      <c r="BM289" s="72"/>
    </row>
    <row r="290" spans="26:65">
      <c r="Z290" s="213"/>
      <c r="AA290" s="213"/>
      <c r="AB290" s="213"/>
      <c r="AC290" s="213"/>
      <c r="AD290" s="213"/>
      <c r="BK290" s="72"/>
      <c r="BL290" s="72"/>
      <c r="BM290" s="72"/>
    </row>
    <row r="291" spans="26:65">
      <c r="Z291" s="213"/>
      <c r="AA291" s="213"/>
      <c r="AB291" s="213"/>
      <c r="AC291" s="213"/>
      <c r="AD291" s="213"/>
      <c r="BK291" s="72"/>
      <c r="BL291" s="72"/>
      <c r="BM291" s="72"/>
    </row>
    <row r="292" spans="26:65">
      <c r="Z292" s="213"/>
      <c r="AA292" s="213"/>
      <c r="AB292" s="213"/>
      <c r="AC292" s="213"/>
      <c r="AD292" s="213"/>
      <c r="BK292" s="72"/>
      <c r="BL292" s="72"/>
      <c r="BM292" s="72"/>
    </row>
    <row r="293" spans="26:65">
      <c r="Z293" s="213"/>
      <c r="AA293" s="213"/>
      <c r="AB293" s="213"/>
      <c r="AC293" s="213"/>
      <c r="AD293" s="213"/>
      <c r="BK293" s="72"/>
      <c r="BL293" s="72"/>
      <c r="BM293" s="72"/>
    </row>
    <row r="294" spans="26:65">
      <c r="Z294" s="213"/>
      <c r="AA294" s="213"/>
      <c r="AB294" s="213"/>
      <c r="AC294" s="213"/>
      <c r="AD294" s="213"/>
      <c r="BK294" s="72"/>
      <c r="BL294" s="72"/>
      <c r="BM294" s="72"/>
    </row>
    <row r="295" spans="26:65">
      <c r="Z295" s="213"/>
      <c r="AA295" s="213"/>
      <c r="AB295" s="213"/>
      <c r="AC295" s="213"/>
      <c r="AD295" s="213"/>
      <c r="BK295" s="72"/>
      <c r="BL295" s="72"/>
      <c r="BM295" s="72"/>
    </row>
    <row r="296" spans="26:65">
      <c r="Z296" s="213"/>
      <c r="BK296" s="72"/>
      <c r="BL296" s="72"/>
      <c r="BM296" s="72"/>
    </row>
    <row r="297" spans="26:65">
      <c r="Z297" s="213"/>
      <c r="BK297" s="72"/>
      <c r="BL297" s="72"/>
      <c r="BM297" s="72"/>
    </row>
    <row r="298" spans="26:65">
      <c r="Z298" s="213"/>
    </row>
    <row r="299" spans="26:65">
      <c r="Z299" s="213"/>
    </row>
    <row r="300" spans="26:65">
      <c r="Z300" s="213"/>
    </row>
  </sheetData>
  <mergeCells count="24">
    <mergeCell ref="V3:X3"/>
    <mergeCell ref="B3:D3"/>
    <mergeCell ref="BI5:BM5"/>
    <mergeCell ref="AO5:AS5"/>
    <mergeCell ref="AO6:AS6"/>
    <mergeCell ref="BD5:BH5"/>
    <mergeCell ref="BD6:BH6"/>
    <mergeCell ref="BJ3:BL3"/>
    <mergeCell ref="AK3:AM3"/>
    <mergeCell ref="BD8:BH8"/>
    <mergeCell ref="AO8:AS8"/>
    <mergeCell ref="AT8:AX8"/>
    <mergeCell ref="AY8:BC8"/>
    <mergeCell ref="BE3:BG3"/>
    <mergeCell ref="BD7:BH7"/>
    <mergeCell ref="AU3:AW3"/>
    <mergeCell ref="AZ3:BB3"/>
    <mergeCell ref="AO7:AS7"/>
    <mergeCell ref="AT5:AX5"/>
    <mergeCell ref="AT6:AX6"/>
    <mergeCell ref="AT7:AX7"/>
    <mergeCell ref="AY5:BC5"/>
    <mergeCell ref="AY6:BC6"/>
    <mergeCell ref="AY7:BC7"/>
  </mergeCells>
  <phoneticPr fontId="29" type="noConversion"/>
  <printOptions horizontalCentered="1"/>
  <pageMargins left="1" right="0.7" top="0.75" bottom="0.75" header="0.3" footer="0.3"/>
  <pageSetup scale="72" fitToHeight="0" orientation="portrait" r:id="rId1"/>
  <rowBreaks count="2" manualBreakCount="2">
    <brk id="29" min="20" max="24" man="1"/>
    <brk id="50" min="60"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Q401"/>
  <sheetViews>
    <sheetView zoomScaleNormal="100" workbookViewId="0">
      <pane xSplit="1" ySplit="2" topLeftCell="B3" activePane="bottomRight" state="frozen"/>
      <selection activeCell="BB16" sqref="BB16"/>
      <selection pane="topRight" activeCell="BB16" sqref="BB16"/>
      <selection pane="bottomLeft" activeCell="BB16" sqref="BB16"/>
      <selection pane="bottomRight" activeCell="C406" sqref="C406:F435"/>
    </sheetView>
  </sheetViews>
  <sheetFormatPr defaultColWidth="19.33203125" defaultRowHeight="12.75" outlineLevelRow="1"/>
  <cols>
    <col min="1" max="1" width="5.83203125" style="252" customWidth="1"/>
    <col min="2" max="2" width="68.1640625" style="252" customWidth="1"/>
    <col min="3" max="3" width="16.83203125" style="252" customWidth="1"/>
    <col min="4" max="6" width="22.33203125" style="252" customWidth="1"/>
    <col min="7" max="7" width="6.5" style="188" bestFit="1" customWidth="1"/>
    <col min="8" max="8" width="55.83203125" style="188" bestFit="1" customWidth="1"/>
    <col min="9" max="9" width="19.33203125" style="188"/>
    <col min="10" max="10" width="13.83203125" style="188" customWidth="1"/>
    <col min="11" max="11" width="19.33203125" style="188"/>
    <col min="12" max="12" width="5.1640625" style="188" customWidth="1"/>
    <col min="13" max="13" width="72.5" style="188" bestFit="1" customWidth="1"/>
    <col min="14" max="14" width="5" style="188" customWidth="1"/>
    <col min="15" max="15" width="10.83203125" style="188" customWidth="1"/>
    <col min="16" max="16384" width="19.33203125" style="188"/>
  </cols>
  <sheetData>
    <row r="1" spans="1:17" s="70" customFormat="1">
      <c r="A1" s="250"/>
      <c r="B1" s="252"/>
      <c r="C1" s="252"/>
      <c r="E1" s="185"/>
      <c r="F1" s="185" t="s">
        <v>1096</v>
      </c>
      <c r="G1" s="250"/>
      <c r="H1" s="252"/>
      <c r="I1" s="252"/>
      <c r="J1" s="252"/>
      <c r="K1" s="8" t="str">
        <f>+F1</f>
        <v>Exh. MCC-3</v>
      </c>
      <c r="L1" s="250"/>
      <c r="M1" s="252"/>
      <c r="N1" s="252"/>
      <c r="O1" s="252"/>
      <c r="P1" s="8" t="str">
        <f>+F1</f>
        <v>Exh. MCC-3</v>
      </c>
    </row>
    <row r="2" spans="1:17" s="70" customFormat="1">
      <c r="A2" s="250"/>
      <c r="B2" s="252"/>
      <c r="E2" s="185"/>
      <c r="F2" s="185" t="str">
        <f>'MCC-2 page 1-6'!BB2</f>
        <v>Dockets UE-170033/UG-170034</v>
      </c>
      <c r="G2" s="250"/>
      <c r="H2" s="252"/>
      <c r="I2" s="252"/>
      <c r="K2" s="8" t="str">
        <f>F2</f>
        <v>Dockets UE-170033/UG-170034</v>
      </c>
      <c r="L2" s="250"/>
      <c r="M2" s="252"/>
      <c r="N2" s="252"/>
      <c r="P2" s="8" t="str">
        <f>F2</f>
        <v>Dockets UE-170033/UG-170034</v>
      </c>
    </row>
    <row r="3" spans="1:17" s="70" customFormat="1">
      <c r="A3" s="250"/>
      <c r="B3" s="252"/>
      <c r="C3" s="252"/>
      <c r="E3" s="185"/>
      <c r="F3" s="185" t="s">
        <v>1143</v>
      </c>
      <c r="H3" s="252"/>
      <c r="I3" s="252"/>
      <c r="J3" s="252"/>
      <c r="K3" s="185" t="s">
        <v>1144</v>
      </c>
      <c r="L3" s="250"/>
      <c r="M3" s="250"/>
      <c r="N3" s="250"/>
      <c r="O3" s="250"/>
      <c r="P3" s="185" t="s">
        <v>1145</v>
      </c>
    </row>
    <row r="4" spans="1:17" s="984" customFormat="1" ht="15.75">
      <c r="A4" s="150"/>
      <c r="B4" s="633"/>
      <c r="C4" s="633"/>
      <c r="D4" s="634"/>
      <c r="E4" s="634"/>
      <c r="F4" s="634"/>
      <c r="G4" s="251"/>
      <c r="H4" s="251"/>
      <c r="I4" s="251"/>
      <c r="J4" s="251"/>
      <c r="K4" s="634"/>
      <c r="L4" s="82"/>
      <c r="M4" s="82"/>
      <c r="N4" s="82"/>
      <c r="O4" s="82"/>
      <c r="P4" s="634"/>
    </row>
    <row r="5" spans="1:17" s="70" customFormat="1" ht="24" customHeight="1">
      <c r="A5" s="1297" t="s">
        <v>312</v>
      </c>
      <c r="B5" s="1297"/>
      <c r="C5" s="1297"/>
      <c r="D5" s="1297"/>
      <c r="E5" s="1297"/>
      <c r="F5" s="1297"/>
      <c r="G5" s="175" t="s">
        <v>312</v>
      </c>
      <c r="H5" s="27"/>
      <c r="I5" s="248"/>
      <c r="J5" s="248"/>
      <c r="K5" s="248"/>
      <c r="L5" s="175" t="s">
        <v>312</v>
      </c>
      <c r="M5" s="248"/>
      <c r="N5" s="248"/>
      <c r="O5" s="248"/>
      <c r="P5" s="248"/>
    </row>
    <row r="6" spans="1:17" s="70" customFormat="1" ht="15.75" customHeight="1">
      <c r="A6" s="175" t="s">
        <v>34</v>
      </c>
      <c r="B6" s="27"/>
      <c r="C6" s="27"/>
      <c r="D6" s="27"/>
      <c r="E6" s="27"/>
      <c r="F6" s="27"/>
      <c r="G6" s="248" t="s">
        <v>49</v>
      </c>
      <c r="H6" s="27"/>
      <c r="I6" s="248"/>
      <c r="J6" s="248"/>
      <c r="K6" s="248"/>
      <c r="L6" s="248" t="s">
        <v>72</v>
      </c>
      <c r="M6" s="248"/>
      <c r="N6" s="248"/>
      <c r="O6" s="248"/>
      <c r="P6" s="248"/>
    </row>
    <row r="7" spans="1:17">
      <c r="A7" s="248" t="str">
        <f>keep_TESTYEAR</f>
        <v>FOR THE TWELVE MONTHS ENDED SEPTEMBER 30, 2016</v>
      </c>
      <c r="B7" s="27"/>
      <c r="C7" s="27"/>
      <c r="D7" s="27"/>
      <c r="E7" s="27"/>
      <c r="F7" s="27"/>
      <c r="G7" s="248" t="str">
        <f>keep_TESTYEAR</f>
        <v>FOR THE TWELVE MONTHS ENDED SEPTEMBER 30, 2016</v>
      </c>
      <c r="H7" s="27"/>
      <c r="I7" s="248"/>
      <c r="J7" s="248"/>
      <c r="K7" s="248"/>
      <c r="L7" s="248" t="str">
        <f>keep_TESTYEAR</f>
        <v>FOR THE TWELVE MONTHS ENDED SEPTEMBER 30, 2016</v>
      </c>
      <c r="M7" s="248"/>
      <c r="N7" s="248"/>
      <c r="O7" s="248"/>
      <c r="P7" s="248"/>
    </row>
    <row r="8" spans="1:17">
      <c r="A8" s="175" t="s">
        <v>58</v>
      </c>
      <c r="B8" s="68"/>
      <c r="C8" s="68"/>
      <c r="D8" s="27"/>
      <c r="E8" s="27"/>
      <c r="F8" s="27"/>
      <c r="G8" s="175" t="s">
        <v>58</v>
      </c>
      <c r="H8" s="27"/>
      <c r="I8" s="248"/>
      <c r="J8" s="248"/>
      <c r="K8" s="248"/>
      <c r="L8" s="175" t="s">
        <v>58</v>
      </c>
      <c r="M8" s="248"/>
      <c r="N8" s="248"/>
      <c r="O8" s="248"/>
      <c r="P8" s="248"/>
    </row>
    <row r="9" spans="1:17">
      <c r="D9" s="19" t="s">
        <v>1211</v>
      </c>
      <c r="E9" s="19" t="s">
        <v>998</v>
      </c>
      <c r="F9" s="19" t="s">
        <v>1107</v>
      </c>
      <c r="G9" s="87"/>
      <c r="H9" s="252"/>
      <c r="I9" s="252"/>
      <c r="J9" s="970"/>
      <c r="K9" s="970"/>
      <c r="L9" s="250"/>
      <c r="M9" s="250"/>
      <c r="N9" s="250"/>
      <c r="O9" s="250"/>
      <c r="P9" s="250"/>
    </row>
    <row r="10" spans="1:17" ht="28.5">
      <c r="A10" s="970" t="s">
        <v>284</v>
      </c>
      <c r="D10" s="19" t="s">
        <v>1108</v>
      </c>
      <c r="E10" s="19" t="s">
        <v>1214</v>
      </c>
      <c r="F10" s="19" t="s">
        <v>1108</v>
      </c>
      <c r="G10" s="970" t="s">
        <v>284</v>
      </c>
      <c r="H10" s="252"/>
      <c r="I10" s="970" t="s">
        <v>131</v>
      </c>
      <c r="J10" s="970" t="s">
        <v>811</v>
      </c>
      <c r="K10" s="970" t="s">
        <v>233</v>
      </c>
      <c r="L10" s="970" t="s">
        <v>284</v>
      </c>
      <c r="M10" s="250"/>
      <c r="N10" s="250"/>
      <c r="O10" s="250"/>
      <c r="P10" s="250"/>
    </row>
    <row r="11" spans="1:17">
      <c r="A11" s="176" t="s">
        <v>301</v>
      </c>
      <c r="B11" s="17" t="s">
        <v>73</v>
      </c>
      <c r="C11" s="756"/>
      <c r="D11" s="1182" t="s">
        <v>1212</v>
      </c>
      <c r="E11" s="1182" t="s">
        <v>124</v>
      </c>
      <c r="F11" s="1182" t="s">
        <v>1213</v>
      </c>
      <c r="G11" s="176" t="s">
        <v>301</v>
      </c>
      <c r="H11" s="17" t="s">
        <v>73</v>
      </c>
      <c r="I11" s="176" t="s">
        <v>234</v>
      </c>
      <c r="J11" s="176" t="s">
        <v>812</v>
      </c>
      <c r="K11" s="176" t="s">
        <v>27</v>
      </c>
      <c r="L11" s="176" t="s">
        <v>301</v>
      </c>
      <c r="M11" s="84" t="s">
        <v>73</v>
      </c>
      <c r="N11" s="177"/>
      <c r="O11" s="177"/>
      <c r="P11" s="18" t="s">
        <v>99</v>
      </c>
    </row>
    <row r="12" spans="1:17">
      <c r="G12" s="12"/>
      <c r="H12" s="12"/>
      <c r="I12" s="12"/>
      <c r="J12" s="12"/>
      <c r="K12" s="12"/>
      <c r="L12" s="252"/>
      <c r="M12" s="252"/>
      <c r="N12" s="252"/>
      <c r="O12" s="252"/>
      <c r="P12" s="29"/>
    </row>
    <row r="13" spans="1:17" ht="15" customHeight="1">
      <c r="A13" s="253">
        <v>1</v>
      </c>
      <c r="B13" s="252" t="s">
        <v>107</v>
      </c>
      <c r="D13" s="1210">
        <f>'MCC-2 page 1-6'!AU51</f>
        <v>5075734044.5515747</v>
      </c>
      <c r="E13" s="149"/>
      <c r="F13" s="149"/>
      <c r="G13" s="253">
        <v>1</v>
      </c>
      <c r="H13" s="252" t="s">
        <v>1216</v>
      </c>
      <c r="I13" s="94">
        <v>0.01</v>
      </c>
      <c r="J13" s="94">
        <v>3.0599999999999999E-2</v>
      </c>
      <c r="K13" s="94">
        <f>ROUND(+I13*J13,4)</f>
        <v>2.9999999999999997E-4</v>
      </c>
      <c r="L13" s="253">
        <v>1</v>
      </c>
      <c r="M13" s="255" t="s">
        <v>254</v>
      </c>
      <c r="N13" s="252"/>
      <c r="O13" s="252"/>
      <c r="P13" s="159">
        <f>'MCC-2 page 7-30'!AV22</f>
        <v>7.1570000000000002E-3</v>
      </c>
      <c r="Q13" s="985"/>
    </row>
    <row r="14" spans="1:17" ht="15" customHeight="1">
      <c r="A14" s="253">
        <f t="shared" ref="A14:A25" si="0">A13+1</f>
        <v>2</v>
      </c>
      <c r="B14" s="255" t="s">
        <v>251</v>
      </c>
      <c r="C14" s="255"/>
      <c r="D14" s="385">
        <f>+K16</f>
        <v>7.3700000000000002E-2</v>
      </c>
      <c r="E14" s="94"/>
      <c r="F14" s="94"/>
      <c r="G14" s="253">
        <v>2</v>
      </c>
      <c r="H14" s="252" t="s">
        <v>1010</v>
      </c>
      <c r="I14" s="94">
        <v>0.51</v>
      </c>
      <c r="J14" s="94">
        <v>5.7299999999999997E-2</v>
      </c>
      <c r="K14" s="94">
        <f>ROUND(+I14*J14,4)</f>
        <v>2.92E-2</v>
      </c>
      <c r="L14" s="253">
        <v>2</v>
      </c>
      <c r="M14" s="255" t="s">
        <v>108</v>
      </c>
      <c r="N14" s="252"/>
      <c r="O14" s="252"/>
      <c r="P14" s="159">
        <f>+'[51]3.04 E'!$E$15</f>
        <v>2E-3</v>
      </c>
      <c r="Q14" s="70"/>
    </row>
    <row r="15" spans="1:17" ht="15" customHeight="1">
      <c r="A15" s="253">
        <f t="shared" si="0"/>
        <v>3</v>
      </c>
      <c r="B15" s="255"/>
      <c r="C15" s="255"/>
      <c r="G15" s="253">
        <v>3</v>
      </c>
      <c r="H15" s="252" t="s">
        <v>613</v>
      </c>
      <c r="I15" s="94">
        <v>0.48</v>
      </c>
      <c r="J15" s="94">
        <v>9.1999999999999998E-2</v>
      </c>
      <c r="K15" s="94">
        <f>ROUND(+I15*J15,4)</f>
        <v>4.4200000000000003E-2</v>
      </c>
      <c r="L15" s="253">
        <v>3</v>
      </c>
      <c r="M15" s="255" t="str">
        <f>"STATE UTILITY TAX ( "&amp;O15*100&amp;"% - ( LINE 1 * "&amp;O15*100&amp;"% )  )"</f>
        <v>STATE UTILITY TAX ( 3.8734% - ( LINE 1 * 3.8734% )  )</v>
      </c>
      <c r="N15" s="985"/>
      <c r="O15" s="399">
        <f>'[51]3.04 E'!$D$16</f>
        <v>3.8733999999999998E-2</v>
      </c>
      <c r="P15" s="160">
        <f>ROUND(O15-(O15*P13),6)</f>
        <v>3.8456999999999998E-2</v>
      </c>
      <c r="Q15" s="70"/>
    </row>
    <row r="16" spans="1:17" ht="15" customHeight="1">
      <c r="A16" s="253">
        <f t="shared" si="0"/>
        <v>4</v>
      </c>
      <c r="B16" s="252" t="s">
        <v>38</v>
      </c>
      <c r="D16" s="1201">
        <f>+D13*D14</f>
        <v>374081599.08345109</v>
      </c>
      <c r="E16" s="208"/>
      <c r="F16" s="208"/>
      <c r="G16" s="253">
        <v>4</v>
      </c>
      <c r="H16" s="252" t="s">
        <v>615</v>
      </c>
      <c r="I16" s="470">
        <f>SUM(I13:I15)</f>
        <v>1</v>
      </c>
      <c r="J16" s="471"/>
      <c r="K16" s="470">
        <f>SUM(K13:K15)</f>
        <v>7.3700000000000002E-2</v>
      </c>
      <c r="L16" s="253">
        <v>4</v>
      </c>
      <c r="M16" s="255"/>
      <c r="N16" s="252"/>
      <c r="O16" s="252"/>
      <c r="P16" s="244"/>
      <c r="Q16" s="70"/>
    </row>
    <row r="17" spans="1:17" ht="15" customHeight="1">
      <c r="A17" s="253">
        <f t="shared" si="0"/>
        <v>5</v>
      </c>
      <c r="D17" s="73"/>
      <c r="E17" s="73"/>
      <c r="F17" s="73"/>
      <c r="G17" s="253">
        <v>5</v>
      </c>
      <c r="I17" s="252"/>
      <c r="J17" s="252"/>
      <c r="K17" s="251"/>
      <c r="L17" s="253">
        <v>5</v>
      </c>
      <c r="M17" s="255" t="s">
        <v>18</v>
      </c>
      <c r="N17" s="252"/>
      <c r="O17" s="252"/>
      <c r="P17" s="159">
        <f>ROUND(SUM(P13:P15),6)</f>
        <v>4.7613999999999997E-2</v>
      </c>
      <c r="Q17" s="70"/>
    </row>
    <row r="18" spans="1:17" ht="15" customHeight="1">
      <c r="A18" s="253">
        <f t="shared" si="0"/>
        <v>6</v>
      </c>
      <c r="B18" s="255" t="s">
        <v>39</v>
      </c>
      <c r="C18" s="255"/>
      <c r="D18" s="1211">
        <f>'MCC-2 page 1-6'!AR49</f>
        <v>342138020.80388665</v>
      </c>
      <c r="E18" s="1181"/>
      <c r="F18" s="1181"/>
      <c r="G18" s="253">
        <v>6</v>
      </c>
      <c r="H18" s="252" t="s">
        <v>1011</v>
      </c>
      <c r="I18" s="91">
        <f t="shared" ref="I18:J20" si="1">+I13</f>
        <v>0.01</v>
      </c>
      <c r="J18" s="91">
        <f t="shared" si="1"/>
        <v>3.0599999999999999E-2</v>
      </c>
      <c r="K18" s="94">
        <f>ROUND(K13*0.65,4)</f>
        <v>2.0000000000000001E-4</v>
      </c>
      <c r="L18" s="253">
        <v>6</v>
      </c>
      <c r="M18" s="252"/>
      <c r="N18" s="252"/>
      <c r="O18" s="252"/>
      <c r="P18" s="159"/>
      <c r="Q18" s="70"/>
    </row>
    <row r="19" spans="1:17" ht="15" customHeight="1">
      <c r="A19" s="253">
        <f t="shared" si="0"/>
        <v>7</v>
      </c>
      <c r="B19" s="255" t="s">
        <v>140</v>
      </c>
      <c r="C19" s="255"/>
      <c r="D19" s="1212">
        <f>+D16-D18</f>
        <v>31943578.27956444</v>
      </c>
      <c r="E19" s="200"/>
      <c r="F19" s="200"/>
      <c r="G19" s="253">
        <v>7</v>
      </c>
      <c r="H19" s="252" t="s">
        <v>1012</v>
      </c>
      <c r="I19" s="91">
        <f t="shared" si="1"/>
        <v>0.51</v>
      </c>
      <c r="J19" s="91">
        <f t="shared" si="1"/>
        <v>5.7299999999999997E-2</v>
      </c>
      <c r="K19" s="94">
        <f>ROUND(K14*0.65,4)</f>
        <v>1.9E-2</v>
      </c>
      <c r="L19" s="253">
        <v>7</v>
      </c>
      <c r="M19" s="252" t="str">
        <f>"CONVERSION FACTOR EXCLUDING FEDERAL INCOME TAX ( 1 - LINE "&amp;$L$17&amp;" )"</f>
        <v>CONVERSION FACTOR EXCLUDING FEDERAL INCOME TAX ( 1 - LINE 5 )</v>
      </c>
      <c r="N19" s="252"/>
      <c r="O19" s="252"/>
      <c r="P19" s="159">
        <f>ROUND(1-P17,6)</f>
        <v>0.95238599999999995</v>
      </c>
      <c r="Q19" s="70"/>
    </row>
    <row r="20" spans="1:17" ht="15" customHeight="1">
      <c r="A20" s="253">
        <f t="shared" si="0"/>
        <v>8</v>
      </c>
      <c r="D20" s="73"/>
      <c r="E20" s="73"/>
      <c r="F20" s="73"/>
      <c r="G20" s="253">
        <v>8</v>
      </c>
      <c r="H20" s="252" t="s">
        <v>613</v>
      </c>
      <c r="I20" s="91">
        <f t="shared" si="1"/>
        <v>0.48</v>
      </c>
      <c r="J20" s="91">
        <f t="shared" si="1"/>
        <v>9.1999999999999998E-2</v>
      </c>
      <c r="K20" s="94">
        <f>ROUND(I20*J20,4)</f>
        <v>4.4200000000000003E-2</v>
      </c>
      <c r="L20" s="253">
        <v>8</v>
      </c>
      <c r="M20" s="255" t="str">
        <f>"FEDERAL INCOME TAX ( LINE "&amp;L19&amp;"  * "&amp;k_FITrate*100&amp;"% )"</f>
        <v>FEDERAL INCOME TAX ( LINE 7  * 35% )</v>
      </c>
      <c r="N20" s="252"/>
      <c r="O20" s="157">
        <v>0.35</v>
      </c>
      <c r="P20" s="159">
        <f>ROUND((P19)*k_FITrate,6)</f>
        <v>0.33333499999999999</v>
      </c>
      <c r="Q20" s="70"/>
    </row>
    <row r="21" spans="1:17" ht="15" customHeight="1" thickBot="1">
      <c r="A21" s="253">
        <f t="shared" si="0"/>
        <v>9</v>
      </c>
      <c r="B21" s="252" t="s">
        <v>72</v>
      </c>
      <c r="D21" s="468">
        <f>+P21</f>
        <v>0.61905100000000002</v>
      </c>
      <c r="E21" s="1183"/>
      <c r="F21" s="1183"/>
      <c r="G21" s="253">
        <v>9</v>
      </c>
      <c r="H21" s="252" t="s">
        <v>614</v>
      </c>
      <c r="I21" s="470">
        <f>SUM(I18:I20)</f>
        <v>1</v>
      </c>
      <c r="J21" s="471"/>
      <c r="K21" s="470">
        <f>SUM(K18:K20)</f>
        <v>6.3399999999999998E-2</v>
      </c>
      <c r="L21" s="253">
        <v>9</v>
      </c>
      <c r="M21" s="255" t="str">
        <f>"CONVERSION FACTOR INCL FEDERAL INCOME TAX ( LINE "&amp;L19&amp;" - LINE "&amp;L20&amp;" ) "</f>
        <v xml:space="preserve">CONVERSION FACTOR INCL FEDERAL INCOME TAX ( LINE 7 - LINE 8 ) </v>
      </c>
      <c r="N21" s="252"/>
      <c r="O21" s="252"/>
      <c r="P21" s="469">
        <f>P19-P20</f>
        <v>0.61905100000000002</v>
      </c>
      <c r="Q21" s="70"/>
    </row>
    <row r="22" spans="1:17" ht="15" customHeight="1" thickTop="1">
      <c r="A22" s="253">
        <f t="shared" si="0"/>
        <v>10</v>
      </c>
      <c r="B22" s="252" t="s">
        <v>141</v>
      </c>
      <c r="D22" s="1200">
        <f>ROUND(+D19/D21,0)</f>
        <v>51600883</v>
      </c>
      <c r="E22" s="200"/>
      <c r="F22" s="1200">
        <f>SUM(F23:F25)</f>
        <v>-34607339</v>
      </c>
      <c r="G22" s="253"/>
      <c r="I22" s="70"/>
      <c r="J22" s="70"/>
      <c r="K22" s="70"/>
      <c r="L22" s="209"/>
    </row>
    <row r="23" spans="1:17" ht="15" customHeight="1">
      <c r="A23" s="253">
        <f t="shared" si="0"/>
        <v>11</v>
      </c>
      <c r="B23" s="255" t="s">
        <v>266</v>
      </c>
      <c r="C23" s="255"/>
      <c r="D23" s="200">
        <f>FirmResale!S49</f>
        <v>405142.80924519914</v>
      </c>
      <c r="E23" s="200">
        <f>'MCC-2 page 1-6'!AZ18</f>
        <v>-22000</v>
      </c>
      <c r="F23" s="200">
        <f>D23-E23</f>
        <v>427142.80924519914</v>
      </c>
      <c r="I23" s="252"/>
      <c r="J23" s="252"/>
      <c r="K23" s="252"/>
      <c r="O23" s="70"/>
      <c r="P23" s="70"/>
    </row>
    <row r="24" spans="1:17" ht="15" customHeight="1">
      <c r="A24" s="253">
        <f t="shared" si="0"/>
        <v>12</v>
      </c>
      <c r="B24" s="255"/>
      <c r="C24" s="255"/>
      <c r="D24" s="384"/>
      <c r="E24" s="384"/>
      <c r="F24" s="384"/>
      <c r="I24" s="209"/>
      <c r="J24" s="209"/>
      <c r="K24" s="209"/>
      <c r="L24" s="70"/>
    </row>
    <row r="25" spans="1:17" ht="15" customHeight="1" thickBot="1">
      <c r="A25" s="253">
        <f t="shared" si="0"/>
        <v>13</v>
      </c>
      <c r="B25" s="252" t="s">
        <v>1223</v>
      </c>
      <c r="D25" s="1213">
        <f>+D22-D24-D23</f>
        <v>51195740.190754801</v>
      </c>
      <c r="E25" s="200">
        <f>'MCC-2 page 1-6'!AZ17</f>
        <v>86230222</v>
      </c>
      <c r="F25" s="1213">
        <f>D25-E25</f>
        <v>-35034481.809245199</v>
      </c>
      <c r="H25" s="986"/>
      <c r="I25" s="94"/>
      <c r="J25" s="94"/>
      <c r="K25" s="94"/>
      <c r="P25" s="70"/>
    </row>
    <row r="26" spans="1:17" ht="14.25" thickTop="1">
      <c r="A26" s="253"/>
      <c r="B26" s="188"/>
      <c r="C26" s="188"/>
      <c r="D26" s="147"/>
      <c r="E26" s="147"/>
      <c r="F26" s="147"/>
      <c r="H26" s="987"/>
      <c r="I26" s="94"/>
      <c r="J26" s="94"/>
    </row>
    <row r="27" spans="1:17">
      <c r="A27" s="253"/>
      <c r="B27" s="188"/>
      <c r="D27" s="1298" t="s">
        <v>1215</v>
      </c>
      <c r="E27" s="1298"/>
      <c r="F27" s="1298"/>
      <c r="I27" s="94"/>
      <c r="J27" s="94"/>
    </row>
    <row r="28" spans="1:17" ht="13.5">
      <c r="A28" s="253"/>
      <c r="B28" s="750"/>
      <c r="C28" s="750"/>
      <c r="D28" s="1298"/>
      <c r="E28" s="1298"/>
      <c r="F28" s="1298"/>
      <c r="H28" s="988"/>
    </row>
    <row r="29" spans="1:17">
      <c r="A29" s="253"/>
      <c r="B29" s="989"/>
      <c r="C29" s="989"/>
      <c r="D29" s="989"/>
      <c r="E29" s="989"/>
      <c r="F29" s="989"/>
      <c r="H29" s="990"/>
    </row>
    <row r="30" spans="1:17">
      <c r="B30" s="989"/>
      <c r="C30" s="989"/>
      <c r="D30" s="989"/>
      <c r="E30" s="989"/>
      <c r="F30" s="989"/>
      <c r="H30" s="991"/>
    </row>
    <row r="31" spans="1:17" ht="12.75" hidden="1" customHeight="1" outlineLevel="1">
      <c r="B31" s="992" t="s">
        <v>959</v>
      </c>
      <c r="C31" s="993" t="s">
        <v>960</v>
      </c>
      <c r="D31" s="993" t="s">
        <v>895</v>
      </c>
      <c r="E31" s="1180"/>
      <c r="F31" s="1180"/>
      <c r="H31" s="988"/>
    </row>
    <row r="32" spans="1:17" ht="12.75" hidden="1" customHeight="1" outlineLevel="1">
      <c r="B32" s="188" t="s">
        <v>107</v>
      </c>
      <c r="C32" s="986">
        <f>D13-D32</f>
        <v>-22013725.864058495</v>
      </c>
      <c r="D32" s="188">
        <v>5097747770.4156332</v>
      </c>
      <c r="E32" s="188"/>
      <c r="F32" s="188"/>
      <c r="H32" s="990"/>
    </row>
    <row r="33" spans="1:8" ht="11.25" hidden="1" customHeight="1" outlineLevel="1">
      <c r="A33" s="188"/>
      <c r="B33" s="188" t="s">
        <v>251</v>
      </c>
      <c r="C33" s="987">
        <f>D14-D33</f>
        <v>-3.699999999999995E-3</v>
      </c>
      <c r="D33" s="188">
        <v>7.7399999999999997E-2</v>
      </c>
      <c r="E33" s="188"/>
      <c r="F33" s="188"/>
      <c r="H33" s="994"/>
    </row>
    <row r="34" spans="1:8" ht="11.25" hidden="1" customHeight="1" outlineLevel="1">
      <c r="A34" s="188"/>
      <c r="B34" s="188"/>
      <c r="C34" s="188"/>
      <c r="D34" s="188"/>
      <c r="E34" s="188"/>
      <c r="F34" s="188"/>
      <c r="H34" s="988"/>
    </row>
    <row r="35" spans="1:8" ht="11.25" hidden="1" customHeight="1" outlineLevel="1">
      <c r="A35" s="188"/>
      <c r="B35" s="188" t="s">
        <v>38</v>
      </c>
      <c r="C35" s="988">
        <f>D16-D35</f>
        <v>-20484078.346718907</v>
      </c>
      <c r="D35" s="188">
        <v>394565677.43017</v>
      </c>
      <c r="E35" s="188"/>
      <c r="F35" s="188"/>
      <c r="H35" s="988"/>
    </row>
    <row r="36" spans="1:8" ht="11.25" hidden="1" customHeight="1" outlineLevel="1">
      <c r="A36" s="188"/>
      <c r="B36" s="188"/>
      <c r="C36" s="988"/>
      <c r="D36" s="188"/>
      <c r="E36" s="188"/>
      <c r="F36" s="188"/>
      <c r="H36" s="988"/>
    </row>
    <row r="37" spans="1:8" ht="11.25" hidden="1" customHeight="1" outlineLevel="1">
      <c r="A37" s="188"/>
      <c r="B37" s="188" t="s">
        <v>39</v>
      </c>
      <c r="C37" s="988">
        <f t="shared" ref="C37:C38" si="2">D18-D37</f>
        <v>36735537.535788298</v>
      </c>
      <c r="D37" s="188">
        <v>305402483.26809835</v>
      </c>
      <c r="E37" s="188"/>
      <c r="F37" s="188"/>
      <c r="H37" s="986"/>
    </row>
    <row r="38" spans="1:8" ht="11.25" hidden="1" customHeight="1" outlineLevel="1">
      <c r="A38" s="188"/>
      <c r="B38" s="188" t="s">
        <v>140</v>
      </c>
      <c r="C38" s="988">
        <f t="shared" si="2"/>
        <v>-57219616.382507205</v>
      </c>
      <c r="D38" s="188">
        <v>89163194.662071645</v>
      </c>
      <c r="E38" s="188"/>
      <c r="F38" s="188"/>
    </row>
    <row r="39" spans="1:8" ht="11.25" hidden="1" customHeight="1" outlineLevel="1">
      <c r="A39" s="188"/>
      <c r="B39" s="188"/>
      <c r="C39" s="188"/>
      <c r="D39" s="188"/>
      <c r="E39" s="188"/>
      <c r="F39" s="188"/>
    </row>
    <row r="40" spans="1:8" ht="11.25" hidden="1" customHeight="1" outlineLevel="1">
      <c r="A40" s="188"/>
      <c r="B40" s="188" t="s">
        <v>72</v>
      </c>
      <c r="C40" s="995">
        <f>D21-D40</f>
        <v>0</v>
      </c>
      <c r="D40" s="188">
        <v>0.61905100000000002</v>
      </c>
      <c r="E40" s="188"/>
      <c r="F40" s="188"/>
    </row>
    <row r="41" spans="1:8" ht="11.25" hidden="1" customHeight="1" outlineLevel="1">
      <c r="A41" s="188"/>
      <c r="B41" s="188" t="s">
        <v>141</v>
      </c>
      <c r="C41" s="988">
        <f>D22-D41</f>
        <v>-92431183</v>
      </c>
      <c r="D41" s="188">
        <v>144032066</v>
      </c>
      <c r="E41" s="188"/>
      <c r="F41" s="188"/>
    </row>
    <row r="42" spans="1:8" ht="11.25" hidden="1" customHeight="1" outlineLevel="1">
      <c r="A42" s="188"/>
      <c r="B42" s="188" t="s">
        <v>266</v>
      </c>
      <c r="C42" s="988">
        <f t="shared" ref="C42" si="3">D23-D42</f>
        <v>0</v>
      </c>
      <c r="D42" s="188">
        <v>405142.80924519908</v>
      </c>
      <c r="E42" s="188"/>
      <c r="F42" s="188"/>
    </row>
    <row r="43" spans="1:8" ht="11.25" hidden="1" customHeight="1" outlineLevel="1">
      <c r="A43" s="188"/>
      <c r="B43" s="188"/>
      <c r="C43" s="988"/>
      <c r="D43" s="188"/>
      <c r="E43" s="188"/>
      <c r="F43" s="188"/>
    </row>
    <row r="44" spans="1:8" ht="11.25" hidden="1" customHeight="1" outlineLevel="1">
      <c r="A44" s="188"/>
      <c r="B44" s="188" t="s">
        <v>141</v>
      </c>
      <c r="C44" s="988">
        <f>D25-D44</f>
        <v>-92431183</v>
      </c>
      <c r="D44" s="188">
        <v>143626923.1907548</v>
      </c>
      <c r="E44" s="188"/>
      <c r="F44" s="188"/>
    </row>
    <row r="45" spans="1:8" ht="11.25" hidden="1" customHeight="1" outlineLevel="1">
      <c r="A45" s="188"/>
      <c r="B45" s="188"/>
      <c r="C45" s="188"/>
      <c r="D45" s="188"/>
      <c r="E45" s="188"/>
      <c r="F45" s="188"/>
    </row>
    <row r="46" spans="1:8" ht="11.25" hidden="1" customHeight="1" outlineLevel="1">
      <c r="A46" s="188"/>
      <c r="B46" s="188"/>
      <c r="C46" s="188"/>
      <c r="D46" s="188"/>
      <c r="E46" s="188"/>
      <c r="F46" s="188"/>
    </row>
    <row r="47" spans="1:8" ht="12.75" hidden="1" customHeight="1" outlineLevel="1">
      <c r="A47" s="250">
        <v>1</v>
      </c>
      <c r="B47" s="996" t="s">
        <v>1013</v>
      </c>
      <c r="C47" s="993" t="s">
        <v>960</v>
      </c>
      <c r="D47" s="993" t="s">
        <v>895</v>
      </c>
      <c r="E47" s="1180"/>
      <c r="F47" s="1180"/>
    </row>
    <row r="48" spans="1:8" ht="12.75" hidden="1" customHeight="1" outlineLevel="1">
      <c r="B48" s="188" t="s">
        <v>107</v>
      </c>
      <c r="C48" s="986">
        <f>D48-D32</f>
        <v>0</v>
      </c>
      <c r="D48" s="188">
        <v>5097747770.4156332</v>
      </c>
      <c r="E48" s="188"/>
      <c r="F48" s="188"/>
    </row>
    <row r="49" spans="1:8" ht="11.25" hidden="1" customHeight="1" outlineLevel="1">
      <c r="A49" s="188"/>
      <c r="B49" s="188" t="s">
        <v>251</v>
      </c>
      <c r="C49" s="987">
        <f>D49-D33</f>
        <v>0</v>
      </c>
      <c r="D49" s="188">
        <v>7.7399999999999997E-2</v>
      </c>
      <c r="E49" s="188"/>
      <c r="F49" s="188"/>
      <c r="H49" s="994"/>
    </row>
    <row r="50" spans="1:8" ht="11.25" hidden="1" customHeight="1" outlineLevel="1">
      <c r="A50" s="188"/>
      <c r="B50" s="188"/>
      <c r="C50" s="188"/>
      <c r="D50" s="188"/>
      <c r="E50" s="188"/>
      <c r="F50" s="188"/>
      <c r="H50" s="988"/>
    </row>
    <row r="51" spans="1:8" ht="11.25" hidden="1" customHeight="1" outlineLevel="1">
      <c r="A51" s="188"/>
      <c r="B51" s="188" t="s">
        <v>38</v>
      </c>
      <c r="C51" s="988">
        <f>D51-D35</f>
        <v>0</v>
      </c>
      <c r="D51" s="188">
        <v>394565677.43017</v>
      </c>
      <c r="E51" s="188"/>
      <c r="F51" s="188"/>
      <c r="H51" s="988"/>
    </row>
    <row r="52" spans="1:8" ht="11.25" hidden="1" customHeight="1" outlineLevel="1">
      <c r="A52" s="188"/>
      <c r="B52" s="188"/>
      <c r="C52" s="988"/>
      <c r="D52" s="188"/>
      <c r="E52" s="188"/>
      <c r="F52" s="188"/>
      <c r="H52" s="988"/>
    </row>
    <row r="53" spans="1:8" ht="11.25" hidden="1" customHeight="1" outlineLevel="1">
      <c r="A53" s="188"/>
      <c r="B53" s="188" t="s">
        <v>39</v>
      </c>
      <c r="C53" s="988">
        <f t="shared" ref="C53:C60" si="4">D53-D37</f>
        <v>15150381.006270647</v>
      </c>
      <c r="D53" s="188">
        <v>320552864.274369</v>
      </c>
      <c r="E53" s="188"/>
      <c r="F53" s="188"/>
      <c r="H53" s="986"/>
    </row>
    <row r="54" spans="1:8" ht="11.25" hidden="1" customHeight="1" outlineLevel="1">
      <c r="A54" s="188"/>
      <c r="B54" s="188" t="s">
        <v>140</v>
      </c>
      <c r="C54" s="988">
        <f>D54-D38</f>
        <v>-15150381.006270647</v>
      </c>
      <c r="D54" s="188">
        <v>74012813.655800998</v>
      </c>
      <c r="E54" s="188"/>
      <c r="F54" s="188"/>
    </row>
    <row r="55" spans="1:8" ht="11.25" hidden="1" customHeight="1" outlineLevel="1">
      <c r="A55" s="188"/>
      <c r="B55" s="188"/>
      <c r="C55" s="988"/>
      <c r="D55" s="188"/>
      <c r="E55" s="188"/>
      <c r="F55" s="188"/>
    </row>
    <row r="56" spans="1:8" ht="11.25" hidden="1" customHeight="1" outlineLevel="1">
      <c r="A56" s="188"/>
      <c r="B56" s="188" t="s">
        <v>72</v>
      </c>
      <c r="C56" s="988">
        <f t="shared" si="4"/>
        <v>0</v>
      </c>
      <c r="D56" s="188">
        <v>0.61905100000000002</v>
      </c>
      <c r="E56" s="188"/>
      <c r="F56" s="188"/>
    </row>
    <row r="57" spans="1:8" ht="11.25" hidden="1" customHeight="1" outlineLevel="1">
      <c r="A57" s="188"/>
      <c r="B57" s="188" t="s">
        <v>141</v>
      </c>
      <c r="C57" s="988">
        <f>D57-D41</f>
        <v>-24473558</v>
      </c>
      <c r="D57" s="188">
        <v>119558508</v>
      </c>
      <c r="E57" s="188"/>
      <c r="F57" s="188"/>
    </row>
    <row r="58" spans="1:8" ht="11.25" hidden="1" customHeight="1" outlineLevel="1">
      <c r="A58" s="188"/>
      <c r="B58" s="188" t="s">
        <v>266</v>
      </c>
      <c r="C58" s="988">
        <f t="shared" si="4"/>
        <v>0</v>
      </c>
      <c r="D58" s="188">
        <v>405142.80924519914</v>
      </c>
      <c r="E58" s="188"/>
      <c r="F58" s="188"/>
    </row>
    <row r="59" spans="1:8" ht="11.25" hidden="1" customHeight="1" outlineLevel="1">
      <c r="A59" s="188"/>
      <c r="B59" s="188"/>
      <c r="C59" s="988"/>
      <c r="D59" s="188"/>
      <c r="E59" s="188"/>
      <c r="F59" s="188"/>
    </row>
    <row r="60" spans="1:8" ht="11.25" hidden="1" customHeight="1" outlineLevel="1">
      <c r="A60" s="188"/>
      <c r="B60" s="188" t="s">
        <v>141</v>
      </c>
      <c r="C60" s="988">
        <f t="shared" si="4"/>
        <v>-24473558</v>
      </c>
      <c r="D60" s="188">
        <v>119153365.1907548</v>
      </c>
      <c r="E60" s="188"/>
      <c r="F60" s="188"/>
    </row>
    <row r="61" spans="1:8" ht="12.75" hidden="1" customHeight="1" outlineLevel="1">
      <c r="B61" s="188"/>
      <c r="C61" s="188"/>
      <c r="D61" s="188"/>
      <c r="E61" s="188"/>
      <c r="F61" s="188"/>
    </row>
    <row r="62" spans="1:8" ht="12.75" hidden="1" customHeight="1" outlineLevel="1">
      <c r="B62" s="188"/>
      <c r="C62" s="188"/>
      <c r="D62" s="188"/>
      <c r="E62" s="188"/>
      <c r="F62" s="188"/>
    </row>
    <row r="63" spans="1:8" ht="12.75" hidden="1" customHeight="1" outlineLevel="1">
      <c r="A63" s="250">
        <v>2</v>
      </c>
      <c r="B63" s="996" t="s">
        <v>1014</v>
      </c>
      <c r="C63" s="993" t="s">
        <v>960</v>
      </c>
      <c r="D63" s="993" t="s">
        <v>895</v>
      </c>
      <c r="E63" s="1180"/>
      <c r="F63" s="1180"/>
    </row>
    <row r="64" spans="1:8" ht="12.75" hidden="1" customHeight="1" outlineLevel="1">
      <c r="B64" s="188" t="s">
        <v>107</v>
      </c>
      <c r="C64" s="986">
        <f>D64-D48</f>
        <v>0</v>
      </c>
      <c r="D64" s="188">
        <v>5097747770.4156332</v>
      </c>
      <c r="E64" s="188"/>
      <c r="F64" s="188"/>
    </row>
    <row r="65" spans="1:6" ht="11.25" hidden="1" customHeight="1" outlineLevel="1">
      <c r="A65" s="188"/>
      <c r="B65" s="188" t="s">
        <v>251</v>
      </c>
      <c r="C65" s="987">
        <f>D65-D49</f>
        <v>0</v>
      </c>
      <c r="D65" s="188">
        <v>7.7399999999999997E-2</v>
      </c>
      <c r="E65" s="188"/>
      <c r="F65" s="188"/>
    </row>
    <row r="66" spans="1:6" ht="11.25" hidden="1" customHeight="1" outlineLevel="1">
      <c r="A66" s="188"/>
      <c r="B66" s="188"/>
      <c r="C66" s="188"/>
      <c r="D66" s="188"/>
      <c r="E66" s="188"/>
      <c r="F66" s="188"/>
    </row>
    <row r="67" spans="1:6" ht="11.25" hidden="1" customHeight="1" outlineLevel="1">
      <c r="A67" s="188"/>
      <c r="B67" s="188" t="s">
        <v>38</v>
      </c>
      <c r="C67" s="988">
        <f>D67-D51</f>
        <v>0</v>
      </c>
      <c r="D67" s="188">
        <v>394565677.43017</v>
      </c>
      <c r="E67" s="188"/>
      <c r="F67" s="188"/>
    </row>
    <row r="68" spans="1:6" ht="11.25" hidden="1" customHeight="1" outlineLevel="1">
      <c r="A68" s="188"/>
      <c r="B68" s="188"/>
      <c r="C68" s="988"/>
      <c r="D68" s="188"/>
      <c r="E68" s="188"/>
      <c r="F68" s="188"/>
    </row>
    <row r="69" spans="1:6" ht="11.25" hidden="1" customHeight="1" outlineLevel="1">
      <c r="A69" s="188"/>
      <c r="B69" s="188" t="s">
        <v>39</v>
      </c>
      <c r="C69" s="988">
        <f t="shared" ref="C69:C76" si="5">D69-D53</f>
        <v>1077280.115997076</v>
      </c>
      <c r="D69" s="188">
        <v>321630144.39036608</v>
      </c>
      <c r="E69" s="188"/>
      <c r="F69" s="188"/>
    </row>
    <row r="70" spans="1:6" ht="11.25" hidden="1" customHeight="1" outlineLevel="1">
      <c r="A70" s="188"/>
      <c r="B70" s="188" t="s">
        <v>140</v>
      </c>
      <c r="C70" s="988">
        <f>D70-D54</f>
        <v>-1077280.115997076</v>
      </c>
      <c r="D70" s="188">
        <v>72935533.539803922</v>
      </c>
      <c r="E70" s="188"/>
      <c r="F70" s="188"/>
    </row>
    <row r="71" spans="1:6" ht="11.25" hidden="1" customHeight="1" outlineLevel="1">
      <c r="A71" s="188"/>
      <c r="B71" s="188"/>
      <c r="C71" s="988"/>
      <c r="D71" s="188"/>
      <c r="E71" s="188"/>
      <c r="F71" s="188"/>
    </row>
    <row r="72" spans="1:6" ht="11.25" hidden="1" customHeight="1" outlineLevel="1">
      <c r="A72" s="188"/>
      <c r="B72" s="188" t="s">
        <v>72</v>
      </c>
      <c r="C72" s="988">
        <f t="shared" si="5"/>
        <v>0</v>
      </c>
      <c r="D72" s="188">
        <v>0.61905100000000002</v>
      </c>
      <c r="E72" s="188"/>
      <c r="F72" s="188"/>
    </row>
    <row r="73" spans="1:6" ht="11.25" hidden="1" customHeight="1" outlineLevel="1">
      <c r="A73" s="188"/>
      <c r="B73" s="188" t="s">
        <v>141</v>
      </c>
      <c r="C73" s="988">
        <f t="shared" si="5"/>
        <v>-1740213</v>
      </c>
      <c r="D73" s="188">
        <v>117818295</v>
      </c>
      <c r="E73" s="188"/>
      <c r="F73" s="188"/>
    </row>
    <row r="74" spans="1:6" ht="11.25" hidden="1" customHeight="1" outlineLevel="1">
      <c r="A74" s="188"/>
      <c r="B74" s="188" t="s">
        <v>266</v>
      </c>
      <c r="C74" s="988">
        <f t="shared" si="5"/>
        <v>0</v>
      </c>
      <c r="D74" s="188">
        <v>405142.80924519914</v>
      </c>
      <c r="E74" s="188"/>
      <c r="F74" s="188"/>
    </row>
    <row r="75" spans="1:6" ht="11.25" hidden="1" customHeight="1" outlineLevel="1">
      <c r="A75" s="188"/>
      <c r="B75" s="188"/>
      <c r="C75" s="988"/>
      <c r="D75" s="188"/>
      <c r="E75" s="188"/>
      <c r="F75" s="188"/>
    </row>
    <row r="76" spans="1:6" ht="11.25" hidden="1" customHeight="1" outlineLevel="1">
      <c r="A76" s="188"/>
      <c r="B76" s="188" t="s">
        <v>141</v>
      </c>
      <c r="C76" s="988">
        <f t="shared" si="5"/>
        <v>-1740213</v>
      </c>
      <c r="D76" s="188">
        <v>117413152.1907548</v>
      </c>
      <c r="E76" s="188"/>
      <c r="F76" s="188"/>
    </row>
    <row r="77" spans="1:6" ht="12.75" hidden="1" customHeight="1" outlineLevel="1">
      <c r="A77" s="253"/>
      <c r="B77" s="188"/>
      <c r="C77" s="188"/>
      <c r="D77" s="188"/>
      <c r="E77" s="188"/>
      <c r="F77" s="188"/>
    </row>
    <row r="78" spans="1:6" ht="12.75" hidden="1" customHeight="1" outlineLevel="1">
      <c r="A78" s="253"/>
      <c r="B78" s="188"/>
      <c r="C78" s="188"/>
      <c r="D78" s="188"/>
      <c r="E78" s="188"/>
      <c r="F78" s="188"/>
    </row>
    <row r="79" spans="1:6" ht="12.75" hidden="1" customHeight="1" outlineLevel="1">
      <c r="A79" s="250">
        <v>3</v>
      </c>
      <c r="B79" s="996" t="s">
        <v>1016</v>
      </c>
      <c r="C79" s="993" t="s">
        <v>960</v>
      </c>
      <c r="D79" s="993" t="s">
        <v>895</v>
      </c>
      <c r="E79" s="1180"/>
      <c r="F79" s="1180"/>
    </row>
    <row r="80" spans="1:6" ht="12.75" hidden="1" customHeight="1" outlineLevel="1">
      <c r="B80" s="188" t="s">
        <v>107</v>
      </c>
      <c r="C80" s="986">
        <f>D80-D64</f>
        <v>-18522881.008908272</v>
      </c>
      <c r="D80" s="188">
        <v>5079224889.4067249</v>
      </c>
      <c r="E80" s="188"/>
      <c r="F80" s="188"/>
    </row>
    <row r="81" spans="1:6" ht="11.25" hidden="1" customHeight="1" outlineLevel="1">
      <c r="A81" s="188"/>
      <c r="B81" s="188" t="s">
        <v>251</v>
      </c>
      <c r="C81" s="987">
        <f>D81-D65</f>
        <v>0</v>
      </c>
      <c r="D81" s="188">
        <v>7.7399999999999997E-2</v>
      </c>
      <c r="E81" s="188"/>
      <c r="F81" s="188"/>
    </row>
    <row r="82" spans="1:6" ht="11.25" hidden="1" customHeight="1" outlineLevel="1">
      <c r="A82" s="188"/>
      <c r="B82" s="188"/>
      <c r="C82" s="188"/>
      <c r="D82" s="188"/>
      <c r="E82" s="188"/>
      <c r="F82" s="188"/>
    </row>
    <row r="83" spans="1:6" ht="11.25" hidden="1" customHeight="1" outlineLevel="1">
      <c r="A83" s="188"/>
      <c r="B83" s="188" t="s">
        <v>38</v>
      </c>
      <c r="C83" s="988">
        <f>D83-D67</f>
        <v>-1433670.9900895357</v>
      </c>
      <c r="D83" s="188">
        <v>393132006.44008046</v>
      </c>
      <c r="E83" s="188"/>
      <c r="F83" s="188"/>
    </row>
    <row r="84" spans="1:6" ht="11.25" hidden="1" customHeight="1" outlineLevel="1">
      <c r="A84" s="188"/>
      <c r="B84" s="188"/>
      <c r="C84" s="988"/>
      <c r="D84" s="188"/>
      <c r="E84" s="188"/>
      <c r="F84" s="188"/>
    </row>
    <row r="85" spans="1:6" ht="11.25" hidden="1" customHeight="1" outlineLevel="1">
      <c r="A85" s="188"/>
      <c r="B85" s="188" t="s">
        <v>39</v>
      </c>
      <c r="C85" s="988">
        <f t="shared" ref="C85:C92" si="6">D85-D69</f>
        <v>-193841.94975829124</v>
      </c>
      <c r="D85" s="188">
        <v>321436302.44060779</v>
      </c>
      <c r="E85" s="188"/>
      <c r="F85" s="188"/>
    </row>
    <row r="86" spans="1:6" ht="11.25" hidden="1" customHeight="1" outlineLevel="1">
      <c r="A86" s="188"/>
      <c r="B86" s="188" t="s">
        <v>140</v>
      </c>
      <c r="C86" s="988">
        <f>D86-D70</f>
        <v>-1239829.0403312445</v>
      </c>
      <c r="D86" s="188">
        <v>71695704.499472678</v>
      </c>
      <c r="E86" s="188"/>
      <c r="F86" s="188"/>
    </row>
    <row r="87" spans="1:6" ht="11.25" hidden="1" customHeight="1" outlineLevel="1">
      <c r="A87" s="188"/>
      <c r="B87" s="188"/>
      <c r="C87" s="988"/>
      <c r="D87" s="188"/>
      <c r="E87" s="188"/>
      <c r="F87" s="188"/>
    </row>
    <row r="88" spans="1:6" ht="11.25" hidden="1" customHeight="1" outlineLevel="1">
      <c r="A88" s="188"/>
      <c r="B88" s="188" t="s">
        <v>72</v>
      </c>
      <c r="C88" s="988">
        <f t="shared" si="6"/>
        <v>0</v>
      </c>
      <c r="D88" s="188">
        <v>0.61905100000000002</v>
      </c>
      <c r="E88" s="188"/>
      <c r="F88" s="188"/>
    </row>
    <row r="89" spans="1:6" ht="11.25" hidden="1" customHeight="1" outlineLevel="1">
      <c r="A89" s="188"/>
      <c r="B89" s="188" t="s">
        <v>141</v>
      </c>
      <c r="C89" s="988">
        <f t="shared" si="6"/>
        <v>-2002789</v>
      </c>
      <c r="D89" s="188">
        <v>115815506</v>
      </c>
      <c r="E89" s="188"/>
      <c r="F89" s="188"/>
    </row>
    <row r="90" spans="1:6" ht="11.25" hidden="1" customHeight="1" outlineLevel="1">
      <c r="A90" s="188"/>
      <c r="B90" s="188" t="s">
        <v>266</v>
      </c>
      <c r="C90" s="988">
        <f t="shared" si="6"/>
        <v>0</v>
      </c>
      <c r="D90" s="188">
        <v>405142.80924519914</v>
      </c>
      <c r="E90" s="188"/>
      <c r="F90" s="188"/>
    </row>
    <row r="91" spans="1:6" ht="11.25" hidden="1" customHeight="1" outlineLevel="1">
      <c r="A91" s="188"/>
      <c r="B91" s="188"/>
      <c r="C91" s="988"/>
      <c r="D91" s="188"/>
      <c r="E91" s="188"/>
      <c r="F91" s="188"/>
    </row>
    <row r="92" spans="1:6" ht="11.25" hidden="1" customHeight="1" outlineLevel="1">
      <c r="A92" s="188"/>
      <c r="B92" s="188" t="s">
        <v>141</v>
      </c>
      <c r="C92" s="988">
        <f t="shared" si="6"/>
        <v>-2002789</v>
      </c>
      <c r="D92" s="188">
        <v>115410363.1907548</v>
      </c>
      <c r="E92" s="188"/>
      <c r="F92" s="188"/>
    </row>
    <row r="93" spans="1:6" ht="12.75" hidden="1" customHeight="1" outlineLevel="1">
      <c r="A93" s="260"/>
      <c r="B93" s="188"/>
      <c r="C93" s="188"/>
      <c r="D93" s="188"/>
      <c r="E93" s="188"/>
      <c r="F93" s="188"/>
    </row>
    <row r="94" spans="1:6" ht="12.75" hidden="1" customHeight="1" outlineLevel="1">
      <c r="A94" s="260"/>
      <c r="B94" s="188"/>
      <c r="C94" s="188"/>
      <c r="D94" s="188"/>
      <c r="E94" s="188"/>
      <c r="F94" s="188"/>
    </row>
    <row r="95" spans="1:6" ht="12.75" hidden="1" customHeight="1" outlineLevel="1">
      <c r="A95" s="250">
        <v>4</v>
      </c>
      <c r="B95" s="996" t="s">
        <v>1017</v>
      </c>
      <c r="C95" s="993" t="s">
        <v>960</v>
      </c>
      <c r="D95" s="993" t="s">
        <v>895</v>
      </c>
      <c r="E95" s="1180"/>
      <c r="F95" s="1180"/>
    </row>
    <row r="96" spans="1:6" ht="12.75" hidden="1" customHeight="1" outlineLevel="1">
      <c r="B96" s="188" t="s">
        <v>107</v>
      </c>
      <c r="C96" s="986">
        <f>D96-D80</f>
        <v>1602480.7192049026</v>
      </c>
      <c r="D96" s="188">
        <v>5080827370.1259298</v>
      </c>
      <c r="E96" s="188"/>
      <c r="F96" s="188"/>
    </row>
    <row r="97" spans="1:6" ht="11.25" hidden="1" customHeight="1" outlineLevel="1">
      <c r="A97" s="188"/>
      <c r="B97" s="188" t="s">
        <v>251</v>
      </c>
      <c r="C97" s="987">
        <f>D97-D81</f>
        <v>0</v>
      </c>
      <c r="D97" s="188">
        <v>7.7399999999999997E-2</v>
      </c>
      <c r="E97" s="188"/>
      <c r="F97" s="188"/>
    </row>
    <row r="98" spans="1:6" ht="11.25" hidden="1" customHeight="1" outlineLevel="1">
      <c r="A98" s="188"/>
      <c r="B98" s="188"/>
      <c r="C98" s="188"/>
      <c r="D98" s="188"/>
      <c r="E98" s="188"/>
      <c r="F98" s="188"/>
    </row>
    <row r="99" spans="1:6" ht="11.25" hidden="1" customHeight="1" outlineLevel="1">
      <c r="A99" s="188"/>
      <c r="B99" s="188" t="s">
        <v>38</v>
      </c>
      <c r="C99" s="988">
        <f>D99-D83</f>
        <v>124032.00766646862</v>
      </c>
      <c r="D99" s="188">
        <v>393256038.44774693</v>
      </c>
      <c r="E99" s="188"/>
      <c r="F99" s="188"/>
    </row>
    <row r="100" spans="1:6" ht="11.25" hidden="1" customHeight="1" outlineLevel="1">
      <c r="A100" s="188"/>
      <c r="B100" s="188"/>
      <c r="C100" s="988"/>
      <c r="D100" s="188"/>
      <c r="E100" s="188"/>
      <c r="F100" s="188"/>
    </row>
    <row r="101" spans="1:6" ht="11.25" hidden="1" customHeight="1" outlineLevel="1">
      <c r="A101" s="188"/>
      <c r="B101" s="188" t="s">
        <v>39</v>
      </c>
      <c r="C101" s="988">
        <f t="shared" ref="C101:C108" si="7">D101-D85</f>
        <v>3221731.3991353512</v>
      </c>
      <c r="D101" s="188">
        <v>324658033.83974314</v>
      </c>
      <c r="E101" s="188"/>
      <c r="F101" s="188"/>
    </row>
    <row r="102" spans="1:6" ht="11.25" hidden="1" customHeight="1" outlineLevel="1">
      <c r="A102" s="188"/>
      <c r="B102" s="188" t="s">
        <v>140</v>
      </c>
      <c r="C102" s="988">
        <f>D102-D86</f>
        <v>-3097699.3914688826</v>
      </c>
      <c r="D102" s="188">
        <v>68598005.108003795</v>
      </c>
      <c r="E102" s="188"/>
      <c r="F102" s="188"/>
    </row>
    <row r="103" spans="1:6" ht="11.25" hidden="1" customHeight="1" outlineLevel="1">
      <c r="A103" s="188"/>
      <c r="B103" s="188"/>
      <c r="C103" s="988"/>
      <c r="D103" s="188"/>
      <c r="E103" s="188"/>
      <c r="F103" s="188"/>
    </row>
    <row r="104" spans="1:6" ht="11.25" hidden="1" customHeight="1" outlineLevel="1">
      <c r="A104" s="188"/>
      <c r="B104" s="188" t="s">
        <v>72</v>
      </c>
      <c r="C104" s="988">
        <f t="shared" si="7"/>
        <v>0</v>
      </c>
      <c r="D104" s="188">
        <v>0.61905100000000002</v>
      </c>
      <c r="E104" s="188"/>
      <c r="F104" s="188"/>
    </row>
    <row r="105" spans="1:6" ht="11.25" hidden="1" customHeight="1" outlineLevel="1">
      <c r="A105" s="188"/>
      <c r="B105" s="188" t="s">
        <v>141</v>
      </c>
      <c r="C105" s="988">
        <f t="shared" si="7"/>
        <v>-5003949</v>
      </c>
      <c r="D105" s="188">
        <v>110811557</v>
      </c>
      <c r="E105" s="188"/>
      <c r="F105" s="188"/>
    </row>
    <row r="106" spans="1:6" ht="11.25" hidden="1" customHeight="1" outlineLevel="1">
      <c r="A106" s="188"/>
      <c r="B106" s="188" t="s">
        <v>266</v>
      </c>
      <c r="C106" s="988">
        <f t="shared" si="7"/>
        <v>0</v>
      </c>
      <c r="D106" s="188">
        <v>405142.80924519914</v>
      </c>
      <c r="E106" s="188"/>
      <c r="F106" s="188"/>
    </row>
    <row r="107" spans="1:6" ht="11.25" hidden="1" customHeight="1" outlineLevel="1">
      <c r="A107" s="188"/>
      <c r="B107" s="188"/>
      <c r="C107" s="988"/>
      <c r="D107" s="188"/>
      <c r="E107" s="188"/>
      <c r="F107" s="188"/>
    </row>
    <row r="108" spans="1:6" ht="11.25" hidden="1" customHeight="1" outlineLevel="1">
      <c r="A108" s="188"/>
      <c r="B108" s="188" t="s">
        <v>141</v>
      </c>
      <c r="C108" s="988">
        <f t="shared" si="7"/>
        <v>-5003949</v>
      </c>
      <c r="D108" s="188">
        <v>110406414.1907548</v>
      </c>
      <c r="E108" s="188"/>
      <c r="F108" s="188"/>
    </row>
    <row r="109" spans="1:6" ht="12.75" hidden="1" customHeight="1" outlineLevel="1">
      <c r="A109" s="260"/>
      <c r="B109" s="254"/>
      <c r="C109" s="254"/>
      <c r="D109" s="200"/>
      <c r="E109" s="200"/>
      <c r="F109" s="200"/>
    </row>
    <row r="110" spans="1:6" ht="12.75" hidden="1" customHeight="1" outlineLevel="1">
      <c r="A110" s="260"/>
      <c r="B110" s="254"/>
      <c r="C110" s="254"/>
      <c r="D110" s="200"/>
      <c r="E110" s="200"/>
      <c r="F110" s="200"/>
    </row>
    <row r="111" spans="1:6" ht="12.75" hidden="1" customHeight="1" outlineLevel="1">
      <c r="A111" s="250">
        <v>5</v>
      </c>
      <c r="B111" s="996" t="s">
        <v>1018</v>
      </c>
      <c r="C111" s="993" t="s">
        <v>960</v>
      </c>
      <c r="D111" s="993" t="s">
        <v>895</v>
      </c>
      <c r="E111" s="1180"/>
      <c r="F111" s="1180"/>
    </row>
    <row r="112" spans="1:6" ht="12.75" hidden="1" customHeight="1" outlineLevel="1">
      <c r="B112" s="188" t="s">
        <v>107</v>
      </c>
      <c r="C112" s="986">
        <f>D112-D96</f>
        <v>-5131869.0972137451</v>
      </c>
      <c r="D112" s="188">
        <v>5075695501.0287161</v>
      </c>
      <c r="E112" s="188"/>
      <c r="F112" s="188"/>
    </row>
    <row r="113" spans="1:6" ht="11.25" hidden="1" customHeight="1" outlineLevel="1">
      <c r="A113" s="188"/>
      <c r="B113" s="188" t="s">
        <v>251</v>
      </c>
      <c r="C113" s="987">
        <f>D113-D97</f>
        <v>0</v>
      </c>
      <c r="D113" s="188">
        <v>7.7399999999999997E-2</v>
      </c>
      <c r="E113" s="188"/>
      <c r="F113" s="188"/>
    </row>
    <row r="114" spans="1:6" ht="11.25" hidden="1" customHeight="1" outlineLevel="1">
      <c r="A114" s="188"/>
      <c r="B114" s="188"/>
      <c r="C114" s="188"/>
      <c r="D114" s="188"/>
      <c r="E114" s="188"/>
      <c r="F114" s="188"/>
    </row>
    <row r="115" spans="1:6" ht="11.25" hidden="1" customHeight="1" outlineLevel="1">
      <c r="A115" s="188"/>
      <c r="B115" s="188" t="s">
        <v>38</v>
      </c>
      <c r="C115" s="988">
        <f>D115-D99</f>
        <v>-397206.66812431812</v>
      </c>
      <c r="D115" s="188">
        <v>392858831.77962261</v>
      </c>
      <c r="E115" s="188"/>
      <c r="F115" s="188"/>
    </row>
    <row r="116" spans="1:6" ht="11.25" hidden="1" customHeight="1" outlineLevel="1">
      <c r="A116" s="188"/>
      <c r="B116" s="188"/>
      <c r="C116" s="988"/>
      <c r="D116" s="188"/>
      <c r="E116" s="188"/>
      <c r="F116" s="188"/>
    </row>
    <row r="117" spans="1:6" ht="11.25" hidden="1" customHeight="1" outlineLevel="1">
      <c r="A117" s="188"/>
      <c r="B117" s="188" t="s">
        <v>39</v>
      </c>
      <c r="C117" s="988">
        <f>D117-D101</f>
        <v>3439011.8798978329</v>
      </c>
      <c r="D117" s="188">
        <v>328097045.71964097</v>
      </c>
      <c r="E117" s="188"/>
      <c r="F117" s="188"/>
    </row>
    <row r="118" spans="1:6" ht="11.25" hidden="1" customHeight="1" outlineLevel="1">
      <c r="A118" s="188"/>
      <c r="B118" s="188" t="s">
        <v>140</v>
      </c>
      <c r="C118" s="988">
        <f>D118-D102</f>
        <v>-3836218.548022151</v>
      </c>
      <c r="D118" s="188">
        <v>64761786.559981644</v>
      </c>
      <c r="E118" s="188"/>
      <c r="F118" s="188"/>
    </row>
    <row r="119" spans="1:6" ht="11.25" hidden="1" customHeight="1" outlineLevel="1">
      <c r="A119" s="188"/>
      <c r="B119" s="188"/>
      <c r="C119" s="988"/>
      <c r="D119" s="188"/>
      <c r="E119" s="188"/>
      <c r="F119" s="188"/>
    </row>
    <row r="120" spans="1:6" ht="11.25" hidden="1" customHeight="1" outlineLevel="1">
      <c r="A120" s="188"/>
      <c r="B120" s="188" t="s">
        <v>72</v>
      </c>
      <c r="C120" s="988">
        <f t="shared" ref="C120:C124" si="8">D120-D104</f>
        <v>0</v>
      </c>
      <c r="D120" s="188">
        <v>0.61905100000000002</v>
      </c>
      <c r="E120" s="188"/>
      <c r="F120" s="188"/>
    </row>
    <row r="121" spans="1:6" ht="11.25" hidden="1" customHeight="1" outlineLevel="1">
      <c r="A121" s="188"/>
      <c r="B121" s="188" t="s">
        <v>141</v>
      </c>
      <c r="C121" s="988">
        <f t="shared" si="8"/>
        <v>-6196935</v>
      </c>
      <c r="D121" s="188">
        <v>104614622</v>
      </c>
      <c r="E121" s="188"/>
      <c r="F121" s="188"/>
    </row>
    <row r="122" spans="1:6" ht="11.25" hidden="1" customHeight="1" outlineLevel="1">
      <c r="A122" s="188"/>
      <c r="B122" s="188" t="s">
        <v>266</v>
      </c>
      <c r="C122" s="988">
        <f t="shared" si="8"/>
        <v>0</v>
      </c>
      <c r="D122" s="188">
        <v>405142.80924519914</v>
      </c>
      <c r="E122" s="188"/>
      <c r="F122" s="188"/>
    </row>
    <row r="123" spans="1:6" ht="11.25" hidden="1" customHeight="1" outlineLevel="1">
      <c r="A123" s="188"/>
      <c r="B123" s="188"/>
      <c r="C123" s="988"/>
      <c r="D123" s="188"/>
      <c r="E123" s="188"/>
      <c r="F123" s="188"/>
    </row>
    <row r="124" spans="1:6" ht="11.25" hidden="1" customHeight="1" outlineLevel="1">
      <c r="A124" s="188"/>
      <c r="B124" s="188" t="s">
        <v>141</v>
      </c>
      <c r="C124" s="988">
        <f t="shared" si="8"/>
        <v>-6196935</v>
      </c>
      <c r="D124" s="188">
        <v>104209479.1907548</v>
      </c>
      <c r="E124" s="188"/>
      <c r="F124" s="188"/>
    </row>
    <row r="125" spans="1:6" ht="12.75" hidden="1" customHeight="1" outlineLevel="1"/>
    <row r="126" spans="1:6" ht="12.75" hidden="1" customHeight="1" outlineLevel="1"/>
    <row r="127" spans="1:6" ht="12.75" hidden="1" customHeight="1" outlineLevel="1">
      <c r="A127" s="250">
        <v>6</v>
      </c>
      <c r="B127" s="996" t="s">
        <v>1020</v>
      </c>
      <c r="C127" s="993" t="s">
        <v>960</v>
      </c>
      <c r="D127" s="993" t="s">
        <v>895</v>
      </c>
      <c r="E127" s="1180"/>
      <c r="F127" s="1180"/>
    </row>
    <row r="128" spans="1:6" ht="12.75" hidden="1" customHeight="1" outlineLevel="1">
      <c r="B128" s="188" t="s">
        <v>107</v>
      </c>
      <c r="C128" s="986">
        <f>D128-D112</f>
        <v>0</v>
      </c>
      <c r="D128" s="188">
        <v>5075695501.0287161</v>
      </c>
      <c r="E128" s="188"/>
      <c r="F128" s="188"/>
    </row>
    <row r="129" spans="1:6" ht="11.25" hidden="1" customHeight="1" outlineLevel="1">
      <c r="A129" s="188"/>
      <c r="B129" s="188" t="s">
        <v>251</v>
      </c>
      <c r="C129" s="987">
        <f>D129-D113</f>
        <v>0</v>
      </c>
      <c r="D129" s="188">
        <v>7.7399999999999997E-2</v>
      </c>
      <c r="E129" s="188"/>
      <c r="F129" s="188"/>
    </row>
    <row r="130" spans="1:6" ht="11.25" hidden="1" customHeight="1" outlineLevel="1">
      <c r="A130" s="188"/>
      <c r="B130" s="188"/>
      <c r="C130" s="188"/>
      <c r="D130" s="188"/>
      <c r="E130" s="188"/>
      <c r="F130" s="188"/>
    </row>
    <row r="131" spans="1:6" ht="11.25" hidden="1" customHeight="1" outlineLevel="1">
      <c r="A131" s="188"/>
      <c r="B131" s="188" t="s">
        <v>38</v>
      </c>
      <c r="C131" s="988">
        <f>D131-D115</f>
        <v>0</v>
      </c>
      <c r="D131" s="188">
        <v>392858831.77962261</v>
      </c>
      <c r="E131" s="188"/>
      <c r="F131" s="188"/>
    </row>
    <row r="132" spans="1:6" ht="11.25" hidden="1" customHeight="1" outlineLevel="1">
      <c r="A132" s="188"/>
      <c r="B132" s="188"/>
      <c r="C132" s="988"/>
      <c r="D132" s="188"/>
      <c r="E132" s="188"/>
      <c r="F132" s="188"/>
    </row>
    <row r="133" spans="1:6" ht="11.25" hidden="1" customHeight="1" outlineLevel="1">
      <c r="A133" s="188"/>
      <c r="B133" s="188" t="s">
        <v>39</v>
      </c>
      <c r="C133" s="988">
        <f t="shared" ref="C133:C140" si="9">D133-D117</f>
        <v>264904.56678104401</v>
      </c>
      <c r="D133" s="188">
        <v>328361950.28642201</v>
      </c>
      <c r="E133" s="188"/>
      <c r="F133" s="188"/>
    </row>
    <row r="134" spans="1:6" ht="11.25" hidden="1" customHeight="1" outlineLevel="1">
      <c r="A134" s="188"/>
      <c r="B134" s="188" t="s">
        <v>140</v>
      </c>
      <c r="C134" s="988">
        <f>D134-D118</f>
        <v>-264904.56678104401</v>
      </c>
      <c r="D134" s="188">
        <v>64496881.9932006</v>
      </c>
      <c r="E134" s="188"/>
      <c r="F134" s="188"/>
    </row>
    <row r="135" spans="1:6" ht="11.25" hidden="1" customHeight="1" outlineLevel="1">
      <c r="A135" s="188"/>
      <c r="B135" s="188"/>
      <c r="C135" s="988"/>
      <c r="D135" s="188"/>
      <c r="E135" s="188"/>
      <c r="F135" s="188"/>
    </row>
    <row r="136" spans="1:6" ht="11.25" hidden="1" customHeight="1" outlineLevel="1">
      <c r="A136" s="188"/>
      <c r="B136" s="188" t="s">
        <v>72</v>
      </c>
      <c r="C136" s="988">
        <f t="shared" si="9"/>
        <v>0</v>
      </c>
      <c r="D136" s="188">
        <v>0.61905100000000002</v>
      </c>
      <c r="E136" s="188"/>
      <c r="F136" s="188"/>
    </row>
    <row r="137" spans="1:6" ht="11.25" hidden="1" customHeight="1" outlineLevel="1">
      <c r="A137" s="188"/>
      <c r="B137" s="188" t="s">
        <v>141</v>
      </c>
      <c r="C137" s="988">
        <f t="shared" si="9"/>
        <v>-427920</v>
      </c>
      <c r="D137" s="188">
        <v>104186702</v>
      </c>
      <c r="E137" s="188"/>
      <c r="F137" s="188"/>
    </row>
    <row r="138" spans="1:6" ht="11.25" hidden="1" customHeight="1" outlineLevel="1">
      <c r="A138" s="188"/>
      <c r="B138" s="188" t="s">
        <v>266</v>
      </c>
      <c r="C138" s="988">
        <f t="shared" si="9"/>
        <v>0</v>
      </c>
      <c r="D138" s="188">
        <v>405142.80924519914</v>
      </c>
      <c r="E138" s="188"/>
      <c r="F138" s="188"/>
    </row>
    <row r="139" spans="1:6" ht="11.25" hidden="1" customHeight="1" outlineLevel="1">
      <c r="A139" s="188"/>
      <c r="B139" s="188"/>
      <c r="C139" s="988"/>
      <c r="D139" s="188"/>
      <c r="E139" s="188"/>
      <c r="F139" s="188"/>
    </row>
    <row r="140" spans="1:6" ht="11.25" hidden="1" customHeight="1" outlineLevel="1">
      <c r="A140" s="188"/>
      <c r="B140" s="188" t="s">
        <v>141</v>
      </c>
      <c r="C140" s="988">
        <f t="shared" si="9"/>
        <v>-427920</v>
      </c>
      <c r="D140" s="188">
        <v>103781559.1907548</v>
      </c>
      <c r="E140" s="188"/>
      <c r="F140" s="188"/>
    </row>
    <row r="141" spans="1:6" ht="12.75" hidden="1" customHeight="1" outlineLevel="1"/>
    <row r="142" spans="1:6" ht="12.75" hidden="1" customHeight="1" outlineLevel="1"/>
    <row r="143" spans="1:6" ht="12.75" hidden="1" customHeight="1" outlineLevel="1">
      <c r="A143" s="250">
        <v>7</v>
      </c>
      <c r="B143" s="996" t="s">
        <v>1021</v>
      </c>
      <c r="C143" s="993" t="s">
        <v>960</v>
      </c>
      <c r="D143" s="993" t="s">
        <v>895</v>
      </c>
      <c r="E143" s="1180"/>
      <c r="F143" s="1180"/>
    </row>
    <row r="144" spans="1:6" ht="12.75" hidden="1" customHeight="1" outlineLevel="1">
      <c r="B144" s="188" t="s">
        <v>107</v>
      </c>
      <c r="C144" s="986">
        <f>D144-D128</f>
        <v>8128225.8605270386</v>
      </c>
      <c r="D144" s="188">
        <v>5083823726.8892431</v>
      </c>
      <c r="E144" s="188"/>
      <c r="F144" s="188"/>
    </row>
    <row r="145" spans="1:6" ht="11.25" hidden="1" customHeight="1" outlineLevel="1">
      <c r="A145" s="188"/>
      <c r="B145" s="188" t="s">
        <v>251</v>
      </c>
      <c r="C145" s="987">
        <f>D145-D129</f>
        <v>0</v>
      </c>
      <c r="D145" s="188">
        <v>7.7399999999999997E-2</v>
      </c>
      <c r="E145" s="188"/>
      <c r="F145" s="188"/>
    </row>
    <row r="146" spans="1:6" ht="11.25" hidden="1" customHeight="1" outlineLevel="1">
      <c r="A146" s="188"/>
      <c r="B146" s="188"/>
      <c r="C146" s="188"/>
      <c r="D146" s="188"/>
      <c r="E146" s="188"/>
      <c r="F146" s="188"/>
    </row>
    <row r="147" spans="1:6" ht="11.25" hidden="1" customHeight="1" outlineLevel="1">
      <c r="A147" s="188"/>
      <c r="B147" s="188" t="s">
        <v>38</v>
      </c>
      <c r="C147" s="988">
        <f>D147-D131</f>
        <v>629124.68160480261</v>
      </c>
      <c r="D147" s="188">
        <v>393487956.46122742</v>
      </c>
      <c r="E147" s="188"/>
      <c r="F147" s="188"/>
    </row>
    <row r="148" spans="1:6" ht="11.25" hidden="1" customHeight="1" outlineLevel="1">
      <c r="A148" s="188"/>
      <c r="B148" s="188"/>
      <c r="C148" s="988"/>
      <c r="D148" s="188"/>
      <c r="E148" s="188"/>
      <c r="F148" s="188"/>
    </row>
    <row r="149" spans="1:6" ht="11.25" hidden="1" customHeight="1" outlineLevel="1">
      <c r="A149" s="188"/>
      <c r="B149" s="188" t="s">
        <v>39</v>
      </c>
      <c r="C149" s="988">
        <f t="shared" ref="C149:C156" si="10">D149-D133</f>
        <v>16341513.604683399</v>
      </c>
      <c r="D149" s="188">
        <v>344703463.89110541</v>
      </c>
      <c r="E149" s="188"/>
      <c r="F149" s="188"/>
    </row>
    <row r="150" spans="1:6" ht="11.25" hidden="1" customHeight="1" outlineLevel="1">
      <c r="A150" s="188"/>
      <c r="B150" s="188" t="s">
        <v>140</v>
      </c>
      <c r="C150" s="988">
        <f>D150-D134</f>
        <v>-15712388.923078597</v>
      </c>
      <c r="D150" s="188">
        <v>48784493.070122004</v>
      </c>
      <c r="E150" s="188"/>
      <c r="F150" s="188"/>
    </row>
    <row r="151" spans="1:6" ht="11.25" hidden="1" customHeight="1" outlineLevel="1">
      <c r="A151" s="188"/>
      <c r="B151" s="188"/>
      <c r="C151" s="988"/>
      <c r="D151" s="188"/>
      <c r="E151" s="188"/>
      <c r="F151" s="188"/>
    </row>
    <row r="152" spans="1:6" ht="11.25" hidden="1" customHeight="1" outlineLevel="1">
      <c r="A152" s="188"/>
      <c r="B152" s="188" t="s">
        <v>72</v>
      </c>
      <c r="C152" s="988">
        <f t="shared" si="10"/>
        <v>0</v>
      </c>
      <c r="D152" s="188">
        <v>0.61905100000000002</v>
      </c>
      <c r="E152" s="188"/>
      <c r="F152" s="188"/>
    </row>
    <row r="153" spans="1:6" ht="11.25" hidden="1" customHeight="1" outlineLevel="1">
      <c r="A153" s="188"/>
      <c r="B153" s="188" t="s">
        <v>141</v>
      </c>
      <c r="C153" s="988">
        <f t="shared" si="10"/>
        <v>-25381413</v>
      </c>
      <c r="D153" s="188">
        <v>78805289</v>
      </c>
      <c r="E153" s="188"/>
      <c r="F153" s="188"/>
    </row>
    <row r="154" spans="1:6" ht="11.25" hidden="1" customHeight="1" outlineLevel="1">
      <c r="A154" s="188"/>
      <c r="B154" s="188" t="s">
        <v>266</v>
      </c>
      <c r="C154" s="988">
        <f t="shared" si="10"/>
        <v>0</v>
      </c>
      <c r="D154" s="188">
        <v>405142.80924519914</v>
      </c>
      <c r="E154" s="188"/>
      <c r="F154" s="188"/>
    </row>
    <row r="155" spans="1:6" ht="11.25" hidden="1" customHeight="1" outlineLevel="1">
      <c r="A155" s="188"/>
      <c r="B155" s="188"/>
      <c r="C155" s="988"/>
      <c r="D155" s="188"/>
      <c r="E155" s="188"/>
      <c r="F155" s="188"/>
    </row>
    <row r="156" spans="1:6" ht="11.25" hidden="1" customHeight="1" outlineLevel="1">
      <c r="A156" s="188"/>
      <c r="B156" s="188" t="s">
        <v>141</v>
      </c>
      <c r="C156" s="988">
        <f t="shared" si="10"/>
        <v>-25381413</v>
      </c>
      <c r="D156" s="188">
        <v>78400146.190754801</v>
      </c>
      <c r="E156" s="188"/>
      <c r="F156" s="188"/>
    </row>
    <row r="157" spans="1:6" ht="12.75" hidden="1" customHeight="1" outlineLevel="1"/>
    <row r="158" spans="1:6" ht="12.75" hidden="1" customHeight="1" outlineLevel="1"/>
    <row r="159" spans="1:6" ht="12.75" hidden="1" customHeight="1" outlineLevel="1">
      <c r="A159" s="250">
        <v>8</v>
      </c>
      <c r="B159" s="996" t="s">
        <v>1022</v>
      </c>
      <c r="C159" s="993" t="s">
        <v>960</v>
      </c>
      <c r="D159" s="993" t="s">
        <v>895</v>
      </c>
      <c r="E159" s="1180"/>
      <c r="F159" s="1180"/>
    </row>
    <row r="160" spans="1:6" ht="12.75" hidden="1" customHeight="1" outlineLevel="1">
      <c r="B160" s="188" t="s">
        <v>107</v>
      </c>
      <c r="C160" s="986">
        <f>D160-D144</f>
        <v>-127629534</v>
      </c>
      <c r="D160" s="188">
        <v>4956194192.8892431</v>
      </c>
      <c r="E160" s="188"/>
      <c r="F160" s="188"/>
    </row>
    <row r="161" spans="1:6" ht="11.25" hidden="1" customHeight="1" outlineLevel="1">
      <c r="A161" s="188"/>
      <c r="B161" s="188" t="s">
        <v>251</v>
      </c>
      <c r="C161" s="987">
        <f>D161-D145</f>
        <v>0</v>
      </c>
      <c r="D161" s="188">
        <v>7.7399999999999997E-2</v>
      </c>
      <c r="E161" s="188"/>
      <c r="F161" s="188"/>
    </row>
    <row r="162" spans="1:6" ht="11.25" hidden="1" customHeight="1" outlineLevel="1">
      <c r="A162" s="188"/>
      <c r="B162" s="188"/>
      <c r="C162" s="188"/>
      <c r="D162" s="188"/>
      <c r="E162" s="188"/>
      <c r="F162" s="188"/>
    </row>
    <row r="163" spans="1:6" ht="11.25" hidden="1" customHeight="1" outlineLevel="1">
      <c r="A163" s="188"/>
      <c r="B163" s="188" t="s">
        <v>38</v>
      </c>
      <c r="C163" s="988">
        <f>D163-D147</f>
        <v>-9878525.9316000342</v>
      </c>
      <c r="D163" s="188">
        <v>383609430.52962738</v>
      </c>
      <c r="E163" s="188"/>
      <c r="F163" s="188"/>
    </row>
    <row r="164" spans="1:6" ht="11.25" hidden="1" customHeight="1" outlineLevel="1">
      <c r="A164" s="188"/>
      <c r="B164" s="188"/>
      <c r="C164" s="988"/>
      <c r="D164" s="188"/>
      <c r="E164" s="188"/>
      <c r="F164" s="188"/>
    </row>
    <row r="165" spans="1:6" ht="11.25" hidden="1" customHeight="1" outlineLevel="1">
      <c r="A165" s="188"/>
      <c r="B165" s="188" t="s">
        <v>39</v>
      </c>
      <c r="C165" s="988">
        <f t="shared" ref="C165:C172" si="11">D165-D149</f>
        <v>-5944487.3566429615</v>
      </c>
      <c r="D165" s="188">
        <v>338758976.53446245</v>
      </c>
      <c r="E165" s="188"/>
      <c r="F165" s="188"/>
    </row>
    <row r="166" spans="1:6" ht="11.25" hidden="1" customHeight="1" outlineLevel="1">
      <c r="A166" s="188"/>
      <c r="B166" s="188" t="s">
        <v>140</v>
      </c>
      <c r="C166" s="988">
        <f>D166-D150</f>
        <v>-3934038.5749570727</v>
      </c>
      <c r="D166" s="188">
        <v>44850454.495164931</v>
      </c>
      <c r="E166" s="188"/>
      <c r="F166" s="188"/>
    </row>
    <row r="167" spans="1:6" ht="11.25" hidden="1" customHeight="1" outlineLevel="1">
      <c r="A167" s="188"/>
      <c r="B167" s="188"/>
      <c r="C167" s="988"/>
      <c r="D167" s="188"/>
      <c r="E167" s="188"/>
      <c r="F167" s="188"/>
    </row>
    <row r="168" spans="1:6" ht="11.25" hidden="1" customHeight="1" outlineLevel="1">
      <c r="A168" s="188"/>
      <c r="B168" s="188" t="s">
        <v>72</v>
      </c>
      <c r="C168" s="988">
        <f t="shared" si="11"/>
        <v>0</v>
      </c>
      <c r="D168" s="188">
        <v>0.61905100000000002</v>
      </c>
      <c r="E168" s="188"/>
      <c r="F168" s="188"/>
    </row>
    <row r="169" spans="1:6" ht="11.25" hidden="1" customHeight="1" outlineLevel="1">
      <c r="A169" s="188"/>
      <c r="B169" s="188" t="s">
        <v>141</v>
      </c>
      <c r="C169" s="988">
        <f t="shared" si="11"/>
        <v>-6354951</v>
      </c>
      <c r="D169" s="188">
        <v>72450338</v>
      </c>
      <c r="E169" s="188"/>
      <c r="F169" s="188"/>
    </row>
    <row r="170" spans="1:6" ht="11.25" hidden="1" customHeight="1" outlineLevel="1">
      <c r="A170" s="188"/>
      <c r="B170" s="188" t="s">
        <v>266</v>
      </c>
      <c r="C170" s="988">
        <f t="shared" si="11"/>
        <v>0</v>
      </c>
      <c r="D170" s="188">
        <v>405142.80924519914</v>
      </c>
      <c r="E170" s="188"/>
      <c r="F170" s="188"/>
    </row>
    <row r="171" spans="1:6" ht="11.25" hidden="1" customHeight="1" outlineLevel="1">
      <c r="A171" s="188"/>
      <c r="B171" s="188"/>
      <c r="C171" s="988"/>
      <c r="D171" s="188"/>
      <c r="E171" s="188"/>
      <c r="F171" s="188"/>
    </row>
    <row r="172" spans="1:6" ht="11.25" hidden="1" customHeight="1" outlineLevel="1">
      <c r="A172" s="188"/>
      <c r="B172" s="188" t="s">
        <v>141</v>
      </c>
      <c r="C172" s="988">
        <f t="shared" si="11"/>
        <v>-6354951</v>
      </c>
      <c r="D172" s="188">
        <v>72045195.190754801</v>
      </c>
      <c r="E172" s="188"/>
      <c r="F172" s="188"/>
    </row>
    <row r="173" spans="1:6" ht="12.75" hidden="1" customHeight="1" outlineLevel="1"/>
    <row r="174" spans="1:6" ht="12.75" hidden="1" customHeight="1" outlineLevel="1"/>
    <row r="175" spans="1:6" ht="12.75" hidden="1" customHeight="1" outlineLevel="1">
      <c r="A175" s="250">
        <v>9</v>
      </c>
      <c r="B175" s="996" t="s">
        <v>1019</v>
      </c>
      <c r="C175" s="993" t="s">
        <v>960</v>
      </c>
      <c r="D175" s="993" t="s">
        <v>895</v>
      </c>
      <c r="E175" s="1180"/>
      <c r="F175" s="1180"/>
    </row>
    <row r="176" spans="1:6" ht="12.75" hidden="1" customHeight="1" outlineLevel="1">
      <c r="B176" s="188" t="s">
        <v>107</v>
      </c>
      <c r="C176" s="986">
        <f>D176-D160</f>
        <v>-31639936.25</v>
      </c>
      <c r="D176" s="188">
        <v>4924554256.6392431</v>
      </c>
      <c r="E176" s="188"/>
      <c r="F176" s="188"/>
    </row>
    <row r="177" spans="1:6" ht="11.25" hidden="1" customHeight="1" outlineLevel="1">
      <c r="A177" s="188"/>
      <c r="B177" s="188" t="s">
        <v>251</v>
      </c>
      <c r="C177" s="987">
        <f>D177-D161</f>
        <v>0</v>
      </c>
      <c r="D177" s="188">
        <v>7.7399999999999997E-2</v>
      </c>
      <c r="E177" s="188"/>
      <c r="F177" s="188"/>
    </row>
    <row r="178" spans="1:6" ht="11.25" hidden="1" customHeight="1" outlineLevel="1">
      <c r="A178" s="188"/>
      <c r="B178" s="188"/>
      <c r="C178" s="188"/>
      <c r="D178" s="188"/>
      <c r="E178" s="188"/>
      <c r="F178" s="188"/>
    </row>
    <row r="179" spans="1:6" ht="11.25" hidden="1" customHeight="1" outlineLevel="1">
      <c r="A179" s="188"/>
      <c r="B179" s="188" t="s">
        <v>38</v>
      </c>
      <c r="C179" s="988">
        <f>D179-D163</f>
        <v>-2448931.0657500029</v>
      </c>
      <c r="D179" s="188">
        <v>381160499.46387738</v>
      </c>
      <c r="E179" s="188"/>
      <c r="F179" s="188"/>
    </row>
    <row r="180" spans="1:6" ht="11.25" hidden="1" customHeight="1" outlineLevel="1">
      <c r="A180" s="188"/>
      <c r="B180" s="188"/>
      <c r="C180" s="988"/>
      <c r="D180" s="188"/>
      <c r="E180" s="188"/>
      <c r="F180" s="188"/>
    </row>
    <row r="181" spans="1:6" ht="11.25" hidden="1" customHeight="1" outlineLevel="1">
      <c r="A181" s="188"/>
      <c r="B181" s="188" t="s">
        <v>39</v>
      </c>
      <c r="C181" s="988">
        <f>D181-D165</f>
        <v>7420211.432101965</v>
      </c>
      <c r="D181" s="188">
        <v>346179187.96656442</v>
      </c>
      <c r="E181" s="188"/>
      <c r="F181" s="188"/>
    </row>
    <row r="182" spans="1:6" ht="11.25" hidden="1" customHeight="1" outlineLevel="1">
      <c r="A182" s="188"/>
      <c r="B182" s="188" t="s">
        <v>140</v>
      </c>
      <c r="C182" s="988">
        <f>D182-D166</f>
        <v>-9869142.4978519678</v>
      </c>
      <c r="D182" s="188">
        <v>34981311.997312963</v>
      </c>
      <c r="E182" s="188"/>
      <c r="F182" s="188"/>
    </row>
    <row r="183" spans="1:6" ht="11.25" hidden="1" customHeight="1" outlineLevel="1">
      <c r="A183" s="188"/>
      <c r="B183" s="188"/>
      <c r="C183" s="988"/>
      <c r="D183" s="188"/>
      <c r="E183" s="188"/>
      <c r="F183" s="188"/>
    </row>
    <row r="184" spans="1:6" ht="11.25" hidden="1" customHeight="1" outlineLevel="1">
      <c r="A184" s="188"/>
      <c r="B184" s="188" t="s">
        <v>72</v>
      </c>
      <c r="C184" s="988">
        <f t="shared" ref="C184:C188" si="12">D184-D168</f>
        <v>0</v>
      </c>
      <c r="D184" s="188">
        <v>0.61905100000000002</v>
      </c>
      <c r="E184" s="188"/>
      <c r="F184" s="188"/>
    </row>
    <row r="185" spans="1:6" ht="11.25" hidden="1" customHeight="1" outlineLevel="1">
      <c r="A185" s="188"/>
      <c r="B185" s="188" t="s">
        <v>141</v>
      </c>
      <c r="C185" s="988">
        <f t="shared" si="12"/>
        <v>-15942373</v>
      </c>
      <c r="D185" s="188">
        <v>56507965</v>
      </c>
      <c r="E185" s="188"/>
      <c r="F185" s="188"/>
    </row>
    <row r="186" spans="1:6" ht="11.25" hidden="1" customHeight="1" outlineLevel="1">
      <c r="A186" s="188"/>
      <c r="B186" s="188" t="s">
        <v>266</v>
      </c>
      <c r="C186" s="988">
        <f t="shared" si="12"/>
        <v>0</v>
      </c>
      <c r="D186" s="188">
        <v>405142.80924519914</v>
      </c>
      <c r="E186" s="188"/>
      <c r="F186" s="188"/>
    </row>
    <row r="187" spans="1:6" ht="11.25" hidden="1" customHeight="1" outlineLevel="1">
      <c r="A187" s="188"/>
      <c r="B187" s="188"/>
      <c r="C187" s="988"/>
      <c r="D187" s="188"/>
      <c r="E187" s="188"/>
      <c r="F187" s="188"/>
    </row>
    <row r="188" spans="1:6" ht="11.25" hidden="1" customHeight="1" outlineLevel="1">
      <c r="A188" s="188"/>
      <c r="B188" s="188" t="s">
        <v>141</v>
      </c>
      <c r="C188" s="988">
        <f t="shared" si="12"/>
        <v>-15942373</v>
      </c>
      <c r="D188" s="188">
        <v>56102822.190754801</v>
      </c>
      <c r="E188" s="188"/>
      <c r="F188" s="188"/>
    </row>
    <row r="189" spans="1:6" ht="12.75" hidden="1" customHeight="1" outlineLevel="1"/>
    <row r="190" spans="1:6" ht="12.75" hidden="1" customHeight="1" outlineLevel="1"/>
    <row r="191" spans="1:6" ht="12.75" hidden="1" customHeight="1" outlineLevel="1">
      <c r="A191" s="250">
        <v>10</v>
      </c>
      <c r="B191" s="996" t="s">
        <v>1218</v>
      </c>
      <c r="C191" s="993" t="s">
        <v>960</v>
      </c>
      <c r="D191" s="993" t="s">
        <v>895</v>
      </c>
      <c r="E191" s="1180"/>
      <c r="F191" s="1180"/>
    </row>
    <row r="192" spans="1:6" ht="12.75" hidden="1" customHeight="1" outlineLevel="1">
      <c r="B192" s="188" t="s">
        <v>107</v>
      </c>
      <c r="C192" s="986">
        <f>D192-D176</f>
        <v>-54746323.123175621</v>
      </c>
      <c r="D192" s="188">
        <v>4869807933.5160675</v>
      </c>
      <c r="E192" s="188"/>
      <c r="F192" s="188"/>
    </row>
    <row r="193" spans="1:6" ht="11.25" hidden="1" customHeight="1" outlineLevel="1">
      <c r="A193" s="188"/>
      <c r="B193" s="188" t="s">
        <v>251</v>
      </c>
      <c r="C193" s="987">
        <f>D193-D177</f>
        <v>0</v>
      </c>
      <c r="D193" s="188">
        <v>7.7399999999999997E-2</v>
      </c>
      <c r="E193" s="188"/>
      <c r="F193" s="188"/>
    </row>
    <row r="194" spans="1:6" ht="11.25" hidden="1" customHeight="1" outlineLevel="1">
      <c r="A194" s="188"/>
      <c r="B194" s="188"/>
      <c r="C194" s="188"/>
      <c r="D194" s="188"/>
      <c r="E194" s="188"/>
      <c r="F194" s="188"/>
    </row>
    <row r="195" spans="1:6" ht="11.25" hidden="1" customHeight="1" outlineLevel="1">
      <c r="A195" s="188"/>
      <c r="B195" s="188" t="s">
        <v>38</v>
      </c>
      <c r="C195" s="988">
        <f>D195-D179</f>
        <v>-4237365.4097337723</v>
      </c>
      <c r="D195" s="188">
        <v>376923134.05414361</v>
      </c>
      <c r="E195" s="188"/>
      <c r="F195" s="188"/>
    </row>
    <row r="196" spans="1:6" ht="11.25" hidden="1" customHeight="1" outlineLevel="1">
      <c r="A196" s="188"/>
      <c r="B196" s="188"/>
      <c r="C196" s="988"/>
      <c r="D196" s="188"/>
      <c r="E196" s="188"/>
      <c r="F196" s="188"/>
    </row>
    <row r="197" spans="1:6" ht="11.25" hidden="1" customHeight="1" outlineLevel="1">
      <c r="A197" s="188"/>
      <c r="B197" s="188" t="s">
        <v>39</v>
      </c>
      <c r="C197" s="988">
        <f t="shared" ref="C197:C204" si="13">D197-D181</f>
        <v>-572920.27148413658</v>
      </c>
      <c r="D197" s="188">
        <v>345606267.69508028</v>
      </c>
      <c r="E197" s="188"/>
      <c r="F197" s="188"/>
    </row>
    <row r="198" spans="1:6" ht="11.25" hidden="1" customHeight="1" outlineLevel="1">
      <c r="A198" s="188"/>
      <c r="B198" s="188" t="s">
        <v>140</v>
      </c>
      <c r="C198" s="988">
        <f>D198-D182</f>
        <v>-3664445.1382496357</v>
      </c>
      <c r="D198" s="188">
        <v>31316866.859063327</v>
      </c>
      <c r="E198" s="188"/>
      <c r="F198" s="188"/>
    </row>
    <row r="199" spans="1:6" ht="11.25" hidden="1" customHeight="1" outlineLevel="1">
      <c r="A199" s="188"/>
      <c r="B199" s="188"/>
      <c r="C199" s="988"/>
      <c r="D199" s="188"/>
      <c r="E199" s="188"/>
      <c r="F199" s="188"/>
    </row>
    <row r="200" spans="1:6" ht="11.25" hidden="1" customHeight="1" outlineLevel="1">
      <c r="A200" s="188"/>
      <c r="B200" s="188" t="s">
        <v>72</v>
      </c>
      <c r="C200" s="988">
        <f t="shared" si="13"/>
        <v>0</v>
      </c>
      <c r="D200" s="188">
        <v>0.61905100000000002</v>
      </c>
      <c r="E200" s="188"/>
      <c r="F200" s="188"/>
    </row>
    <row r="201" spans="1:6" ht="11.25" hidden="1" customHeight="1" outlineLevel="1">
      <c r="A201" s="188"/>
      <c r="B201" s="188" t="s">
        <v>141</v>
      </c>
      <c r="C201" s="988">
        <f t="shared" si="13"/>
        <v>-5919456</v>
      </c>
      <c r="D201" s="188">
        <v>50588509</v>
      </c>
      <c r="E201" s="188"/>
      <c r="F201" s="188"/>
    </row>
    <row r="202" spans="1:6" ht="11.25" hidden="1" customHeight="1" outlineLevel="1">
      <c r="A202" s="188"/>
      <c r="B202" s="188" t="s">
        <v>266</v>
      </c>
      <c r="C202" s="988">
        <f t="shared" si="13"/>
        <v>0</v>
      </c>
      <c r="D202" s="188">
        <v>405142.80924519914</v>
      </c>
      <c r="E202" s="188"/>
      <c r="F202" s="188"/>
    </row>
    <row r="203" spans="1:6" ht="11.25" hidden="1" customHeight="1" outlineLevel="1">
      <c r="A203" s="188"/>
      <c r="B203" s="188"/>
      <c r="C203" s="988"/>
      <c r="D203" s="188"/>
      <c r="E203" s="188"/>
      <c r="F203" s="188"/>
    </row>
    <row r="204" spans="1:6" ht="11.25" hidden="1" customHeight="1" outlineLevel="1">
      <c r="A204" s="188"/>
      <c r="B204" s="188" t="s">
        <v>141</v>
      </c>
      <c r="C204" s="988">
        <f t="shared" si="13"/>
        <v>-5919456</v>
      </c>
      <c r="D204" s="188">
        <v>50183366.190754801</v>
      </c>
      <c r="E204" s="188"/>
      <c r="F204" s="188"/>
    </row>
    <row r="205" spans="1:6" ht="12.75" hidden="1" customHeight="1" outlineLevel="1"/>
    <row r="206" spans="1:6" ht="12.75" hidden="1" customHeight="1" outlineLevel="1"/>
    <row r="207" spans="1:6" ht="12.75" hidden="1" customHeight="1" outlineLevel="1">
      <c r="A207" s="250">
        <v>11</v>
      </c>
      <c r="B207" s="996" t="s">
        <v>1099</v>
      </c>
      <c r="C207" s="993" t="s">
        <v>960</v>
      </c>
      <c r="D207" s="993" t="s">
        <v>895</v>
      </c>
      <c r="E207" s="1180"/>
      <c r="F207" s="1180"/>
    </row>
    <row r="208" spans="1:6" ht="12.75" hidden="1" customHeight="1" outlineLevel="1">
      <c r="B208" s="188" t="s">
        <v>107</v>
      </c>
      <c r="C208" s="986">
        <f>D208-D192</f>
        <v>-552786.58199977875</v>
      </c>
      <c r="D208" s="188">
        <v>4869255146.9340677</v>
      </c>
      <c r="E208" s="188"/>
      <c r="F208" s="188"/>
    </row>
    <row r="209" spans="1:6" ht="11.25" hidden="1" customHeight="1" outlineLevel="1">
      <c r="A209" s="188"/>
      <c r="B209" s="188" t="s">
        <v>251</v>
      </c>
      <c r="C209" s="987">
        <f>D209-D193</f>
        <v>0</v>
      </c>
      <c r="D209" s="188">
        <v>7.7399999999999997E-2</v>
      </c>
      <c r="E209" s="188"/>
      <c r="F209" s="188"/>
    </row>
    <row r="210" spans="1:6" ht="11.25" hidden="1" customHeight="1" outlineLevel="1">
      <c r="A210" s="188"/>
      <c r="B210" s="188"/>
      <c r="C210" s="188"/>
      <c r="D210" s="188"/>
      <c r="E210" s="188"/>
      <c r="F210" s="188"/>
    </row>
    <row r="211" spans="1:6" ht="11.25" hidden="1" customHeight="1" outlineLevel="1">
      <c r="A211" s="188"/>
      <c r="B211" s="188" t="s">
        <v>38</v>
      </c>
      <c r="C211" s="988">
        <f>D211-D195</f>
        <v>-42785.681446790695</v>
      </c>
      <c r="D211" s="188">
        <v>376880348.37269682</v>
      </c>
      <c r="E211" s="188"/>
      <c r="F211" s="188"/>
    </row>
    <row r="212" spans="1:6" ht="11.25" hidden="1" customHeight="1" outlineLevel="1">
      <c r="A212" s="188"/>
      <c r="B212" s="188"/>
      <c r="C212" s="988"/>
      <c r="D212" s="188"/>
      <c r="E212" s="188"/>
      <c r="F212" s="188"/>
    </row>
    <row r="213" spans="1:6" ht="11.25" hidden="1" customHeight="1" outlineLevel="1">
      <c r="A213" s="188"/>
      <c r="B213" s="188" t="s">
        <v>39</v>
      </c>
      <c r="C213" s="988">
        <f t="shared" ref="C213:C220" si="14">D213-D197</f>
        <v>366103.55578970909</v>
      </c>
      <c r="D213" s="188">
        <v>345972371.25086999</v>
      </c>
      <c r="E213" s="188"/>
      <c r="F213" s="188"/>
    </row>
    <row r="214" spans="1:6" ht="11.25" hidden="1" customHeight="1" outlineLevel="1">
      <c r="A214" s="188"/>
      <c r="B214" s="188" t="s">
        <v>140</v>
      </c>
      <c r="C214" s="988">
        <f>D214-D198</f>
        <v>-408889.23723649979</v>
      </c>
      <c r="D214" s="188">
        <v>30907977.621826828</v>
      </c>
      <c r="E214" s="188"/>
      <c r="F214" s="188"/>
    </row>
    <row r="215" spans="1:6" ht="11.25" hidden="1" customHeight="1" outlineLevel="1">
      <c r="A215" s="188"/>
      <c r="B215" s="188"/>
      <c r="C215" s="988"/>
      <c r="D215" s="188"/>
      <c r="E215" s="188"/>
      <c r="F215" s="188"/>
    </row>
    <row r="216" spans="1:6" ht="11.25" hidden="1" customHeight="1" outlineLevel="1">
      <c r="A216" s="188"/>
      <c r="B216" s="188" t="s">
        <v>72</v>
      </c>
      <c r="C216" s="988">
        <f t="shared" si="14"/>
        <v>0</v>
      </c>
      <c r="D216" s="188">
        <v>0.61905100000000002</v>
      </c>
      <c r="E216" s="188"/>
      <c r="F216" s="188"/>
    </row>
    <row r="217" spans="1:6" ht="11.25" hidden="1" customHeight="1" outlineLevel="1">
      <c r="A217" s="188"/>
      <c r="B217" s="188" t="s">
        <v>141</v>
      </c>
      <c r="C217" s="988">
        <f t="shared" si="14"/>
        <v>-660510</v>
      </c>
      <c r="D217" s="188">
        <v>49927999</v>
      </c>
      <c r="E217" s="188"/>
      <c r="F217" s="188"/>
    </row>
    <row r="218" spans="1:6" ht="11.25" hidden="1" customHeight="1" outlineLevel="1">
      <c r="A218" s="188"/>
      <c r="B218" s="188" t="s">
        <v>266</v>
      </c>
      <c r="C218" s="988">
        <f t="shared" si="14"/>
        <v>0</v>
      </c>
      <c r="D218" s="188">
        <v>405142.80924519914</v>
      </c>
      <c r="E218" s="188"/>
      <c r="F218" s="188"/>
    </row>
    <row r="219" spans="1:6" ht="11.25" hidden="1" customHeight="1" outlineLevel="1">
      <c r="A219" s="188"/>
      <c r="B219" s="188"/>
      <c r="C219" s="988"/>
      <c r="D219" s="188"/>
      <c r="E219" s="188"/>
      <c r="F219" s="188"/>
    </row>
    <row r="220" spans="1:6" ht="11.25" hidden="1" customHeight="1" outlineLevel="1">
      <c r="A220" s="188"/>
      <c r="B220" s="188" t="s">
        <v>141</v>
      </c>
      <c r="C220" s="988">
        <f t="shared" si="14"/>
        <v>-660510</v>
      </c>
      <c r="D220" s="188">
        <v>49522856.190754801</v>
      </c>
      <c r="E220" s="188"/>
      <c r="F220" s="188"/>
    </row>
    <row r="221" spans="1:6" ht="12.75" hidden="1" customHeight="1" outlineLevel="1"/>
    <row r="222" spans="1:6" ht="12.75" hidden="1" customHeight="1" outlineLevel="1"/>
    <row r="223" spans="1:6" ht="12.75" hidden="1" customHeight="1" outlineLevel="1">
      <c r="A223" s="250">
        <v>12</v>
      </c>
      <c r="B223" s="996" t="s">
        <v>1102</v>
      </c>
      <c r="C223" s="993" t="s">
        <v>960</v>
      </c>
      <c r="D223" s="993" t="s">
        <v>895</v>
      </c>
      <c r="E223" s="1180"/>
      <c r="F223" s="1180"/>
    </row>
    <row r="224" spans="1:6" ht="12.75" hidden="1" customHeight="1" outlineLevel="1">
      <c r="B224" s="188" t="s">
        <v>107</v>
      </c>
      <c r="C224" s="986">
        <f>D224-D208</f>
        <v>62280326.979849815</v>
      </c>
      <c r="D224" s="188">
        <v>4931535473.9139175</v>
      </c>
      <c r="E224" s="188"/>
      <c r="F224" s="188"/>
    </row>
    <row r="225" spans="1:6" ht="11.25" hidden="1" customHeight="1" outlineLevel="1">
      <c r="A225" s="188"/>
      <c r="B225" s="188" t="s">
        <v>251</v>
      </c>
      <c r="C225" s="987">
        <f>D225-D209</f>
        <v>0</v>
      </c>
      <c r="D225" s="188">
        <v>7.7399999999999997E-2</v>
      </c>
      <c r="E225" s="188"/>
      <c r="F225" s="188"/>
    </row>
    <row r="226" spans="1:6" ht="11.25" hidden="1" customHeight="1" outlineLevel="1">
      <c r="A226" s="188"/>
      <c r="B226" s="188"/>
      <c r="C226" s="188"/>
      <c r="D226" s="188"/>
      <c r="E226" s="188"/>
      <c r="F226" s="188"/>
    </row>
    <row r="227" spans="1:6" ht="11.25" hidden="1" customHeight="1" outlineLevel="1">
      <c r="A227" s="188"/>
      <c r="B227" s="188" t="s">
        <v>38</v>
      </c>
      <c r="C227" s="988">
        <f>D227-D211</f>
        <v>4820497.3082404137</v>
      </c>
      <c r="D227" s="188">
        <v>381700845.68093723</v>
      </c>
      <c r="E227" s="188"/>
      <c r="F227" s="188"/>
    </row>
    <row r="228" spans="1:6" ht="11.25" hidden="1" customHeight="1" outlineLevel="1">
      <c r="A228" s="188"/>
      <c r="B228" s="188"/>
      <c r="C228" s="988"/>
      <c r="D228" s="188"/>
      <c r="E228" s="188"/>
      <c r="F228" s="188"/>
    </row>
    <row r="229" spans="1:6" ht="11.25" hidden="1" customHeight="1" outlineLevel="1">
      <c r="A229" s="188"/>
      <c r="B229" s="188" t="s">
        <v>39</v>
      </c>
      <c r="C229" s="988">
        <f t="shared" ref="C229:C236" si="15">D229-D213</f>
        <v>1219669.4551773071</v>
      </c>
      <c r="D229" s="188">
        <v>347192040.7060473</v>
      </c>
      <c r="E229" s="188"/>
      <c r="F229" s="188"/>
    </row>
    <row r="230" spans="1:6" ht="11.25" hidden="1" customHeight="1" outlineLevel="1">
      <c r="A230" s="188"/>
      <c r="B230" s="188" t="s">
        <v>140</v>
      </c>
      <c r="C230" s="988">
        <f>D230-D214</f>
        <v>3600827.8530631065</v>
      </c>
      <c r="D230" s="188">
        <v>34508805.474889934</v>
      </c>
      <c r="E230" s="188"/>
      <c r="F230" s="188"/>
    </row>
    <row r="231" spans="1:6" ht="11.25" hidden="1" customHeight="1" outlineLevel="1">
      <c r="A231" s="188"/>
      <c r="B231" s="188"/>
      <c r="C231" s="988"/>
      <c r="D231" s="188"/>
      <c r="E231" s="188"/>
      <c r="F231" s="188"/>
    </row>
    <row r="232" spans="1:6" ht="11.25" hidden="1" customHeight="1" outlineLevel="1">
      <c r="A232" s="188"/>
      <c r="B232" s="188" t="s">
        <v>72</v>
      </c>
      <c r="C232" s="988">
        <f t="shared" si="15"/>
        <v>0</v>
      </c>
      <c r="D232" s="188">
        <v>0.61905100000000002</v>
      </c>
      <c r="E232" s="188"/>
      <c r="F232" s="188"/>
    </row>
    <row r="233" spans="1:6" ht="11.25" hidden="1" customHeight="1" outlineLevel="1">
      <c r="A233" s="188"/>
      <c r="B233" s="188" t="s">
        <v>141</v>
      </c>
      <c r="C233" s="988">
        <f t="shared" si="15"/>
        <v>5816690</v>
      </c>
      <c r="D233" s="188">
        <v>55744689</v>
      </c>
      <c r="E233" s="188"/>
      <c r="F233" s="188"/>
    </row>
    <row r="234" spans="1:6" ht="11.25" hidden="1" customHeight="1" outlineLevel="1">
      <c r="A234" s="188"/>
      <c r="B234" s="188" t="s">
        <v>266</v>
      </c>
      <c r="C234" s="988">
        <f t="shared" si="15"/>
        <v>0</v>
      </c>
      <c r="D234" s="188">
        <v>405142.80924519914</v>
      </c>
      <c r="E234" s="188"/>
      <c r="F234" s="188"/>
    </row>
    <row r="235" spans="1:6" ht="11.25" hidden="1" customHeight="1" outlineLevel="1">
      <c r="A235" s="188"/>
      <c r="B235" s="188"/>
      <c r="C235" s="988"/>
      <c r="D235" s="188"/>
      <c r="E235" s="188"/>
      <c r="F235" s="188"/>
    </row>
    <row r="236" spans="1:6" ht="11.25" hidden="1" customHeight="1" outlineLevel="1">
      <c r="A236" s="188"/>
      <c r="B236" s="188" t="s">
        <v>141</v>
      </c>
      <c r="C236" s="988">
        <f t="shared" si="15"/>
        <v>5816690</v>
      </c>
      <c r="D236" s="188">
        <v>55339546.190754801</v>
      </c>
      <c r="E236" s="188"/>
      <c r="F236" s="188"/>
    </row>
    <row r="237" spans="1:6" ht="12.75" hidden="1" customHeight="1" outlineLevel="1"/>
    <row r="238" spans="1:6" ht="12.75" hidden="1" customHeight="1" outlineLevel="1"/>
    <row r="239" spans="1:6" ht="12.75" hidden="1" customHeight="1" outlineLevel="1">
      <c r="A239" s="250">
        <v>13</v>
      </c>
      <c r="B239" s="996" t="s">
        <v>1023</v>
      </c>
      <c r="C239" s="993" t="s">
        <v>960</v>
      </c>
      <c r="D239" s="993" t="s">
        <v>895</v>
      </c>
      <c r="E239" s="1180"/>
      <c r="F239" s="1180"/>
    </row>
    <row r="240" spans="1:6" ht="12.75" hidden="1" customHeight="1" outlineLevel="1">
      <c r="B240" s="188" t="s">
        <v>107</v>
      </c>
      <c r="C240" s="986">
        <f>D240-D224</f>
        <v>0</v>
      </c>
      <c r="D240" s="188">
        <v>4931535473.9139175</v>
      </c>
      <c r="E240" s="188"/>
      <c r="F240" s="188"/>
    </row>
    <row r="241" spans="1:6" ht="11.25" hidden="1" customHeight="1" outlineLevel="1">
      <c r="A241" s="188"/>
      <c r="B241" s="188" t="s">
        <v>251</v>
      </c>
      <c r="C241" s="987">
        <f>D241-D225</f>
        <v>0</v>
      </c>
      <c r="D241" s="188">
        <v>7.7399999999999997E-2</v>
      </c>
      <c r="E241" s="188"/>
      <c r="F241" s="188"/>
    </row>
    <row r="242" spans="1:6" ht="11.25" hidden="1" customHeight="1" outlineLevel="1">
      <c r="A242" s="188"/>
      <c r="B242" s="188"/>
      <c r="C242" s="188"/>
      <c r="D242" s="188"/>
      <c r="E242" s="188"/>
      <c r="F242" s="188"/>
    </row>
    <row r="243" spans="1:6" ht="11.25" hidden="1" customHeight="1" outlineLevel="1">
      <c r="A243" s="188"/>
      <c r="B243" s="188" t="s">
        <v>38</v>
      </c>
      <c r="C243" s="988">
        <f>D243-D227</f>
        <v>0</v>
      </c>
      <c r="D243" s="188">
        <v>381700845.68093723</v>
      </c>
      <c r="E243" s="188"/>
      <c r="F243" s="188"/>
    </row>
    <row r="244" spans="1:6" ht="11.25" hidden="1" customHeight="1" outlineLevel="1">
      <c r="A244" s="188"/>
      <c r="B244" s="188"/>
      <c r="C244" s="988"/>
      <c r="D244" s="188"/>
      <c r="E244" s="188"/>
      <c r="F244" s="188"/>
    </row>
    <row r="245" spans="1:6" ht="11.25" hidden="1" customHeight="1" outlineLevel="1">
      <c r="A245" s="188"/>
      <c r="B245" s="188" t="s">
        <v>39</v>
      </c>
      <c r="C245" s="988">
        <f t="shared" ref="C245:C252" si="16">D245-D229</f>
        <v>2030252.1536164284</v>
      </c>
      <c r="D245" s="188">
        <v>349222292.85966372</v>
      </c>
      <c r="E245" s="188"/>
      <c r="F245" s="188"/>
    </row>
    <row r="246" spans="1:6" ht="11.25" hidden="1" customHeight="1" outlineLevel="1">
      <c r="A246" s="188"/>
      <c r="B246" s="188" t="s">
        <v>140</v>
      </c>
      <c r="C246" s="988">
        <f>D246-D230</f>
        <v>-2030252.1536164284</v>
      </c>
      <c r="D246" s="188">
        <v>32478553.321273506</v>
      </c>
      <c r="E246" s="188"/>
      <c r="F246" s="188"/>
    </row>
    <row r="247" spans="1:6" ht="11.25" hidden="1" customHeight="1" outlineLevel="1">
      <c r="A247" s="188"/>
      <c r="B247" s="188"/>
      <c r="C247" s="988"/>
      <c r="D247" s="188"/>
      <c r="E247" s="188"/>
      <c r="F247" s="188"/>
    </row>
    <row r="248" spans="1:6" ht="11.25" hidden="1" customHeight="1" outlineLevel="1">
      <c r="A248" s="188"/>
      <c r="B248" s="188" t="s">
        <v>72</v>
      </c>
      <c r="C248" s="988">
        <f t="shared" si="16"/>
        <v>0</v>
      </c>
      <c r="D248" s="188">
        <v>0.61905100000000002</v>
      </c>
      <c r="E248" s="188"/>
      <c r="F248" s="188"/>
    </row>
    <row r="249" spans="1:6" ht="11.25" hidden="1" customHeight="1" outlineLevel="1">
      <c r="A249" s="188"/>
      <c r="B249" s="188" t="s">
        <v>141</v>
      </c>
      <c r="C249" s="988">
        <f t="shared" si="16"/>
        <v>-3279620</v>
      </c>
      <c r="D249" s="188">
        <v>52465069</v>
      </c>
      <c r="E249" s="188"/>
      <c r="F249" s="188"/>
    </row>
    <row r="250" spans="1:6" ht="11.25" hidden="1" customHeight="1" outlineLevel="1">
      <c r="A250" s="188"/>
      <c r="B250" s="188" t="s">
        <v>266</v>
      </c>
      <c r="C250" s="988">
        <f t="shared" si="16"/>
        <v>0</v>
      </c>
      <c r="D250" s="188">
        <v>405142.80924519914</v>
      </c>
      <c r="E250" s="188"/>
      <c r="F250" s="188"/>
    </row>
    <row r="251" spans="1:6" ht="11.25" hidden="1" customHeight="1" outlineLevel="1">
      <c r="A251" s="188"/>
      <c r="B251" s="188"/>
      <c r="C251" s="988"/>
      <c r="D251" s="188"/>
      <c r="E251" s="188"/>
      <c r="F251" s="188"/>
    </row>
    <row r="252" spans="1:6" ht="11.25" hidden="1" customHeight="1" outlineLevel="1">
      <c r="A252" s="188"/>
      <c r="B252" s="188" t="s">
        <v>141</v>
      </c>
      <c r="C252" s="988">
        <f t="shared" si="16"/>
        <v>-3279620</v>
      </c>
      <c r="D252" s="188">
        <v>52059926.190754801</v>
      </c>
      <c r="E252" s="188"/>
      <c r="F252" s="188"/>
    </row>
    <row r="253" spans="1:6" ht="12.75" hidden="1" customHeight="1" outlineLevel="1"/>
    <row r="254" spans="1:6" ht="12.75" hidden="1" customHeight="1" outlineLevel="1"/>
    <row r="255" spans="1:6" ht="12.75" hidden="1" customHeight="1" outlineLevel="1">
      <c r="A255" s="250">
        <v>14</v>
      </c>
      <c r="B255" s="996" t="s">
        <v>1101</v>
      </c>
      <c r="C255" s="993" t="s">
        <v>960</v>
      </c>
      <c r="D255" s="993" t="s">
        <v>895</v>
      </c>
      <c r="E255" s="1180"/>
      <c r="F255" s="1180"/>
    </row>
    <row r="256" spans="1:6" ht="12.75" hidden="1" customHeight="1" outlineLevel="1">
      <c r="B256" s="188" t="s">
        <v>107</v>
      </c>
      <c r="C256" s="986">
        <f>D256-D240</f>
        <v>0</v>
      </c>
      <c r="D256" s="188">
        <v>4931535473.9139175</v>
      </c>
      <c r="E256" s="188"/>
      <c r="F256" s="188"/>
    </row>
    <row r="257" spans="1:9" ht="11.25" hidden="1" customHeight="1" outlineLevel="1">
      <c r="A257" s="188"/>
      <c r="B257" s="188" t="s">
        <v>251</v>
      </c>
      <c r="C257" s="987">
        <f>D257-D241</f>
        <v>0</v>
      </c>
      <c r="D257" s="188">
        <v>7.7399999999999997E-2</v>
      </c>
      <c r="E257" s="188"/>
      <c r="F257" s="188"/>
    </row>
    <row r="258" spans="1:9" ht="11.25" hidden="1" customHeight="1" outlineLevel="1">
      <c r="A258" s="188"/>
      <c r="B258" s="188"/>
      <c r="C258" s="188"/>
      <c r="D258" s="188"/>
      <c r="E258" s="188"/>
      <c r="F258" s="188"/>
    </row>
    <row r="259" spans="1:9" ht="11.25" hidden="1" customHeight="1" outlineLevel="1">
      <c r="A259" s="188"/>
      <c r="B259" s="188" t="s">
        <v>38</v>
      </c>
      <c r="C259" s="988">
        <f>D259-D243</f>
        <v>0</v>
      </c>
      <c r="D259" s="188">
        <v>381700845.68093723</v>
      </c>
      <c r="E259" s="188"/>
      <c r="F259" s="188"/>
    </row>
    <row r="260" spans="1:9" ht="11.25" hidden="1" customHeight="1" outlineLevel="1">
      <c r="A260" s="188"/>
      <c r="B260" s="188"/>
      <c r="C260" s="988"/>
      <c r="D260" s="188"/>
      <c r="E260" s="188"/>
      <c r="F260" s="188"/>
    </row>
    <row r="261" spans="1:9" ht="11.25" hidden="1" customHeight="1" outlineLevel="1">
      <c r="A261" s="188"/>
      <c r="B261" s="188" t="s">
        <v>39</v>
      </c>
      <c r="C261" s="988">
        <f t="shared" ref="C261:C268" si="17">D261-D245</f>
        <v>315757.00000023842</v>
      </c>
      <c r="D261" s="188">
        <v>349538049.85966396</v>
      </c>
      <c r="E261" s="188"/>
      <c r="F261" s="188"/>
    </row>
    <row r="262" spans="1:9" ht="11.25" hidden="1" customHeight="1" outlineLevel="1">
      <c r="A262" s="188"/>
      <c r="B262" s="188" t="s">
        <v>140</v>
      </c>
      <c r="C262" s="988">
        <f>D262-D246</f>
        <v>-315757.00000023842</v>
      </c>
      <c r="D262" s="188">
        <v>32162796.321273267</v>
      </c>
      <c r="E262" s="188"/>
      <c r="F262" s="188"/>
    </row>
    <row r="263" spans="1:9" ht="11.25" hidden="1" customHeight="1" outlineLevel="1">
      <c r="A263" s="188"/>
      <c r="B263" s="188"/>
      <c r="C263" s="988"/>
      <c r="D263" s="188"/>
      <c r="E263" s="188"/>
      <c r="F263" s="188"/>
    </row>
    <row r="264" spans="1:9" ht="11.25" hidden="1" customHeight="1" outlineLevel="1">
      <c r="A264" s="188"/>
      <c r="B264" s="188" t="s">
        <v>72</v>
      </c>
      <c r="C264" s="988">
        <f t="shared" si="17"/>
        <v>0</v>
      </c>
      <c r="D264" s="188">
        <v>0.61905100000000002</v>
      </c>
      <c r="E264" s="188"/>
      <c r="F264" s="188"/>
    </row>
    <row r="265" spans="1:9" ht="11.25" hidden="1" customHeight="1" outlineLevel="1">
      <c r="A265" s="188"/>
      <c r="B265" s="188" t="s">
        <v>141</v>
      </c>
      <c r="C265" s="988">
        <f t="shared" si="17"/>
        <v>-510066</v>
      </c>
      <c r="D265" s="188">
        <v>51955003</v>
      </c>
      <c r="E265" s="188"/>
      <c r="F265" s="188"/>
    </row>
    <row r="266" spans="1:9" ht="11.25" hidden="1" customHeight="1" outlineLevel="1">
      <c r="A266" s="188"/>
      <c r="B266" s="188" t="s">
        <v>266</v>
      </c>
      <c r="C266" s="988">
        <f t="shared" si="17"/>
        <v>0</v>
      </c>
      <c r="D266" s="188">
        <v>405142.80924519914</v>
      </c>
      <c r="E266" s="188"/>
      <c r="F266" s="188"/>
    </row>
    <row r="267" spans="1:9" ht="11.25" hidden="1" customHeight="1" outlineLevel="1">
      <c r="A267" s="188"/>
      <c r="B267" s="188"/>
      <c r="C267" s="988"/>
      <c r="D267" s="188"/>
      <c r="E267" s="188"/>
      <c r="F267" s="188"/>
    </row>
    <row r="268" spans="1:9" ht="11.25" hidden="1" customHeight="1" outlineLevel="1">
      <c r="A268" s="188"/>
      <c r="B268" s="188" t="s">
        <v>141</v>
      </c>
      <c r="C268" s="988">
        <f t="shared" si="17"/>
        <v>-510066</v>
      </c>
      <c r="D268" s="188">
        <v>51549860.190754801</v>
      </c>
      <c r="E268" s="188"/>
      <c r="F268" s="188"/>
    </row>
    <row r="269" spans="1:9" ht="12.75" hidden="1" customHeight="1" outlineLevel="1"/>
    <row r="270" spans="1:9" ht="12.75" hidden="1" customHeight="1" outlineLevel="1"/>
    <row r="271" spans="1:9" ht="12.75" hidden="1" customHeight="1" outlineLevel="1">
      <c r="A271" s="250">
        <v>15</v>
      </c>
      <c r="B271" s="996" t="s">
        <v>907</v>
      </c>
      <c r="C271" s="993" t="s">
        <v>960</v>
      </c>
      <c r="D271" s="993" t="s">
        <v>895</v>
      </c>
      <c r="E271" s="1180"/>
      <c r="F271" s="1180"/>
    </row>
    <row r="272" spans="1:9" ht="12.75" hidden="1" customHeight="1" outlineLevel="1">
      <c r="B272" s="188" t="s">
        <v>107</v>
      </c>
      <c r="C272" s="986">
        <f>D272-D256</f>
        <v>0</v>
      </c>
      <c r="D272" s="188">
        <v>4931535473.9139175</v>
      </c>
      <c r="E272" s="188"/>
      <c r="F272" s="188"/>
      <c r="I272" s="997"/>
    </row>
    <row r="273" spans="1:9" ht="11.25" hidden="1" customHeight="1" outlineLevel="1">
      <c r="A273" s="188"/>
      <c r="B273" s="188" t="s">
        <v>251</v>
      </c>
      <c r="C273" s="987">
        <f>D273-D257</f>
        <v>-3.699999999999995E-3</v>
      </c>
      <c r="D273" s="188">
        <v>7.3700000000000002E-2</v>
      </c>
      <c r="E273" s="188"/>
      <c r="F273" s="188"/>
      <c r="I273" s="997"/>
    </row>
    <row r="274" spans="1:9" ht="11.25" hidden="1" customHeight="1" outlineLevel="1">
      <c r="A274" s="188"/>
      <c r="B274" s="188"/>
      <c r="C274" s="188"/>
      <c r="D274" s="188"/>
      <c r="E274" s="188"/>
      <c r="F274" s="188"/>
      <c r="I274" s="997"/>
    </row>
    <row r="275" spans="1:9" ht="11.25" hidden="1" customHeight="1" outlineLevel="1">
      <c r="A275" s="188"/>
      <c r="B275" s="188" t="s">
        <v>38</v>
      </c>
      <c r="C275" s="988">
        <f>D275-D259</f>
        <v>-18246681.253481507</v>
      </c>
      <c r="D275" s="188">
        <v>363454164.42745572</v>
      </c>
      <c r="E275" s="188"/>
      <c r="F275" s="188"/>
      <c r="I275" s="997"/>
    </row>
    <row r="276" spans="1:9" ht="11.25" hidden="1" customHeight="1" outlineLevel="1">
      <c r="A276" s="188"/>
      <c r="B276" s="188"/>
      <c r="C276" s="988"/>
      <c r="D276" s="188"/>
      <c r="E276" s="188"/>
      <c r="F276" s="188"/>
      <c r="I276" s="997"/>
    </row>
    <row r="277" spans="1:9" ht="11.25" hidden="1" customHeight="1" outlineLevel="1">
      <c r="A277" s="188"/>
      <c r="B277" s="188" t="s">
        <v>39</v>
      </c>
      <c r="C277" s="988">
        <f t="shared" ref="C277:C284" si="18">D277-D261</f>
        <v>-690414.96634793282</v>
      </c>
      <c r="D277" s="188">
        <v>348847634.89331603</v>
      </c>
      <c r="E277" s="188"/>
      <c r="F277" s="188"/>
      <c r="I277" s="997"/>
    </row>
    <row r="278" spans="1:9" ht="11.25" hidden="1" customHeight="1" outlineLevel="1">
      <c r="A278" s="188"/>
      <c r="B278" s="188" t="s">
        <v>140</v>
      </c>
      <c r="C278" s="988">
        <f>D278-D262</f>
        <v>-17556266.787133574</v>
      </c>
      <c r="D278" s="188">
        <v>14606529.534139693</v>
      </c>
      <c r="E278" s="188"/>
      <c r="F278" s="188"/>
      <c r="I278" s="997"/>
    </row>
    <row r="279" spans="1:9" ht="11.25" hidden="1" customHeight="1" outlineLevel="1">
      <c r="A279" s="188"/>
      <c r="B279" s="188"/>
      <c r="C279" s="988"/>
      <c r="D279" s="188"/>
      <c r="E279" s="188"/>
      <c r="F279" s="188"/>
      <c r="I279" s="997"/>
    </row>
    <row r="280" spans="1:9" ht="11.25" hidden="1" customHeight="1" outlineLevel="1">
      <c r="A280" s="188"/>
      <c r="B280" s="188" t="s">
        <v>72</v>
      </c>
      <c r="C280" s="988">
        <f t="shared" si="18"/>
        <v>0</v>
      </c>
      <c r="D280" s="188">
        <v>0.61905100000000002</v>
      </c>
      <c r="E280" s="188"/>
      <c r="F280" s="188"/>
      <c r="I280" s="997"/>
    </row>
    <row r="281" spans="1:9" ht="11.25" hidden="1" customHeight="1" outlineLevel="1">
      <c r="A281" s="188"/>
      <c r="B281" s="188" t="s">
        <v>141</v>
      </c>
      <c r="C281" s="988">
        <f t="shared" si="18"/>
        <v>-28359969</v>
      </c>
      <c r="D281" s="188">
        <v>23595034</v>
      </c>
      <c r="E281" s="188"/>
      <c r="F281" s="188"/>
      <c r="I281" s="997"/>
    </row>
    <row r="282" spans="1:9" ht="11.25" hidden="1" customHeight="1" outlineLevel="1">
      <c r="A282" s="188"/>
      <c r="B282" s="188" t="s">
        <v>266</v>
      </c>
      <c r="C282" s="988">
        <f t="shared" si="18"/>
        <v>0</v>
      </c>
      <c r="D282" s="188">
        <v>405142.80924519914</v>
      </c>
      <c r="E282" s="188"/>
      <c r="F282" s="188"/>
      <c r="I282" s="997"/>
    </row>
    <row r="283" spans="1:9" ht="11.25" hidden="1" customHeight="1" outlineLevel="1">
      <c r="A283" s="188"/>
      <c r="B283" s="188"/>
      <c r="C283" s="988"/>
      <c r="D283" s="188"/>
      <c r="E283" s="188"/>
      <c r="F283" s="188"/>
      <c r="I283" s="997"/>
    </row>
    <row r="284" spans="1:9" ht="11.25" hidden="1" customHeight="1" outlineLevel="1">
      <c r="A284" s="188"/>
      <c r="B284" s="188" t="s">
        <v>141</v>
      </c>
      <c r="C284" s="988">
        <f t="shared" si="18"/>
        <v>-28359969</v>
      </c>
      <c r="D284" s="188">
        <v>23189891.190754801</v>
      </c>
      <c r="E284" s="188"/>
      <c r="F284" s="188"/>
      <c r="I284" s="997"/>
    </row>
    <row r="285" spans="1:9" ht="12.75" hidden="1" customHeight="1" outlineLevel="1">
      <c r="I285" s="997"/>
    </row>
    <row r="286" spans="1:9" ht="12.75" hidden="1" customHeight="1" outlineLevel="1"/>
    <row r="287" spans="1:9" ht="12.75" hidden="1" customHeight="1" outlineLevel="1">
      <c r="A287" s="250">
        <v>16</v>
      </c>
      <c r="B287" s="996" t="s">
        <v>1140</v>
      </c>
      <c r="C287" s="993" t="s">
        <v>960</v>
      </c>
      <c r="D287" s="993" t="s">
        <v>895</v>
      </c>
      <c r="E287" s="1180"/>
      <c r="F287" s="1180"/>
    </row>
    <row r="288" spans="1:9" ht="12.75" hidden="1" customHeight="1" outlineLevel="1">
      <c r="B288" s="188" t="s">
        <v>107</v>
      </c>
      <c r="C288" s="986">
        <f>D288-D272</f>
        <v>279304.46910190582</v>
      </c>
      <c r="D288" s="188">
        <v>4931814778.3830194</v>
      </c>
      <c r="E288" s="188"/>
      <c r="F288" s="188"/>
    </row>
    <row r="289" spans="1:6" ht="11.25" hidden="1" customHeight="1" outlineLevel="1">
      <c r="A289" s="188"/>
      <c r="B289" s="188" t="s">
        <v>251</v>
      </c>
      <c r="C289" s="987">
        <f>D289-D273</f>
        <v>0</v>
      </c>
      <c r="D289" s="188">
        <v>7.3700000000000002E-2</v>
      </c>
      <c r="E289" s="188"/>
      <c r="F289" s="188"/>
    </row>
    <row r="290" spans="1:6" ht="11.25" hidden="1" customHeight="1" outlineLevel="1">
      <c r="A290" s="188"/>
      <c r="B290" s="188"/>
      <c r="C290" s="188"/>
      <c r="D290" s="188"/>
      <c r="E290" s="188"/>
      <c r="F290" s="188"/>
    </row>
    <row r="291" spans="1:6" ht="11.25" hidden="1" customHeight="1" outlineLevel="1">
      <c r="A291" s="188"/>
      <c r="B291" s="188" t="s">
        <v>38</v>
      </c>
      <c r="C291" s="988">
        <f>D291-D275</f>
        <v>20584.73937278986</v>
      </c>
      <c r="D291" s="188">
        <v>363474749.16682851</v>
      </c>
      <c r="E291" s="188"/>
      <c r="F291" s="188"/>
    </row>
    <row r="292" spans="1:6" ht="11.25" hidden="1" customHeight="1" outlineLevel="1">
      <c r="A292" s="188"/>
      <c r="B292" s="188"/>
      <c r="C292" s="988"/>
      <c r="D292" s="188"/>
      <c r="E292" s="188"/>
      <c r="F292" s="188"/>
    </row>
    <row r="293" spans="1:6" ht="11.25" hidden="1" customHeight="1" outlineLevel="1">
      <c r="A293" s="188"/>
      <c r="B293" s="188" t="s">
        <v>39</v>
      </c>
      <c r="C293" s="988">
        <f t="shared" ref="C293" si="19">D293-D277</f>
        <v>2883.8186433315277</v>
      </c>
      <c r="D293" s="188">
        <v>348850518.71195936</v>
      </c>
      <c r="E293" s="188"/>
      <c r="F293" s="188"/>
    </row>
    <row r="294" spans="1:6" ht="11.25" hidden="1" customHeight="1" outlineLevel="1">
      <c r="A294" s="188"/>
      <c r="B294" s="188" t="s">
        <v>140</v>
      </c>
      <c r="C294" s="988">
        <f>D294-D278</f>
        <v>17700.920729458332</v>
      </c>
      <c r="D294" s="188">
        <v>14624230.454869151</v>
      </c>
      <c r="E294" s="188"/>
      <c r="F294" s="188"/>
    </row>
    <row r="295" spans="1:6" ht="11.25" hidden="1" customHeight="1" outlineLevel="1">
      <c r="A295" s="188"/>
      <c r="B295" s="188"/>
      <c r="C295" s="988"/>
      <c r="D295" s="188"/>
      <c r="E295" s="188"/>
      <c r="F295" s="188"/>
    </row>
    <row r="296" spans="1:6" ht="11.25" hidden="1" customHeight="1" outlineLevel="1">
      <c r="A296" s="188"/>
      <c r="B296" s="188" t="s">
        <v>72</v>
      </c>
      <c r="C296" s="988">
        <f t="shared" ref="C296:C298" si="20">D296-D280</f>
        <v>0</v>
      </c>
      <c r="D296" s="188">
        <v>0.61905100000000002</v>
      </c>
      <c r="E296" s="188"/>
      <c r="F296" s="188"/>
    </row>
    <row r="297" spans="1:6" ht="11.25" hidden="1" customHeight="1" outlineLevel="1">
      <c r="A297" s="188"/>
      <c r="B297" s="188" t="s">
        <v>141</v>
      </c>
      <c r="C297" s="988">
        <f t="shared" si="20"/>
        <v>28594</v>
      </c>
      <c r="D297" s="188">
        <v>23623628</v>
      </c>
      <c r="E297" s="188"/>
      <c r="F297" s="188"/>
    </row>
    <row r="298" spans="1:6" ht="11.25" hidden="1" customHeight="1" outlineLevel="1">
      <c r="A298" s="188"/>
      <c r="B298" s="188" t="s">
        <v>266</v>
      </c>
      <c r="C298" s="988">
        <f t="shared" si="20"/>
        <v>0</v>
      </c>
      <c r="D298" s="188">
        <v>405142.80924519914</v>
      </c>
      <c r="E298" s="188"/>
      <c r="F298" s="188"/>
    </row>
    <row r="299" spans="1:6" ht="11.25" hidden="1" customHeight="1" outlineLevel="1">
      <c r="A299" s="188"/>
      <c r="B299" s="188"/>
      <c r="C299" s="988"/>
      <c r="D299" s="188"/>
      <c r="E299" s="188"/>
      <c r="F299" s="188"/>
    </row>
    <row r="300" spans="1:6" ht="11.25" hidden="1" customHeight="1" outlineLevel="1">
      <c r="A300" s="188"/>
      <c r="B300" s="188" t="s">
        <v>141</v>
      </c>
      <c r="C300" s="988">
        <f t="shared" ref="C300" si="21">D300-D284</f>
        <v>28594</v>
      </c>
      <c r="D300" s="188">
        <v>23218485.190754801</v>
      </c>
      <c r="E300" s="188"/>
      <c r="F300" s="188"/>
    </row>
    <row r="301" spans="1:6" ht="12.75" hidden="1" customHeight="1" outlineLevel="1"/>
    <row r="302" spans="1:6" ht="12.75" hidden="1" customHeight="1" outlineLevel="1"/>
    <row r="303" spans="1:6" ht="12.75" hidden="1" customHeight="1" outlineLevel="1">
      <c r="A303" s="250">
        <v>17</v>
      </c>
      <c r="B303" s="996" t="s">
        <v>1141</v>
      </c>
      <c r="C303" s="993" t="s">
        <v>960</v>
      </c>
      <c r="D303" s="993" t="s">
        <v>895</v>
      </c>
      <c r="E303" s="1180"/>
      <c r="F303" s="1180"/>
    </row>
    <row r="304" spans="1:6" ht="12.75" hidden="1" customHeight="1" outlineLevel="1">
      <c r="B304" s="188" t="s">
        <v>107</v>
      </c>
      <c r="C304" s="986">
        <f>D304-D288</f>
        <v>0</v>
      </c>
      <c r="D304" s="188">
        <v>4931814778.3830194</v>
      </c>
      <c r="E304" s="188"/>
      <c r="F304" s="188"/>
    </row>
    <row r="305" spans="1:6" ht="11.25" hidden="1" customHeight="1" outlineLevel="1">
      <c r="A305" s="188"/>
      <c r="B305" s="188" t="s">
        <v>251</v>
      </c>
      <c r="C305" s="987">
        <f>D305-D289</f>
        <v>0</v>
      </c>
      <c r="D305" s="188">
        <v>7.3700000000000002E-2</v>
      </c>
      <c r="E305" s="188"/>
      <c r="F305" s="188"/>
    </row>
    <row r="306" spans="1:6" ht="11.25" hidden="1" customHeight="1" outlineLevel="1">
      <c r="A306" s="188"/>
      <c r="B306" s="188"/>
      <c r="C306" s="188"/>
      <c r="D306" s="188"/>
      <c r="E306" s="188"/>
      <c r="F306" s="188"/>
    </row>
    <row r="307" spans="1:6" ht="11.25" hidden="1" customHeight="1" outlineLevel="1">
      <c r="A307" s="188"/>
      <c r="B307" s="188" t="s">
        <v>38</v>
      </c>
      <c r="C307" s="988">
        <f>D307-D291</f>
        <v>0</v>
      </c>
      <c r="D307" s="188">
        <v>363474749.16682851</v>
      </c>
      <c r="E307" s="188"/>
      <c r="F307" s="188"/>
    </row>
    <row r="308" spans="1:6" ht="11.25" hidden="1" customHeight="1" outlineLevel="1">
      <c r="A308" s="188"/>
      <c r="B308" s="188"/>
      <c r="C308" s="988"/>
      <c r="D308" s="188"/>
      <c r="E308" s="188"/>
      <c r="F308" s="188"/>
    </row>
    <row r="309" spans="1:6" ht="11.25" hidden="1" customHeight="1" outlineLevel="1">
      <c r="A309" s="188"/>
      <c r="B309" s="188" t="s">
        <v>39</v>
      </c>
      <c r="C309" s="988">
        <f t="shared" ref="C309" si="22">D309-D293</f>
        <v>41259.434436798096</v>
      </c>
      <c r="D309" s="188">
        <v>348891778.14639616</v>
      </c>
      <c r="E309" s="188"/>
      <c r="F309" s="188"/>
    </row>
    <row r="310" spans="1:6" ht="11.25" hidden="1" customHeight="1" outlineLevel="1">
      <c r="A310" s="188"/>
      <c r="B310" s="188" t="s">
        <v>140</v>
      </c>
      <c r="C310" s="988">
        <f>D310-D294</f>
        <v>-41259.434436798096</v>
      </c>
      <c r="D310" s="188">
        <v>14582971.020432353</v>
      </c>
      <c r="E310" s="188"/>
      <c r="F310" s="188"/>
    </row>
    <row r="311" spans="1:6" ht="11.25" hidden="1" customHeight="1" outlineLevel="1">
      <c r="A311" s="188"/>
      <c r="B311" s="188"/>
      <c r="C311" s="988"/>
      <c r="D311" s="188"/>
      <c r="E311" s="188"/>
      <c r="F311" s="188"/>
    </row>
    <row r="312" spans="1:6" ht="11.25" hidden="1" customHeight="1" outlineLevel="1">
      <c r="A312" s="188"/>
      <c r="B312" s="188" t="s">
        <v>72</v>
      </c>
      <c r="C312" s="988">
        <f t="shared" ref="C312:C314" si="23">D312-D296</f>
        <v>0</v>
      </c>
      <c r="D312" s="188">
        <v>0.61905100000000002</v>
      </c>
      <c r="E312" s="188"/>
      <c r="F312" s="188"/>
    </row>
    <row r="313" spans="1:6" ht="11.25" hidden="1" customHeight="1" outlineLevel="1">
      <c r="A313" s="188"/>
      <c r="B313" s="188" t="s">
        <v>141</v>
      </c>
      <c r="C313" s="988">
        <f t="shared" si="23"/>
        <v>-66650</v>
      </c>
      <c r="D313" s="188">
        <v>23556978</v>
      </c>
      <c r="E313" s="188"/>
      <c r="F313" s="188"/>
    </row>
    <row r="314" spans="1:6" ht="11.25" hidden="1" customHeight="1" outlineLevel="1">
      <c r="A314" s="188"/>
      <c r="B314" s="188" t="s">
        <v>266</v>
      </c>
      <c r="C314" s="988">
        <f t="shared" si="23"/>
        <v>0</v>
      </c>
      <c r="D314" s="188">
        <v>405142.80924519914</v>
      </c>
      <c r="E314" s="188"/>
      <c r="F314" s="188"/>
    </row>
    <row r="315" spans="1:6" ht="11.25" hidden="1" customHeight="1" outlineLevel="1">
      <c r="A315" s="188"/>
      <c r="B315" s="188"/>
      <c r="C315" s="988"/>
      <c r="D315" s="188"/>
      <c r="E315" s="188"/>
      <c r="F315" s="188"/>
    </row>
    <row r="316" spans="1:6" ht="11.25" hidden="1" customHeight="1" outlineLevel="1">
      <c r="A316" s="188"/>
      <c r="B316" s="188" t="s">
        <v>141</v>
      </c>
      <c r="C316" s="988">
        <f t="shared" ref="C316" si="24">D316-D300</f>
        <v>-66650</v>
      </c>
      <c r="D316" s="188">
        <v>23151835.190754801</v>
      </c>
      <c r="E316" s="188"/>
      <c r="F316" s="188"/>
    </row>
    <row r="317" spans="1:6" ht="12.75" hidden="1" customHeight="1" outlineLevel="1"/>
    <row r="318" spans="1:6" ht="12.75" hidden="1" customHeight="1" outlineLevel="1"/>
    <row r="319" spans="1:6" ht="12.75" hidden="1" customHeight="1" outlineLevel="1">
      <c r="A319" s="250">
        <v>18</v>
      </c>
      <c r="B319" s="996" t="s">
        <v>1142</v>
      </c>
      <c r="C319" s="993" t="s">
        <v>960</v>
      </c>
      <c r="D319" s="993" t="s">
        <v>895</v>
      </c>
      <c r="E319" s="1180"/>
      <c r="F319" s="1180"/>
    </row>
    <row r="320" spans="1:6" ht="12.75" hidden="1" customHeight="1" outlineLevel="1">
      <c r="B320" s="188" t="s">
        <v>107</v>
      </c>
      <c r="C320" s="986">
        <f>D320-D304</f>
        <v>-24222425.422077179</v>
      </c>
      <c r="D320" s="188">
        <v>4907592352.9609423</v>
      </c>
      <c r="E320" s="188"/>
      <c r="F320" s="188"/>
    </row>
    <row r="321" spans="1:9" ht="11.25" hidden="1" customHeight="1" outlineLevel="1">
      <c r="A321" s="188"/>
      <c r="B321" s="188" t="s">
        <v>251</v>
      </c>
      <c r="C321" s="987">
        <f>D321-D305</f>
        <v>0</v>
      </c>
      <c r="D321" s="188">
        <v>7.3700000000000002E-2</v>
      </c>
      <c r="E321" s="188"/>
      <c r="F321" s="188"/>
    </row>
    <row r="322" spans="1:9" ht="11.25" hidden="1" customHeight="1" outlineLevel="1">
      <c r="A322" s="188"/>
      <c r="B322" s="188"/>
      <c r="C322" s="188"/>
      <c r="D322" s="188"/>
      <c r="E322" s="188"/>
      <c r="F322" s="188"/>
    </row>
    <row r="323" spans="1:9" ht="11.25" hidden="1" customHeight="1" outlineLevel="1">
      <c r="A323" s="188"/>
      <c r="B323" s="188" t="s">
        <v>38</v>
      </c>
      <c r="C323" s="988">
        <f>D323-D307</f>
        <v>-1785192.7536070347</v>
      </c>
      <c r="D323" s="188">
        <v>361689556.41322148</v>
      </c>
      <c r="E323" s="188"/>
      <c r="F323" s="188"/>
    </row>
    <row r="324" spans="1:9" ht="11.25" hidden="1" customHeight="1" outlineLevel="1">
      <c r="A324" s="188"/>
      <c r="B324" s="188"/>
      <c r="C324" s="988"/>
      <c r="D324" s="188"/>
      <c r="E324" s="188"/>
      <c r="F324" s="188"/>
    </row>
    <row r="325" spans="1:9" ht="11.25" hidden="1" customHeight="1" outlineLevel="1">
      <c r="A325" s="188"/>
      <c r="B325" s="188" t="s">
        <v>39</v>
      </c>
      <c r="C325" s="988">
        <f t="shared" ref="C325" si="25">D325-D309</f>
        <v>2030947.3607845306</v>
      </c>
      <c r="D325" s="188">
        <v>350922725.50718069</v>
      </c>
      <c r="E325" s="188"/>
      <c r="F325" s="188"/>
    </row>
    <row r="326" spans="1:9" ht="11.25" hidden="1" customHeight="1" outlineLevel="1">
      <c r="A326" s="188"/>
      <c r="B326" s="188" t="s">
        <v>140</v>
      </c>
      <c r="C326" s="988">
        <f>D326-D310</f>
        <v>-3816140.1143915653</v>
      </c>
      <c r="D326" s="188">
        <v>10766830.906040788</v>
      </c>
      <c r="E326" s="188"/>
      <c r="F326" s="188"/>
    </row>
    <row r="327" spans="1:9" ht="11.25" hidden="1" customHeight="1" outlineLevel="1">
      <c r="A327" s="188"/>
      <c r="B327" s="188"/>
      <c r="C327" s="988"/>
      <c r="D327" s="188"/>
      <c r="E327" s="188"/>
      <c r="F327" s="188"/>
    </row>
    <row r="328" spans="1:9" ht="11.25" hidden="1" customHeight="1" outlineLevel="1">
      <c r="A328" s="188"/>
      <c r="B328" s="188" t="s">
        <v>72</v>
      </c>
      <c r="C328" s="988">
        <f t="shared" ref="C328:C330" si="26">D328-D312</f>
        <v>0</v>
      </c>
      <c r="D328" s="188">
        <v>0.61905100000000002</v>
      </c>
      <c r="E328" s="188"/>
      <c r="F328" s="188"/>
    </row>
    <row r="329" spans="1:9" ht="11.25" hidden="1" customHeight="1" outlineLevel="1">
      <c r="A329" s="188"/>
      <c r="B329" s="188" t="s">
        <v>141</v>
      </c>
      <c r="C329" s="988">
        <f t="shared" si="26"/>
        <v>-6164500</v>
      </c>
      <c r="D329" s="188">
        <v>17392478</v>
      </c>
      <c r="E329" s="188"/>
      <c r="F329" s="188"/>
    </row>
    <row r="330" spans="1:9" ht="11.25" hidden="1" customHeight="1" outlineLevel="1">
      <c r="A330" s="188"/>
      <c r="B330" s="188" t="s">
        <v>266</v>
      </c>
      <c r="C330" s="988">
        <f t="shared" si="26"/>
        <v>0</v>
      </c>
      <c r="D330" s="188">
        <v>405142.80924519914</v>
      </c>
      <c r="E330" s="188"/>
      <c r="F330" s="188"/>
    </row>
    <row r="331" spans="1:9" ht="11.25" hidden="1" customHeight="1" outlineLevel="1">
      <c r="A331" s="188"/>
      <c r="B331" s="188"/>
      <c r="C331" s="988"/>
      <c r="D331" s="188"/>
      <c r="E331" s="188"/>
      <c r="F331" s="188"/>
    </row>
    <row r="332" spans="1:9" ht="11.25" hidden="1" customHeight="1" outlineLevel="1">
      <c r="A332" s="188"/>
      <c r="B332" s="188" t="s">
        <v>141</v>
      </c>
      <c r="C332" s="988">
        <f t="shared" ref="C332" si="27">D332-D316</f>
        <v>-6164500</v>
      </c>
      <c r="D332" s="188">
        <v>16987335.190754801</v>
      </c>
      <c r="E332" s="188"/>
      <c r="F332" s="188"/>
      <c r="I332" s="1109"/>
    </row>
    <row r="333" spans="1:9" ht="12.75" hidden="1" customHeight="1" outlineLevel="1"/>
    <row r="334" spans="1:9" ht="12.75" hidden="1" customHeight="1" outlineLevel="1"/>
    <row r="335" spans="1:9" ht="12.75" hidden="1" customHeight="1" outlineLevel="1">
      <c r="A335" s="250">
        <v>19</v>
      </c>
      <c r="B335" s="996" t="s">
        <v>1194</v>
      </c>
      <c r="C335" s="993" t="s">
        <v>960</v>
      </c>
      <c r="D335" s="993" t="s">
        <v>895</v>
      </c>
      <c r="E335" s="1180"/>
      <c r="F335" s="1180"/>
    </row>
    <row r="336" spans="1:9" ht="12.75" hidden="1" customHeight="1" outlineLevel="1">
      <c r="B336" s="188" t="s">
        <v>107</v>
      </c>
      <c r="C336" s="986">
        <f>D336-D320</f>
        <v>80164933.020309448</v>
      </c>
      <c r="D336" s="188">
        <v>4987757285.9812517</v>
      </c>
      <c r="E336" s="188"/>
      <c r="F336" s="188"/>
    </row>
    <row r="337" spans="1:9" ht="11.25" hidden="1" customHeight="1" outlineLevel="1">
      <c r="A337" s="188"/>
      <c r="B337" s="188" t="s">
        <v>251</v>
      </c>
      <c r="C337" s="987">
        <f>D337-D321</f>
        <v>0</v>
      </c>
      <c r="D337" s="188">
        <v>7.3700000000000002E-2</v>
      </c>
      <c r="E337" s="188"/>
      <c r="F337" s="188"/>
    </row>
    <row r="338" spans="1:9" ht="11.25" hidden="1" customHeight="1" outlineLevel="1">
      <c r="A338" s="188"/>
      <c r="B338" s="188"/>
      <c r="C338" s="188"/>
      <c r="D338" s="188"/>
      <c r="E338" s="188"/>
      <c r="F338" s="188"/>
    </row>
    <row r="339" spans="1:9" ht="11.25" hidden="1" customHeight="1" outlineLevel="1">
      <c r="A339" s="188"/>
      <c r="B339" s="188" t="s">
        <v>38</v>
      </c>
      <c r="C339" s="988">
        <f>D339-D323</f>
        <v>5908155.5635967851</v>
      </c>
      <c r="D339" s="188">
        <v>367597711.97681826</v>
      </c>
      <c r="E339" s="188"/>
      <c r="F339" s="188"/>
    </row>
    <row r="340" spans="1:9" ht="11.25" hidden="1" customHeight="1" outlineLevel="1">
      <c r="A340" s="188"/>
      <c r="B340" s="188"/>
      <c r="C340" s="988"/>
      <c r="D340" s="188"/>
      <c r="E340" s="188"/>
      <c r="F340" s="188"/>
    </row>
    <row r="341" spans="1:9" ht="11.25" hidden="1" customHeight="1" outlineLevel="1">
      <c r="A341" s="188"/>
      <c r="B341" s="188" t="s">
        <v>39</v>
      </c>
      <c r="C341" s="988">
        <f t="shared" ref="C341" si="28">D341-D325</f>
        <v>-6721490.0068714619</v>
      </c>
      <c r="D341" s="188">
        <v>344201235.50030923</v>
      </c>
      <c r="E341" s="188"/>
      <c r="F341" s="188"/>
    </row>
    <row r="342" spans="1:9" ht="11.25" hidden="1" customHeight="1" outlineLevel="1">
      <c r="A342" s="188"/>
      <c r="B342" s="188" t="s">
        <v>140</v>
      </c>
      <c r="C342" s="988">
        <f>D342-D326</f>
        <v>12629645.570468247</v>
      </c>
      <c r="D342" s="188">
        <v>23396476.476509035</v>
      </c>
      <c r="E342" s="188"/>
      <c r="F342" s="188"/>
    </row>
    <row r="343" spans="1:9" ht="11.25" hidden="1" customHeight="1" outlineLevel="1">
      <c r="A343" s="188"/>
      <c r="B343" s="188"/>
      <c r="C343" s="988"/>
      <c r="D343" s="188"/>
      <c r="E343" s="188"/>
      <c r="F343" s="188"/>
    </row>
    <row r="344" spans="1:9" ht="11.25" hidden="1" customHeight="1" outlineLevel="1">
      <c r="A344" s="188"/>
      <c r="B344" s="188" t="s">
        <v>72</v>
      </c>
      <c r="C344" s="988">
        <f t="shared" ref="C344:C346" si="29">D344-D328</f>
        <v>0</v>
      </c>
      <c r="D344" s="188">
        <v>0.61905100000000002</v>
      </c>
      <c r="E344" s="188"/>
      <c r="F344" s="188"/>
    </row>
    <row r="345" spans="1:9" ht="11.25" hidden="1" customHeight="1" outlineLevel="1">
      <c r="A345" s="188"/>
      <c r="B345" s="188" t="s">
        <v>141</v>
      </c>
      <c r="C345" s="988">
        <f t="shared" si="29"/>
        <v>20401624</v>
      </c>
      <c r="D345" s="188">
        <v>37794102</v>
      </c>
      <c r="E345" s="188"/>
      <c r="F345" s="188"/>
    </row>
    <row r="346" spans="1:9" ht="11.25" hidden="1" customHeight="1" outlineLevel="1">
      <c r="A346" s="188"/>
      <c r="B346" s="188" t="s">
        <v>266</v>
      </c>
      <c r="C346" s="988">
        <f t="shared" si="29"/>
        <v>0</v>
      </c>
      <c r="D346" s="188">
        <v>405142.80924519914</v>
      </c>
      <c r="E346" s="188"/>
      <c r="F346" s="188"/>
    </row>
    <row r="347" spans="1:9" ht="11.25" hidden="1" customHeight="1" outlineLevel="1">
      <c r="A347" s="188"/>
      <c r="B347" s="188"/>
      <c r="C347" s="988"/>
      <c r="D347" s="188"/>
      <c r="E347" s="188"/>
      <c r="F347" s="188"/>
    </row>
    <row r="348" spans="1:9" ht="11.25" hidden="1" customHeight="1" outlineLevel="1">
      <c r="A348" s="188"/>
      <c r="B348" s="188" t="s">
        <v>141</v>
      </c>
      <c r="C348" s="988">
        <f t="shared" ref="C348" si="30">D348-D332</f>
        <v>20401624</v>
      </c>
      <c r="D348" s="188">
        <v>37388959.190754801</v>
      </c>
      <c r="E348" s="188"/>
      <c r="F348" s="188"/>
      <c r="I348" s="1109"/>
    </row>
    <row r="349" spans="1:9" ht="12.75" hidden="1" customHeight="1" outlineLevel="1"/>
    <row r="350" spans="1:9" ht="12.75" hidden="1" customHeight="1" outlineLevel="1"/>
    <row r="351" spans="1:9" ht="12.75" hidden="1" customHeight="1" outlineLevel="1">
      <c r="A351" s="250">
        <v>20</v>
      </c>
      <c r="B351" s="996" t="s">
        <v>1217</v>
      </c>
      <c r="C351" s="993" t="s">
        <v>960</v>
      </c>
      <c r="D351" s="993" t="s">
        <v>895</v>
      </c>
    </row>
    <row r="352" spans="1:9" ht="12.75" hidden="1" customHeight="1" outlineLevel="1">
      <c r="B352" s="188" t="s">
        <v>107</v>
      </c>
      <c r="C352" s="986">
        <f>D352-D336</f>
        <v>19004590.008908272</v>
      </c>
      <c r="D352" s="188">
        <v>5006761875.99016</v>
      </c>
    </row>
    <row r="353" spans="1:4" ht="12.75" hidden="1" customHeight="1" outlineLevel="1">
      <c r="A353" s="188"/>
      <c r="B353" s="188" t="s">
        <v>251</v>
      </c>
      <c r="C353" s="987">
        <f>D353-D337</f>
        <v>0</v>
      </c>
      <c r="D353" s="188">
        <v>7.3700000000000002E-2</v>
      </c>
    </row>
    <row r="354" spans="1:4" ht="12.75" hidden="1" customHeight="1" outlineLevel="1">
      <c r="A354" s="188"/>
      <c r="B354" s="188"/>
      <c r="C354" s="188"/>
      <c r="D354" s="188"/>
    </row>
    <row r="355" spans="1:4" ht="12.75" hidden="1" customHeight="1" outlineLevel="1">
      <c r="A355" s="188"/>
      <c r="B355" s="188" t="s">
        <v>38</v>
      </c>
      <c r="C355" s="988">
        <f>D355-D339</f>
        <v>1400638.2836565375</v>
      </c>
      <c r="D355" s="188">
        <v>368998350.2604748</v>
      </c>
    </row>
    <row r="356" spans="1:4" ht="12.75" hidden="1" customHeight="1" outlineLevel="1">
      <c r="A356" s="188"/>
      <c r="B356" s="188"/>
      <c r="C356" s="988"/>
      <c r="D356" s="188"/>
    </row>
    <row r="357" spans="1:4" ht="12.75" hidden="1" customHeight="1" outlineLevel="1">
      <c r="A357" s="188"/>
      <c r="B357" s="188" t="s">
        <v>39</v>
      </c>
      <c r="C357" s="988">
        <f t="shared" ref="C357" si="31">D357-D341</f>
        <v>196222.39184212685</v>
      </c>
      <c r="D357" s="188">
        <v>344397457.89215136</v>
      </c>
    </row>
    <row r="358" spans="1:4" ht="12.75" hidden="1" customHeight="1" outlineLevel="1">
      <c r="A358" s="188"/>
      <c r="B358" s="188" t="s">
        <v>140</v>
      </c>
      <c r="C358" s="988">
        <f>D358-D342</f>
        <v>1204415.8918144107</v>
      </c>
      <c r="D358" s="188">
        <v>24600892.368323445</v>
      </c>
    </row>
    <row r="359" spans="1:4" ht="12.75" hidden="1" customHeight="1" outlineLevel="1">
      <c r="A359" s="188"/>
      <c r="B359" s="188"/>
      <c r="C359" s="988"/>
      <c r="D359" s="188"/>
    </row>
    <row r="360" spans="1:4" ht="12.75" hidden="1" customHeight="1" outlineLevel="1">
      <c r="A360" s="188"/>
      <c r="B360" s="188" t="s">
        <v>72</v>
      </c>
      <c r="C360" s="988">
        <f t="shared" ref="C360:C362" si="32">D360-D344</f>
        <v>0</v>
      </c>
      <c r="D360" s="188">
        <v>0.61905100000000002</v>
      </c>
    </row>
    <row r="361" spans="1:4" ht="12.75" hidden="1" customHeight="1" outlineLevel="1">
      <c r="A361" s="188"/>
      <c r="B361" s="188" t="s">
        <v>141</v>
      </c>
      <c r="C361" s="988">
        <f t="shared" si="32"/>
        <v>1945584</v>
      </c>
      <c r="D361" s="188">
        <v>39739686</v>
      </c>
    </row>
    <row r="362" spans="1:4" ht="12.75" hidden="1" customHeight="1" outlineLevel="1">
      <c r="A362" s="188"/>
      <c r="B362" s="188" t="s">
        <v>266</v>
      </c>
      <c r="C362" s="988">
        <f t="shared" si="32"/>
        <v>0</v>
      </c>
      <c r="D362" s="188">
        <v>405142.80924519914</v>
      </c>
    </row>
    <row r="363" spans="1:4" ht="12.75" hidden="1" customHeight="1" outlineLevel="1">
      <c r="A363" s="188"/>
      <c r="B363" s="188"/>
      <c r="C363" s="988"/>
      <c r="D363" s="188"/>
    </row>
    <row r="364" spans="1:4" ht="12.75" hidden="1" customHeight="1" outlineLevel="1">
      <c r="A364" s="188"/>
      <c r="B364" s="188" t="s">
        <v>141</v>
      </c>
      <c r="C364" s="988">
        <f t="shared" ref="C364" si="33">D364-D348</f>
        <v>1945584</v>
      </c>
      <c r="D364" s="188">
        <v>39334543.190754801</v>
      </c>
    </row>
    <row r="365" spans="1:4" ht="12.75" hidden="1" customHeight="1" outlineLevel="1">
      <c r="A365" s="260"/>
      <c r="B365" s="188"/>
      <c r="C365" s="188"/>
      <c r="D365" s="188"/>
    </row>
    <row r="366" spans="1:4" ht="12.75" hidden="1" customHeight="1" outlineLevel="1"/>
    <row r="367" spans="1:4" ht="12.75" hidden="1" customHeight="1" outlineLevel="1">
      <c r="A367" s="250">
        <v>21</v>
      </c>
      <c r="B367" s="996" t="s">
        <v>1222</v>
      </c>
      <c r="C367" s="993" t="s">
        <v>960</v>
      </c>
      <c r="D367" s="993" t="s">
        <v>895</v>
      </c>
    </row>
    <row r="368" spans="1:4" ht="12.75" hidden="1" customHeight="1" outlineLevel="1">
      <c r="B368" s="188" t="s">
        <v>107</v>
      </c>
      <c r="C368" s="986">
        <f>D368-D352</f>
        <v>275239.95183086395</v>
      </c>
      <c r="D368" s="188">
        <v>5007037115.9419909</v>
      </c>
    </row>
    <row r="369" spans="1:4" ht="12.75" hidden="1" customHeight="1" outlineLevel="1">
      <c r="A369" s="188"/>
      <c r="B369" s="188" t="s">
        <v>251</v>
      </c>
      <c r="C369" s="987">
        <f>D369-D353</f>
        <v>0</v>
      </c>
      <c r="D369" s="188">
        <v>7.3700000000000002E-2</v>
      </c>
    </row>
    <row r="370" spans="1:4" ht="12.75" hidden="1" customHeight="1" outlineLevel="1">
      <c r="A370" s="188"/>
      <c r="B370" s="188"/>
      <c r="C370" s="188"/>
      <c r="D370" s="188"/>
    </row>
    <row r="371" spans="1:4" ht="12.75" hidden="1" customHeight="1" outlineLevel="1">
      <c r="A371" s="188"/>
      <c r="B371" s="188" t="s">
        <v>38</v>
      </c>
      <c r="C371" s="988">
        <f>D371-D355</f>
        <v>20285.184449911118</v>
      </c>
      <c r="D371" s="188">
        <v>369018635.44492471</v>
      </c>
    </row>
    <row r="372" spans="1:4" ht="12.75" hidden="1" customHeight="1" outlineLevel="1">
      <c r="A372" s="188"/>
      <c r="B372" s="188"/>
      <c r="C372" s="988"/>
      <c r="D372" s="188"/>
    </row>
    <row r="373" spans="1:4" ht="12.75" hidden="1" customHeight="1" outlineLevel="1">
      <c r="A373" s="188"/>
      <c r="B373" s="188" t="s">
        <v>39</v>
      </c>
      <c r="C373" s="988">
        <f t="shared" ref="C373" si="34">D373-D357</f>
        <v>2841.8525025844574</v>
      </c>
      <c r="D373" s="188">
        <v>344400299.74465394</v>
      </c>
    </row>
    <row r="374" spans="1:4" ht="12.75" hidden="1" customHeight="1" outlineLevel="1">
      <c r="A374" s="188"/>
      <c r="B374" s="188" t="s">
        <v>140</v>
      </c>
      <c r="C374" s="988">
        <f>D374-D358</f>
        <v>17443.33194732666</v>
      </c>
      <c r="D374" s="188">
        <v>24618335.700270772</v>
      </c>
    </row>
    <row r="375" spans="1:4" ht="12.75" hidden="1" customHeight="1" outlineLevel="1">
      <c r="A375" s="188"/>
      <c r="B375" s="188"/>
      <c r="C375" s="988"/>
      <c r="D375" s="188"/>
    </row>
    <row r="376" spans="1:4" ht="12.75" hidden="1" customHeight="1" outlineLevel="1">
      <c r="A376" s="188"/>
      <c r="B376" s="188" t="s">
        <v>72</v>
      </c>
      <c r="C376" s="988">
        <f t="shared" ref="C376:C378" si="35">D376-D360</f>
        <v>0</v>
      </c>
      <c r="D376" s="188">
        <v>0.61905100000000002</v>
      </c>
    </row>
    <row r="377" spans="1:4" hidden="1" outlineLevel="1">
      <c r="A377" s="188"/>
      <c r="B377" s="188" t="s">
        <v>141</v>
      </c>
      <c r="C377" s="988">
        <f t="shared" si="35"/>
        <v>28178</v>
      </c>
      <c r="D377" s="188">
        <v>39767864</v>
      </c>
    </row>
    <row r="378" spans="1:4" hidden="1" outlineLevel="1">
      <c r="A378" s="188"/>
      <c r="B378" s="188" t="s">
        <v>266</v>
      </c>
      <c r="C378" s="988">
        <f t="shared" si="35"/>
        <v>0</v>
      </c>
      <c r="D378" s="188">
        <v>405142.80924519914</v>
      </c>
    </row>
    <row r="379" spans="1:4" hidden="1" outlineLevel="1">
      <c r="A379" s="188"/>
      <c r="B379" s="188"/>
      <c r="C379" s="988"/>
      <c r="D379" s="188"/>
    </row>
    <row r="380" spans="1:4" hidden="1" outlineLevel="1">
      <c r="A380" s="188"/>
      <c r="B380" s="188" t="s">
        <v>141</v>
      </c>
      <c r="C380" s="988">
        <f t="shared" ref="C380" si="36">D380-D364</f>
        <v>28178</v>
      </c>
      <c r="D380" s="188">
        <v>39362721.190754801</v>
      </c>
    </row>
    <row r="381" spans="1:4" hidden="1" outlineLevel="1"/>
    <row r="382" spans="1:4" hidden="1" outlineLevel="1"/>
    <row r="383" spans="1:4" hidden="1" outlineLevel="1"/>
    <row r="384" spans="1:4" hidden="1" outlineLevel="1"/>
    <row r="385" hidden="1" outlineLevel="1"/>
    <row r="386" hidden="1" outlineLevel="1"/>
    <row r="387" hidden="1" outlineLevel="1"/>
    <row r="388" hidden="1" outlineLevel="1"/>
    <row r="389" hidden="1" outlineLevel="1"/>
    <row r="390" hidden="1" outlineLevel="1"/>
    <row r="391" hidden="1" outlineLevel="1"/>
    <row r="392" hidden="1" outlineLevel="1"/>
    <row r="393" hidden="1" outlineLevel="1"/>
    <row r="394" hidden="1" outlineLevel="1"/>
    <row r="395" hidden="1" outlineLevel="1"/>
    <row r="396" hidden="1" outlineLevel="1"/>
    <row r="397" hidden="1" outlineLevel="1"/>
    <row r="398" hidden="1" outlineLevel="1"/>
    <row r="399" hidden="1" outlineLevel="1"/>
    <row r="400" hidden="1" outlineLevel="1"/>
    <row r="401" collapsed="1"/>
  </sheetData>
  <mergeCells count="2">
    <mergeCell ref="D27:F28"/>
    <mergeCell ref="A5:F5"/>
  </mergeCells>
  <phoneticPr fontId="17" type="noConversion"/>
  <printOptions horizontalCentered="1"/>
  <pageMargins left="1" right="0.7" top="1"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D76"/>
  <sheetViews>
    <sheetView topLeftCell="E1" zoomScale="90" zoomScaleNormal="90" workbookViewId="0">
      <selection activeCell="AD21" sqref="AD21"/>
    </sheetView>
  </sheetViews>
  <sheetFormatPr defaultRowHeight="12" outlineLevelCol="1"/>
  <cols>
    <col min="1" max="1" width="5.6640625" style="188" customWidth="1"/>
    <col min="2" max="2" width="11.6640625" style="188" customWidth="1"/>
    <col min="3" max="3" width="86.6640625" style="188" bestFit="1" customWidth="1"/>
    <col min="4" max="4" width="3.33203125" style="1085" customWidth="1"/>
    <col min="5" max="5" width="2.83203125" style="188" customWidth="1"/>
    <col min="6" max="6" width="21.83203125" style="188" customWidth="1"/>
    <col min="7" max="7" width="25.5" style="188" customWidth="1"/>
    <col min="8" max="8" width="21" style="188" customWidth="1"/>
    <col min="9" max="9" width="18.5" style="188" customWidth="1"/>
    <col min="10" max="10" width="18.5" style="997" customWidth="1"/>
    <col min="11" max="11" width="21.5" style="997" customWidth="1"/>
    <col min="12" max="12" width="18.5" style="188" customWidth="1"/>
    <col min="13" max="13" width="20" style="188" bestFit="1" customWidth="1"/>
    <col min="14" max="14" width="23.5" style="188" bestFit="1" customWidth="1"/>
    <col min="15" max="15" width="23.5" style="188" customWidth="1"/>
    <col min="16" max="16" width="14.5" style="188" bestFit="1" customWidth="1"/>
    <col min="17" max="18" width="21.83203125" style="188" customWidth="1"/>
    <col min="19" max="19" width="1.5" style="188" customWidth="1"/>
    <col min="20" max="20" width="1.6640625" style="188" customWidth="1"/>
    <col min="21" max="21" width="20.5" style="188" customWidth="1"/>
    <col min="22" max="23" width="9.33203125" style="188"/>
    <col min="24" max="24" width="12" style="188" customWidth="1"/>
    <col min="25" max="26" width="7.83203125" style="188" customWidth="1"/>
    <col min="27" max="29" width="21.33203125" style="188" hidden="1" customWidth="1" outlineLevel="1"/>
    <col min="30" max="30" width="9.33203125" style="188" collapsed="1"/>
    <col min="31" max="257" width="9.33203125" style="188"/>
    <col min="258" max="258" width="5.6640625" style="188" customWidth="1"/>
    <col min="259" max="259" width="11.6640625" style="188" customWidth="1"/>
    <col min="260" max="260" width="48" style="188" customWidth="1"/>
    <col min="261" max="261" width="3.83203125" style="188" customWidth="1"/>
    <col min="262" max="262" width="2.83203125" style="188" customWidth="1"/>
    <col min="263" max="263" width="21.83203125" style="188" customWidth="1"/>
    <col min="264" max="264" width="25.5" style="188" customWidth="1"/>
    <col min="265" max="265" width="21" style="188" customWidth="1"/>
    <col min="266" max="267" width="0" style="188" hidden="1" customWidth="1"/>
    <col min="268" max="268" width="18.5" style="188" customWidth="1"/>
    <col min="269" max="269" width="20" style="188" bestFit="1" customWidth="1"/>
    <col min="270" max="270" width="23.5" style="188" bestFit="1" customWidth="1"/>
    <col min="271" max="271" width="0" style="188" hidden="1" customWidth="1"/>
    <col min="272" max="272" width="21.33203125" style="188" bestFit="1" customWidth="1"/>
    <col min="273" max="273" width="14.5" style="188" bestFit="1" customWidth="1"/>
    <col min="274" max="274" width="22.1640625" style="188" customWidth="1"/>
    <col min="275" max="275" width="1.5" style="188" customWidth="1"/>
    <col min="276" max="276" width="1.6640625" style="188" customWidth="1"/>
    <col min="277" max="277" width="17.83203125" style="188" customWidth="1"/>
    <col min="278" max="513" width="9.33203125" style="188"/>
    <col min="514" max="514" width="5.6640625" style="188" customWidth="1"/>
    <col min="515" max="515" width="11.6640625" style="188" customWidth="1"/>
    <col min="516" max="516" width="48" style="188" customWidth="1"/>
    <col min="517" max="517" width="3.83203125" style="188" customWidth="1"/>
    <col min="518" max="518" width="2.83203125" style="188" customWidth="1"/>
    <col min="519" max="519" width="21.83203125" style="188" customWidth="1"/>
    <col min="520" max="520" width="25.5" style="188" customWidth="1"/>
    <col min="521" max="521" width="21" style="188" customWidth="1"/>
    <col min="522" max="523" width="0" style="188" hidden="1" customWidth="1"/>
    <col min="524" max="524" width="18.5" style="188" customWidth="1"/>
    <col min="525" max="525" width="20" style="188" bestFit="1" customWidth="1"/>
    <col min="526" max="526" width="23.5" style="188" bestFit="1" customWidth="1"/>
    <col min="527" max="527" width="0" style="188" hidden="1" customWidth="1"/>
    <col min="528" max="528" width="21.33203125" style="188" bestFit="1" customWidth="1"/>
    <col min="529" max="529" width="14.5" style="188" bestFit="1" customWidth="1"/>
    <col min="530" max="530" width="22.1640625" style="188" customWidth="1"/>
    <col min="531" max="531" width="1.5" style="188" customWidth="1"/>
    <col min="532" max="532" width="1.6640625" style="188" customWidth="1"/>
    <col min="533" max="533" width="17.83203125" style="188" customWidth="1"/>
    <col min="534" max="769" width="9.33203125" style="188"/>
    <col min="770" max="770" width="5.6640625" style="188" customWidth="1"/>
    <col min="771" max="771" width="11.6640625" style="188" customWidth="1"/>
    <col min="772" max="772" width="48" style="188" customWidth="1"/>
    <col min="773" max="773" width="3.83203125" style="188" customWidth="1"/>
    <col min="774" max="774" width="2.83203125" style="188" customWidth="1"/>
    <col min="775" max="775" width="21.83203125" style="188" customWidth="1"/>
    <col min="776" max="776" width="25.5" style="188" customWidth="1"/>
    <col min="777" max="777" width="21" style="188" customWidth="1"/>
    <col min="778" max="779" width="0" style="188" hidden="1" customWidth="1"/>
    <col min="780" max="780" width="18.5" style="188" customWidth="1"/>
    <col min="781" max="781" width="20" style="188" bestFit="1" customWidth="1"/>
    <col min="782" max="782" width="23.5" style="188" bestFit="1" customWidth="1"/>
    <col min="783" max="783" width="0" style="188" hidden="1" customWidth="1"/>
    <col min="784" max="784" width="21.33203125" style="188" bestFit="1" customWidth="1"/>
    <col min="785" max="785" width="14.5" style="188" bestFit="1" customWidth="1"/>
    <col min="786" max="786" width="22.1640625" style="188" customWidth="1"/>
    <col min="787" max="787" width="1.5" style="188" customWidth="1"/>
    <col min="788" max="788" width="1.6640625" style="188" customWidth="1"/>
    <col min="789" max="789" width="17.83203125" style="188" customWidth="1"/>
    <col min="790" max="1025" width="9.33203125" style="188"/>
    <col min="1026" max="1026" width="5.6640625" style="188" customWidth="1"/>
    <col min="1027" max="1027" width="11.6640625" style="188" customWidth="1"/>
    <col min="1028" max="1028" width="48" style="188" customWidth="1"/>
    <col min="1029" max="1029" width="3.83203125" style="188" customWidth="1"/>
    <col min="1030" max="1030" width="2.83203125" style="188" customWidth="1"/>
    <col min="1031" max="1031" width="21.83203125" style="188" customWidth="1"/>
    <col min="1032" max="1032" width="25.5" style="188" customWidth="1"/>
    <col min="1033" max="1033" width="21" style="188" customWidth="1"/>
    <col min="1034" max="1035" width="0" style="188" hidden="1" customWidth="1"/>
    <col min="1036" max="1036" width="18.5" style="188" customWidth="1"/>
    <col min="1037" max="1037" width="20" style="188" bestFit="1" customWidth="1"/>
    <col min="1038" max="1038" width="23.5" style="188" bestFit="1" customWidth="1"/>
    <col min="1039" max="1039" width="0" style="188" hidden="1" customWidth="1"/>
    <col min="1040" max="1040" width="21.33203125" style="188" bestFit="1" customWidth="1"/>
    <col min="1041" max="1041" width="14.5" style="188" bestFit="1" customWidth="1"/>
    <col min="1042" max="1042" width="22.1640625" style="188" customWidth="1"/>
    <col min="1043" max="1043" width="1.5" style="188" customWidth="1"/>
    <col min="1044" max="1044" width="1.6640625" style="188" customWidth="1"/>
    <col min="1045" max="1045" width="17.83203125" style="188" customWidth="1"/>
    <col min="1046" max="1281" width="9.33203125" style="188"/>
    <col min="1282" max="1282" width="5.6640625" style="188" customWidth="1"/>
    <col min="1283" max="1283" width="11.6640625" style="188" customWidth="1"/>
    <col min="1284" max="1284" width="48" style="188" customWidth="1"/>
    <col min="1285" max="1285" width="3.83203125" style="188" customWidth="1"/>
    <col min="1286" max="1286" width="2.83203125" style="188" customWidth="1"/>
    <col min="1287" max="1287" width="21.83203125" style="188" customWidth="1"/>
    <col min="1288" max="1288" width="25.5" style="188" customWidth="1"/>
    <col min="1289" max="1289" width="21" style="188" customWidth="1"/>
    <col min="1290" max="1291" width="0" style="188" hidden="1" customWidth="1"/>
    <col min="1292" max="1292" width="18.5" style="188" customWidth="1"/>
    <col min="1293" max="1293" width="20" style="188" bestFit="1" customWidth="1"/>
    <col min="1294" max="1294" width="23.5" style="188" bestFit="1" customWidth="1"/>
    <col min="1295" max="1295" width="0" style="188" hidden="1" customWidth="1"/>
    <col min="1296" max="1296" width="21.33203125" style="188" bestFit="1" customWidth="1"/>
    <col min="1297" max="1297" width="14.5" style="188" bestFit="1" customWidth="1"/>
    <col min="1298" max="1298" width="22.1640625" style="188" customWidth="1"/>
    <col min="1299" max="1299" width="1.5" style="188" customWidth="1"/>
    <col min="1300" max="1300" width="1.6640625" style="188" customWidth="1"/>
    <col min="1301" max="1301" width="17.83203125" style="188" customWidth="1"/>
    <col min="1302" max="1537" width="9.33203125" style="188"/>
    <col min="1538" max="1538" width="5.6640625" style="188" customWidth="1"/>
    <col min="1539" max="1539" width="11.6640625" style="188" customWidth="1"/>
    <col min="1540" max="1540" width="48" style="188" customWidth="1"/>
    <col min="1541" max="1541" width="3.83203125" style="188" customWidth="1"/>
    <col min="1542" max="1542" width="2.83203125" style="188" customWidth="1"/>
    <col min="1543" max="1543" width="21.83203125" style="188" customWidth="1"/>
    <col min="1544" max="1544" width="25.5" style="188" customWidth="1"/>
    <col min="1545" max="1545" width="21" style="188" customWidth="1"/>
    <col min="1546" max="1547" width="0" style="188" hidden="1" customWidth="1"/>
    <col min="1548" max="1548" width="18.5" style="188" customWidth="1"/>
    <col min="1549" max="1549" width="20" style="188" bestFit="1" customWidth="1"/>
    <col min="1550" max="1550" width="23.5" style="188" bestFit="1" customWidth="1"/>
    <col min="1551" max="1551" width="0" style="188" hidden="1" customWidth="1"/>
    <col min="1552" max="1552" width="21.33203125" style="188" bestFit="1" customWidth="1"/>
    <col min="1553" max="1553" width="14.5" style="188" bestFit="1" customWidth="1"/>
    <col min="1554" max="1554" width="22.1640625" style="188" customWidth="1"/>
    <col min="1555" max="1555" width="1.5" style="188" customWidth="1"/>
    <col min="1556" max="1556" width="1.6640625" style="188" customWidth="1"/>
    <col min="1557" max="1557" width="17.83203125" style="188" customWidth="1"/>
    <col min="1558" max="1793" width="9.33203125" style="188"/>
    <col min="1794" max="1794" width="5.6640625" style="188" customWidth="1"/>
    <col min="1795" max="1795" width="11.6640625" style="188" customWidth="1"/>
    <col min="1796" max="1796" width="48" style="188" customWidth="1"/>
    <col min="1797" max="1797" width="3.83203125" style="188" customWidth="1"/>
    <col min="1798" max="1798" width="2.83203125" style="188" customWidth="1"/>
    <col min="1799" max="1799" width="21.83203125" style="188" customWidth="1"/>
    <col min="1800" max="1800" width="25.5" style="188" customWidth="1"/>
    <col min="1801" max="1801" width="21" style="188" customWidth="1"/>
    <col min="1802" max="1803" width="0" style="188" hidden="1" customWidth="1"/>
    <col min="1804" max="1804" width="18.5" style="188" customWidth="1"/>
    <col min="1805" max="1805" width="20" style="188" bestFit="1" customWidth="1"/>
    <col min="1806" max="1806" width="23.5" style="188" bestFit="1" customWidth="1"/>
    <col min="1807" max="1807" width="0" style="188" hidden="1" customWidth="1"/>
    <col min="1808" max="1808" width="21.33203125" style="188" bestFit="1" customWidth="1"/>
    <col min="1809" max="1809" width="14.5" style="188" bestFit="1" customWidth="1"/>
    <col min="1810" max="1810" width="22.1640625" style="188" customWidth="1"/>
    <col min="1811" max="1811" width="1.5" style="188" customWidth="1"/>
    <col min="1812" max="1812" width="1.6640625" style="188" customWidth="1"/>
    <col min="1813" max="1813" width="17.83203125" style="188" customWidth="1"/>
    <col min="1814" max="2049" width="9.33203125" style="188"/>
    <col min="2050" max="2050" width="5.6640625" style="188" customWidth="1"/>
    <col min="2051" max="2051" width="11.6640625" style="188" customWidth="1"/>
    <col min="2052" max="2052" width="48" style="188" customWidth="1"/>
    <col min="2053" max="2053" width="3.83203125" style="188" customWidth="1"/>
    <col min="2054" max="2054" width="2.83203125" style="188" customWidth="1"/>
    <col min="2055" max="2055" width="21.83203125" style="188" customWidth="1"/>
    <col min="2056" max="2056" width="25.5" style="188" customWidth="1"/>
    <col min="2057" max="2057" width="21" style="188" customWidth="1"/>
    <col min="2058" max="2059" width="0" style="188" hidden="1" customWidth="1"/>
    <col min="2060" max="2060" width="18.5" style="188" customWidth="1"/>
    <col min="2061" max="2061" width="20" style="188" bestFit="1" customWidth="1"/>
    <col min="2062" max="2062" width="23.5" style="188" bestFit="1" customWidth="1"/>
    <col min="2063" max="2063" width="0" style="188" hidden="1" customWidth="1"/>
    <col min="2064" max="2064" width="21.33203125" style="188" bestFit="1" customWidth="1"/>
    <col min="2065" max="2065" width="14.5" style="188" bestFit="1" customWidth="1"/>
    <col min="2066" max="2066" width="22.1640625" style="188" customWidth="1"/>
    <col min="2067" max="2067" width="1.5" style="188" customWidth="1"/>
    <col min="2068" max="2068" width="1.6640625" style="188" customWidth="1"/>
    <col min="2069" max="2069" width="17.83203125" style="188" customWidth="1"/>
    <col min="2070" max="2305" width="9.33203125" style="188"/>
    <col min="2306" max="2306" width="5.6640625" style="188" customWidth="1"/>
    <col min="2307" max="2307" width="11.6640625" style="188" customWidth="1"/>
    <col min="2308" max="2308" width="48" style="188" customWidth="1"/>
    <col min="2309" max="2309" width="3.83203125" style="188" customWidth="1"/>
    <col min="2310" max="2310" width="2.83203125" style="188" customWidth="1"/>
    <col min="2311" max="2311" width="21.83203125" style="188" customWidth="1"/>
    <col min="2312" max="2312" width="25.5" style="188" customWidth="1"/>
    <col min="2313" max="2313" width="21" style="188" customWidth="1"/>
    <col min="2314" max="2315" width="0" style="188" hidden="1" customWidth="1"/>
    <col min="2316" max="2316" width="18.5" style="188" customWidth="1"/>
    <col min="2317" max="2317" width="20" style="188" bestFit="1" customWidth="1"/>
    <col min="2318" max="2318" width="23.5" style="188" bestFit="1" customWidth="1"/>
    <col min="2319" max="2319" width="0" style="188" hidden="1" customWidth="1"/>
    <col min="2320" max="2320" width="21.33203125" style="188" bestFit="1" customWidth="1"/>
    <col min="2321" max="2321" width="14.5" style="188" bestFit="1" customWidth="1"/>
    <col min="2322" max="2322" width="22.1640625" style="188" customWidth="1"/>
    <col min="2323" max="2323" width="1.5" style="188" customWidth="1"/>
    <col min="2324" max="2324" width="1.6640625" style="188" customWidth="1"/>
    <col min="2325" max="2325" width="17.83203125" style="188" customWidth="1"/>
    <col min="2326" max="2561" width="9.33203125" style="188"/>
    <col min="2562" max="2562" width="5.6640625" style="188" customWidth="1"/>
    <col min="2563" max="2563" width="11.6640625" style="188" customWidth="1"/>
    <col min="2564" max="2564" width="48" style="188" customWidth="1"/>
    <col min="2565" max="2565" width="3.83203125" style="188" customWidth="1"/>
    <col min="2566" max="2566" width="2.83203125" style="188" customWidth="1"/>
    <col min="2567" max="2567" width="21.83203125" style="188" customWidth="1"/>
    <col min="2568" max="2568" width="25.5" style="188" customWidth="1"/>
    <col min="2569" max="2569" width="21" style="188" customWidth="1"/>
    <col min="2570" max="2571" width="0" style="188" hidden="1" customWidth="1"/>
    <col min="2572" max="2572" width="18.5" style="188" customWidth="1"/>
    <col min="2573" max="2573" width="20" style="188" bestFit="1" customWidth="1"/>
    <col min="2574" max="2574" width="23.5" style="188" bestFit="1" customWidth="1"/>
    <col min="2575" max="2575" width="0" style="188" hidden="1" customWidth="1"/>
    <col min="2576" max="2576" width="21.33203125" style="188" bestFit="1" customWidth="1"/>
    <col min="2577" max="2577" width="14.5" style="188" bestFit="1" customWidth="1"/>
    <col min="2578" max="2578" width="22.1640625" style="188" customWidth="1"/>
    <col min="2579" max="2579" width="1.5" style="188" customWidth="1"/>
    <col min="2580" max="2580" width="1.6640625" style="188" customWidth="1"/>
    <col min="2581" max="2581" width="17.83203125" style="188" customWidth="1"/>
    <col min="2582" max="2817" width="9.33203125" style="188"/>
    <col min="2818" max="2818" width="5.6640625" style="188" customWidth="1"/>
    <col min="2819" max="2819" width="11.6640625" style="188" customWidth="1"/>
    <col min="2820" max="2820" width="48" style="188" customWidth="1"/>
    <col min="2821" max="2821" width="3.83203125" style="188" customWidth="1"/>
    <col min="2822" max="2822" width="2.83203125" style="188" customWidth="1"/>
    <col min="2823" max="2823" width="21.83203125" style="188" customWidth="1"/>
    <col min="2824" max="2824" width="25.5" style="188" customWidth="1"/>
    <col min="2825" max="2825" width="21" style="188" customWidth="1"/>
    <col min="2826" max="2827" width="0" style="188" hidden="1" customWidth="1"/>
    <col min="2828" max="2828" width="18.5" style="188" customWidth="1"/>
    <col min="2829" max="2829" width="20" style="188" bestFit="1" customWidth="1"/>
    <col min="2830" max="2830" width="23.5" style="188" bestFit="1" customWidth="1"/>
    <col min="2831" max="2831" width="0" style="188" hidden="1" customWidth="1"/>
    <col min="2832" max="2832" width="21.33203125" style="188" bestFit="1" customWidth="1"/>
    <col min="2833" max="2833" width="14.5" style="188" bestFit="1" customWidth="1"/>
    <col min="2834" max="2834" width="22.1640625" style="188" customWidth="1"/>
    <col min="2835" max="2835" width="1.5" style="188" customWidth="1"/>
    <col min="2836" max="2836" width="1.6640625" style="188" customWidth="1"/>
    <col min="2837" max="2837" width="17.83203125" style="188" customWidth="1"/>
    <col min="2838" max="3073" width="9.33203125" style="188"/>
    <col min="3074" max="3074" width="5.6640625" style="188" customWidth="1"/>
    <col min="3075" max="3075" width="11.6640625" style="188" customWidth="1"/>
    <col min="3076" max="3076" width="48" style="188" customWidth="1"/>
    <col min="3077" max="3077" width="3.83203125" style="188" customWidth="1"/>
    <col min="3078" max="3078" width="2.83203125" style="188" customWidth="1"/>
    <col min="3079" max="3079" width="21.83203125" style="188" customWidth="1"/>
    <col min="3080" max="3080" width="25.5" style="188" customWidth="1"/>
    <col min="3081" max="3081" width="21" style="188" customWidth="1"/>
    <col min="3082" max="3083" width="0" style="188" hidden="1" customWidth="1"/>
    <col min="3084" max="3084" width="18.5" style="188" customWidth="1"/>
    <col min="3085" max="3085" width="20" style="188" bestFit="1" customWidth="1"/>
    <col min="3086" max="3086" width="23.5" style="188" bestFit="1" customWidth="1"/>
    <col min="3087" max="3087" width="0" style="188" hidden="1" customWidth="1"/>
    <col min="3088" max="3088" width="21.33203125" style="188" bestFit="1" customWidth="1"/>
    <col min="3089" max="3089" width="14.5" style="188" bestFit="1" customWidth="1"/>
    <col min="3090" max="3090" width="22.1640625" style="188" customWidth="1"/>
    <col min="3091" max="3091" width="1.5" style="188" customWidth="1"/>
    <col min="3092" max="3092" width="1.6640625" style="188" customWidth="1"/>
    <col min="3093" max="3093" width="17.83203125" style="188" customWidth="1"/>
    <col min="3094" max="3329" width="9.33203125" style="188"/>
    <col min="3330" max="3330" width="5.6640625" style="188" customWidth="1"/>
    <col min="3331" max="3331" width="11.6640625" style="188" customWidth="1"/>
    <col min="3332" max="3332" width="48" style="188" customWidth="1"/>
    <col min="3333" max="3333" width="3.83203125" style="188" customWidth="1"/>
    <col min="3334" max="3334" width="2.83203125" style="188" customWidth="1"/>
    <col min="3335" max="3335" width="21.83203125" style="188" customWidth="1"/>
    <col min="3336" max="3336" width="25.5" style="188" customWidth="1"/>
    <col min="3337" max="3337" width="21" style="188" customWidth="1"/>
    <col min="3338" max="3339" width="0" style="188" hidden="1" customWidth="1"/>
    <col min="3340" max="3340" width="18.5" style="188" customWidth="1"/>
    <col min="3341" max="3341" width="20" style="188" bestFit="1" customWidth="1"/>
    <col min="3342" max="3342" width="23.5" style="188" bestFit="1" customWidth="1"/>
    <col min="3343" max="3343" width="0" style="188" hidden="1" customWidth="1"/>
    <col min="3344" max="3344" width="21.33203125" style="188" bestFit="1" customWidth="1"/>
    <col min="3345" max="3345" width="14.5" style="188" bestFit="1" customWidth="1"/>
    <col min="3346" max="3346" width="22.1640625" style="188" customWidth="1"/>
    <col min="3347" max="3347" width="1.5" style="188" customWidth="1"/>
    <col min="3348" max="3348" width="1.6640625" style="188" customWidth="1"/>
    <col min="3349" max="3349" width="17.83203125" style="188" customWidth="1"/>
    <col min="3350" max="3585" width="9.33203125" style="188"/>
    <col min="3586" max="3586" width="5.6640625" style="188" customWidth="1"/>
    <col min="3587" max="3587" width="11.6640625" style="188" customWidth="1"/>
    <col min="3588" max="3588" width="48" style="188" customWidth="1"/>
    <col min="3589" max="3589" width="3.83203125" style="188" customWidth="1"/>
    <col min="3590" max="3590" width="2.83203125" style="188" customWidth="1"/>
    <col min="3591" max="3591" width="21.83203125" style="188" customWidth="1"/>
    <col min="3592" max="3592" width="25.5" style="188" customWidth="1"/>
    <col min="3593" max="3593" width="21" style="188" customWidth="1"/>
    <col min="3594" max="3595" width="0" style="188" hidden="1" customWidth="1"/>
    <col min="3596" max="3596" width="18.5" style="188" customWidth="1"/>
    <col min="3597" max="3597" width="20" style="188" bestFit="1" customWidth="1"/>
    <col min="3598" max="3598" width="23.5" style="188" bestFit="1" customWidth="1"/>
    <col min="3599" max="3599" width="0" style="188" hidden="1" customWidth="1"/>
    <col min="3600" max="3600" width="21.33203125" style="188" bestFit="1" customWidth="1"/>
    <col min="3601" max="3601" width="14.5" style="188" bestFit="1" customWidth="1"/>
    <col min="3602" max="3602" width="22.1640625" style="188" customWidth="1"/>
    <col min="3603" max="3603" width="1.5" style="188" customWidth="1"/>
    <col min="3604" max="3604" width="1.6640625" style="188" customWidth="1"/>
    <col min="3605" max="3605" width="17.83203125" style="188" customWidth="1"/>
    <col min="3606" max="3841" width="9.33203125" style="188"/>
    <col min="3842" max="3842" width="5.6640625" style="188" customWidth="1"/>
    <col min="3843" max="3843" width="11.6640625" style="188" customWidth="1"/>
    <col min="3844" max="3844" width="48" style="188" customWidth="1"/>
    <col min="3845" max="3845" width="3.83203125" style="188" customWidth="1"/>
    <col min="3846" max="3846" width="2.83203125" style="188" customWidth="1"/>
    <col min="3847" max="3847" width="21.83203125" style="188" customWidth="1"/>
    <col min="3848" max="3848" width="25.5" style="188" customWidth="1"/>
    <col min="3849" max="3849" width="21" style="188" customWidth="1"/>
    <col min="3850" max="3851" width="0" style="188" hidden="1" customWidth="1"/>
    <col min="3852" max="3852" width="18.5" style="188" customWidth="1"/>
    <col min="3853" max="3853" width="20" style="188" bestFit="1" customWidth="1"/>
    <col min="3854" max="3854" width="23.5" style="188" bestFit="1" customWidth="1"/>
    <col min="3855" max="3855" width="0" style="188" hidden="1" customWidth="1"/>
    <col min="3856" max="3856" width="21.33203125" style="188" bestFit="1" customWidth="1"/>
    <col min="3857" max="3857" width="14.5" style="188" bestFit="1" customWidth="1"/>
    <col min="3858" max="3858" width="22.1640625" style="188" customWidth="1"/>
    <col min="3859" max="3859" width="1.5" style="188" customWidth="1"/>
    <col min="3860" max="3860" width="1.6640625" style="188" customWidth="1"/>
    <col min="3861" max="3861" width="17.83203125" style="188" customWidth="1"/>
    <col min="3862" max="4097" width="9.33203125" style="188"/>
    <col min="4098" max="4098" width="5.6640625" style="188" customWidth="1"/>
    <col min="4099" max="4099" width="11.6640625" style="188" customWidth="1"/>
    <col min="4100" max="4100" width="48" style="188" customWidth="1"/>
    <col min="4101" max="4101" width="3.83203125" style="188" customWidth="1"/>
    <col min="4102" max="4102" width="2.83203125" style="188" customWidth="1"/>
    <col min="4103" max="4103" width="21.83203125" style="188" customWidth="1"/>
    <col min="4104" max="4104" width="25.5" style="188" customWidth="1"/>
    <col min="4105" max="4105" width="21" style="188" customWidth="1"/>
    <col min="4106" max="4107" width="0" style="188" hidden="1" customWidth="1"/>
    <col min="4108" max="4108" width="18.5" style="188" customWidth="1"/>
    <col min="4109" max="4109" width="20" style="188" bestFit="1" customWidth="1"/>
    <col min="4110" max="4110" width="23.5" style="188" bestFit="1" customWidth="1"/>
    <col min="4111" max="4111" width="0" style="188" hidden="1" customWidth="1"/>
    <col min="4112" max="4112" width="21.33203125" style="188" bestFit="1" customWidth="1"/>
    <col min="4113" max="4113" width="14.5" style="188" bestFit="1" customWidth="1"/>
    <col min="4114" max="4114" width="22.1640625" style="188" customWidth="1"/>
    <col min="4115" max="4115" width="1.5" style="188" customWidth="1"/>
    <col min="4116" max="4116" width="1.6640625" style="188" customWidth="1"/>
    <col min="4117" max="4117" width="17.83203125" style="188" customWidth="1"/>
    <col min="4118" max="4353" width="9.33203125" style="188"/>
    <col min="4354" max="4354" width="5.6640625" style="188" customWidth="1"/>
    <col min="4355" max="4355" width="11.6640625" style="188" customWidth="1"/>
    <col min="4356" max="4356" width="48" style="188" customWidth="1"/>
    <col min="4357" max="4357" width="3.83203125" style="188" customWidth="1"/>
    <col min="4358" max="4358" width="2.83203125" style="188" customWidth="1"/>
    <col min="4359" max="4359" width="21.83203125" style="188" customWidth="1"/>
    <col min="4360" max="4360" width="25.5" style="188" customWidth="1"/>
    <col min="4361" max="4361" width="21" style="188" customWidth="1"/>
    <col min="4362" max="4363" width="0" style="188" hidden="1" customWidth="1"/>
    <col min="4364" max="4364" width="18.5" style="188" customWidth="1"/>
    <col min="4365" max="4365" width="20" style="188" bestFit="1" customWidth="1"/>
    <col min="4366" max="4366" width="23.5" style="188" bestFit="1" customWidth="1"/>
    <col min="4367" max="4367" width="0" style="188" hidden="1" customWidth="1"/>
    <col min="4368" max="4368" width="21.33203125" style="188" bestFit="1" customWidth="1"/>
    <col min="4369" max="4369" width="14.5" style="188" bestFit="1" customWidth="1"/>
    <col min="4370" max="4370" width="22.1640625" style="188" customWidth="1"/>
    <col min="4371" max="4371" width="1.5" style="188" customWidth="1"/>
    <col min="4372" max="4372" width="1.6640625" style="188" customWidth="1"/>
    <col min="4373" max="4373" width="17.83203125" style="188" customWidth="1"/>
    <col min="4374" max="4609" width="9.33203125" style="188"/>
    <col min="4610" max="4610" width="5.6640625" style="188" customWidth="1"/>
    <col min="4611" max="4611" width="11.6640625" style="188" customWidth="1"/>
    <col min="4612" max="4612" width="48" style="188" customWidth="1"/>
    <col min="4613" max="4613" width="3.83203125" style="188" customWidth="1"/>
    <col min="4614" max="4614" width="2.83203125" style="188" customWidth="1"/>
    <col min="4615" max="4615" width="21.83203125" style="188" customWidth="1"/>
    <col min="4616" max="4616" width="25.5" style="188" customWidth="1"/>
    <col min="4617" max="4617" width="21" style="188" customWidth="1"/>
    <col min="4618" max="4619" width="0" style="188" hidden="1" customWidth="1"/>
    <col min="4620" max="4620" width="18.5" style="188" customWidth="1"/>
    <col min="4621" max="4621" width="20" style="188" bestFit="1" customWidth="1"/>
    <col min="4622" max="4622" width="23.5" style="188" bestFit="1" customWidth="1"/>
    <col min="4623" max="4623" width="0" style="188" hidden="1" customWidth="1"/>
    <col min="4624" max="4624" width="21.33203125" style="188" bestFit="1" customWidth="1"/>
    <col min="4625" max="4625" width="14.5" style="188" bestFit="1" customWidth="1"/>
    <col min="4626" max="4626" width="22.1640625" style="188" customWidth="1"/>
    <col min="4627" max="4627" width="1.5" style="188" customWidth="1"/>
    <col min="4628" max="4628" width="1.6640625" style="188" customWidth="1"/>
    <col min="4629" max="4629" width="17.83203125" style="188" customWidth="1"/>
    <col min="4630" max="4865" width="9.33203125" style="188"/>
    <col min="4866" max="4866" width="5.6640625" style="188" customWidth="1"/>
    <col min="4867" max="4867" width="11.6640625" style="188" customWidth="1"/>
    <col min="4868" max="4868" width="48" style="188" customWidth="1"/>
    <col min="4869" max="4869" width="3.83203125" style="188" customWidth="1"/>
    <col min="4870" max="4870" width="2.83203125" style="188" customWidth="1"/>
    <col min="4871" max="4871" width="21.83203125" style="188" customWidth="1"/>
    <col min="4872" max="4872" width="25.5" style="188" customWidth="1"/>
    <col min="4873" max="4873" width="21" style="188" customWidth="1"/>
    <col min="4874" max="4875" width="0" style="188" hidden="1" customWidth="1"/>
    <col min="4876" max="4876" width="18.5" style="188" customWidth="1"/>
    <col min="4877" max="4877" width="20" style="188" bestFit="1" customWidth="1"/>
    <col min="4878" max="4878" width="23.5" style="188" bestFit="1" customWidth="1"/>
    <col min="4879" max="4879" width="0" style="188" hidden="1" customWidth="1"/>
    <col min="4880" max="4880" width="21.33203125" style="188" bestFit="1" customWidth="1"/>
    <col min="4881" max="4881" width="14.5" style="188" bestFit="1" customWidth="1"/>
    <col min="4882" max="4882" width="22.1640625" style="188" customWidth="1"/>
    <col min="4883" max="4883" width="1.5" style="188" customWidth="1"/>
    <col min="4884" max="4884" width="1.6640625" style="188" customWidth="1"/>
    <col min="4885" max="4885" width="17.83203125" style="188" customWidth="1"/>
    <col min="4886" max="5121" width="9.33203125" style="188"/>
    <col min="5122" max="5122" width="5.6640625" style="188" customWidth="1"/>
    <col min="5123" max="5123" width="11.6640625" style="188" customWidth="1"/>
    <col min="5124" max="5124" width="48" style="188" customWidth="1"/>
    <col min="5125" max="5125" width="3.83203125" style="188" customWidth="1"/>
    <col min="5126" max="5126" width="2.83203125" style="188" customWidth="1"/>
    <col min="5127" max="5127" width="21.83203125" style="188" customWidth="1"/>
    <col min="5128" max="5128" width="25.5" style="188" customWidth="1"/>
    <col min="5129" max="5129" width="21" style="188" customWidth="1"/>
    <col min="5130" max="5131" width="0" style="188" hidden="1" customWidth="1"/>
    <col min="5132" max="5132" width="18.5" style="188" customWidth="1"/>
    <col min="5133" max="5133" width="20" style="188" bestFit="1" customWidth="1"/>
    <col min="5134" max="5134" width="23.5" style="188" bestFit="1" customWidth="1"/>
    <col min="5135" max="5135" width="0" style="188" hidden="1" customWidth="1"/>
    <col min="5136" max="5136" width="21.33203125" style="188" bestFit="1" customWidth="1"/>
    <col min="5137" max="5137" width="14.5" style="188" bestFit="1" customWidth="1"/>
    <col min="5138" max="5138" width="22.1640625" style="188" customWidth="1"/>
    <col min="5139" max="5139" width="1.5" style="188" customWidth="1"/>
    <col min="5140" max="5140" width="1.6640625" style="188" customWidth="1"/>
    <col min="5141" max="5141" width="17.83203125" style="188" customWidth="1"/>
    <col min="5142" max="5377" width="9.33203125" style="188"/>
    <col min="5378" max="5378" width="5.6640625" style="188" customWidth="1"/>
    <col min="5379" max="5379" width="11.6640625" style="188" customWidth="1"/>
    <col min="5380" max="5380" width="48" style="188" customWidth="1"/>
    <col min="5381" max="5381" width="3.83203125" style="188" customWidth="1"/>
    <col min="5382" max="5382" width="2.83203125" style="188" customWidth="1"/>
    <col min="5383" max="5383" width="21.83203125" style="188" customWidth="1"/>
    <col min="5384" max="5384" width="25.5" style="188" customWidth="1"/>
    <col min="5385" max="5385" width="21" style="188" customWidth="1"/>
    <col min="5386" max="5387" width="0" style="188" hidden="1" customWidth="1"/>
    <col min="5388" max="5388" width="18.5" style="188" customWidth="1"/>
    <col min="5389" max="5389" width="20" style="188" bestFit="1" customWidth="1"/>
    <col min="5390" max="5390" width="23.5" style="188" bestFit="1" customWidth="1"/>
    <col min="5391" max="5391" width="0" style="188" hidden="1" customWidth="1"/>
    <col min="5392" max="5392" width="21.33203125" style="188" bestFit="1" customWidth="1"/>
    <col min="5393" max="5393" width="14.5" style="188" bestFit="1" customWidth="1"/>
    <col min="5394" max="5394" width="22.1640625" style="188" customWidth="1"/>
    <col min="5395" max="5395" width="1.5" style="188" customWidth="1"/>
    <col min="5396" max="5396" width="1.6640625" style="188" customWidth="1"/>
    <col min="5397" max="5397" width="17.83203125" style="188" customWidth="1"/>
    <col min="5398" max="5633" width="9.33203125" style="188"/>
    <col min="5634" max="5634" width="5.6640625" style="188" customWidth="1"/>
    <col min="5635" max="5635" width="11.6640625" style="188" customWidth="1"/>
    <col min="5636" max="5636" width="48" style="188" customWidth="1"/>
    <col min="5637" max="5637" width="3.83203125" style="188" customWidth="1"/>
    <col min="5638" max="5638" width="2.83203125" style="188" customWidth="1"/>
    <col min="5639" max="5639" width="21.83203125" style="188" customWidth="1"/>
    <col min="5640" max="5640" width="25.5" style="188" customWidth="1"/>
    <col min="5641" max="5641" width="21" style="188" customWidth="1"/>
    <col min="5642" max="5643" width="0" style="188" hidden="1" customWidth="1"/>
    <col min="5644" max="5644" width="18.5" style="188" customWidth="1"/>
    <col min="5645" max="5645" width="20" style="188" bestFit="1" customWidth="1"/>
    <col min="5646" max="5646" width="23.5" style="188" bestFit="1" customWidth="1"/>
    <col min="5647" max="5647" width="0" style="188" hidden="1" customWidth="1"/>
    <col min="5648" max="5648" width="21.33203125" style="188" bestFit="1" customWidth="1"/>
    <col min="5649" max="5649" width="14.5" style="188" bestFit="1" customWidth="1"/>
    <col min="5650" max="5650" width="22.1640625" style="188" customWidth="1"/>
    <col min="5651" max="5651" width="1.5" style="188" customWidth="1"/>
    <col min="5652" max="5652" width="1.6640625" style="188" customWidth="1"/>
    <col min="5653" max="5653" width="17.83203125" style="188" customWidth="1"/>
    <col min="5654" max="5889" width="9.33203125" style="188"/>
    <col min="5890" max="5890" width="5.6640625" style="188" customWidth="1"/>
    <col min="5891" max="5891" width="11.6640625" style="188" customWidth="1"/>
    <col min="5892" max="5892" width="48" style="188" customWidth="1"/>
    <col min="5893" max="5893" width="3.83203125" style="188" customWidth="1"/>
    <col min="5894" max="5894" width="2.83203125" style="188" customWidth="1"/>
    <col min="5895" max="5895" width="21.83203125" style="188" customWidth="1"/>
    <col min="5896" max="5896" width="25.5" style="188" customWidth="1"/>
    <col min="5897" max="5897" width="21" style="188" customWidth="1"/>
    <col min="5898" max="5899" width="0" style="188" hidden="1" customWidth="1"/>
    <col min="5900" max="5900" width="18.5" style="188" customWidth="1"/>
    <col min="5901" max="5901" width="20" style="188" bestFit="1" customWidth="1"/>
    <col min="5902" max="5902" width="23.5" style="188" bestFit="1" customWidth="1"/>
    <col min="5903" max="5903" width="0" style="188" hidden="1" customWidth="1"/>
    <col min="5904" max="5904" width="21.33203125" style="188" bestFit="1" customWidth="1"/>
    <col min="5905" max="5905" width="14.5" style="188" bestFit="1" customWidth="1"/>
    <col min="5906" max="5906" width="22.1640625" style="188" customWidth="1"/>
    <col min="5907" max="5907" width="1.5" style="188" customWidth="1"/>
    <col min="5908" max="5908" width="1.6640625" style="188" customWidth="1"/>
    <col min="5909" max="5909" width="17.83203125" style="188" customWidth="1"/>
    <col min="5910" max="6145" width="9.33203125" style="188"/>
    <col min="6146" max="6146" width="5.6640625" style="188" customWidth="1"/>
    <col min="6147" max="6147" width="11.6640625" style="188" customWidth="1"/>
    <col min="6148" max="6148" width="48" style="188" customWidth="1"/>
    <col min="6149" max="6149" width="3.83203125" style="188" customWidth="1"/>
    <col min="6150" max="6150" width="2.83203125" style="188" customWidth="1"/>
    <col min="6151" max="6151" width="21.83203125" style="188" customWidth="1"/>
    <col min="6152" max="6152" width="25.5" style="188" customWidth="1"/>
    <col min="6153" max="6153" width="21" style="188" customWidth="1"/>
    <col min="6154" max="6155" width="0" style="188" hidden="1" customWidth="1"/>
    <col min="6156" max="6156" width="18.5" style="188" customWidth="1"/>
    <col min="6157" max="6157" width="20" style="188" bestFit="1" customWidth="1"/>
    <col min="6158" max="6158" width="23.5" style="188" bestFit="1" customWidth="1"/>
    <col min="6159" max="6159" width="0" style="188" hidden="1" customWidth="1"/>
    <col min="6160" max="6160" width="21.33203125" style="188" bestFit="1" customWidth="1"/>
    <col min="6161" max="6161" width="14.5" style="188" bestFit="1" customWidth="1"/>
    <col min="6162" max="6162" width="22.1640625" style="188" customWidth="1"/>
    <col min="6163" max="6163" width="1.5" style="188" customWidth="1"/>
    <col min="6164" max="6164" width="1.6640625" style="188" customWidth="1"/>
    <col min="6165" max="6165" width="17.83203125" style="188" customWidth="1"/>
    <col min="6166" max="6401" width="9.33203125" style="188"/>
    <col min="6402" max="6402" width="5.6640625" style="188" customWidth="1"/>
    <col min="6403" max="6403" width="11.6640625" style="188" customWidth="1"/>
    <col min="6404" max="6404" width="48" style="188" customWidth="1"/>
    <col min="6405" max="6405" width="3.83203125" style="188" customWidth="1"/>
    <col min="6406" max="6406" width="2.83203125" style="188" customWidth="1"/>
    <col min="6407" max="6407" width="21.83203125" style="188" customWidth="1"/>
    <col min="6408" max="6408" width="25.5" style="188" customWidth="1"/>
    <col min="6409" max="6409" width="21" style="188" customWidth="1"/>
    <col min="6410" max="6411" width="0" style="188" hidden="1" customWidth="1"/>
    <col min="6412" max="6412" width="18.5" style="188" customWidth="1"/>
    <col min="6413" max="6413" width="20" style="188" bestFit="1" customWidth="1"/>
    <col min="6414" max="6414" width="23.5" style="188" bestFit="1" customWidth="1"/>
    <col min="6415" max="6415" width="0" style="188" hidden="1" customWidth="1"/>
    <col min="6416" max="6416" width="21.33203125" style="188" bestFit="1" customWidth="1"/>
    <col min="6417" max="6417" width="14.5" style="188" bestFit="1" customWidth="1"/>
    <col min="6418" max="6418" width="22.1640625" style="188" customWidth="1"/>
    <col min="6419" max="6419" width="1.5" style="188" customWidth="1"/>
    <col min="6420" max="6420" width="1.6640625" style="188" customWidth="1"/>
    <col min="6421" max="6421" width="17.83203125" style="188" customWidth="1"/>
    <col min="6422" max="6657" width="9.33203125" style="188"/>
    <col min="6658" max="6658" width="5.6640625" style="188" customWidth="1"/>
    <col min="6659" max="6659" width="11.6640625" style="188" customWidth="1"/>
    <col min="6660" max="6660" width="48" style="188" customWidth="1"/>
    <col min="6661" max="6661" width="3.83203125" style="188" customWidth="1"/>
    <col min="6662" max="6662" width="2.83203125" style="188" customWidth="1"/>
    <col min="6663" max="6663" width="21.83203125" style="188" customWidth="1"/>
    <col min="6664" max="6664" width="25.5" style="188" customWidth="1"/>
    <col min="6665" max="6665" width="21" style="188" customWidth="1"/>
    <col min="6666" max="6667" width="0" style="188" hidden="1" customWidth="1"/>
    <col min="6668" max="6668" width="18.5" style="188" customWidth="1"/>
    <col min="6669" max="6669" width="20" style="188" bestFit="1" customWidth="1"/>
    <col min="6670" max="6670" width="23.5" style="188" bestFit="1" customWidth="1"/>
    <col min="6671" max="6671" width="0" style="188" hidden="1" customWidth="1"/>
    <col min="6672" max="6672" width="21.33203125" style="188" bestFit="1" customWidth="1"/>
    <col min="6673" max="6673" width="14.5" style="188" bestFit="1" customWidth="1"/>
    <col min="6674" max="6674" width="22.1640625" style="188" customWidth="1"/>
    <col min="6675" max="6675" width="1.5" style="188" customWidth="1"/>
    <col min="6676" max="6676" width="1.6640625" style="188" customWidth="1"/>
    <col min="6677" max="6677" width="17.83203125" style="188" customWidth="1"/>
    <col min="6678" max="6913" width="9.33203125" style="188"/>
    <col min="6914" max="6914" width="5.6640625" style="188" customWidth="1"/>
    <col min="6915" max="6915" width="11.6640625" style="188" customWidth="1"/>
    <col min="6916" max="6916" width="48" style="188" customWidth="1"/>
    <col min="6917" max="6917" width="3.83203125" style="188" customWidth="1"/>
    <col min="6918" max="6918" width="2.83203125" style="188" customWidth="1"/>
    <col min="6919" max="6919" width="21.83203125" style="188" customWidth="1"/>
    <col min="6920" max="6920" width="25.5" style="188" customWidth="1"/>
    <col min="6921" max="6921" width="21" style="188" customWidth="1"/>
    <col min="6922" max="6923" width="0" style="188" hidden="1" customWidth="1"/>
    <col min="6924" max="6924" width="18.5" style="188" customWidth="1"/>
    <col min="6925" max="6925" width="20" style="188" bestFit="1" customWidth="1"/>
    <col min="6926" max="6926" width="23.5" style="188" bestFit="1" customWidth="1"/>
    <col min="6927" max="6927" width="0" style="188" hidden="1" customWidth="1"/>
    <col min="6928" max="6928" width="21.33203125" style="188" bestFit="1" customWidth="1"/>
    <col min="6929" max="6929" width="14.5" style="188" bestFit="1" customWidth="1"/>
    <col min="6930" max="6930" width="22.1640625" style="188" customWidth="1"/>
    <col min="6931" max="6931" width="1.5" style="188" customWidth="1"/>
    <col min="6932" max="6932" width="1.6640625" style="188" customWidth="1"/>
    <col min="6933" max="6933" width="17.83203125" style="188" customWidth="1"/>
    <col min="6934" max="7169" width="9.33203125" style="188"/>
    <col min="7170" max="7170" width="5.6640625" style="188" customWidth="1"/>
    <col min="7171" max="7171" width="11.6640625" style="188" customWidth="1"/>
    <col min="7172" max="7172" width="48" style="188" customWidth="1"/>
    <col min="7173" max="7173" width="3.83203125" style="188" customWidth="1"/>
    <col min="7174" max="7174" width="2.83203125" style="188" customWidth="1"/>
    <col min="7175" max="7175" width="21.83203125" style="188" customWidth="1"/>
    <col min="7176" max="7176" width="25.5" style="188" customWidth="1"/>
    <col min="7177" max="7177" width="21" style="188" customWidth="1"/>
    <col min="7178" max="7179" width="0" style="188" hidden="1" customWidth="1"/>
    <col min="7180" max="7180" width="18.5" style="188" customWidth="1"/>
    <col min="7181" max="7181" width="20" style="188" bestFit="1" customWidth="1"/>
    <col min="7182" max="7182" width="23.5" style="188" bestFit="1" customWidth="1"/>
    <col min="7183" max="7183" width="0" style="188" hidden="1" customWidth="1"/>
    <col min="7184" max="7184" width="21.33203125" style="188" bestFit="1" customWidth="1"/>
    <col min="7185" max="7185" width="14.5" style="188" bestFit="1" customWidth="1"/>
    <col min="7186" max="7186" width="22.1640625" style="188" customWidth="1"/>
    <col min="7187" max="7187" width="1.5" style="188" customWidth="1"/>
    <col min="7188" max="7188" width="1.6640625" style="188" customWidth="1"/>
    <col min="7189" max="7189" width="17.83203125" style="188" customWidth="1"/>
    <col min="7190" max="7425" width="9.33203125" style="188"/>
    <col min="7426" max="7426" width="5.6640625" style="188" customWidth="1"/>
    <col min="7427" max="7427" width="11.6640625" style="188" customWidth="1"/>
    <col min="7428" max="7428" width="48" style="188" customWidth="1"/>
    <col min="7429" max="7429" width="3.83203125" style="188" customWidth="1"/>
    <col min="7430" max="7430" width="2.83203125" style="188" customWidth="1"/>
    <col min="7431" max="7431" width="21.83203125" style="188" customWidth="1"/>
    <col min="7432" max="7432" width="25.5" style="188" customWidth="1"/>
    <col min="7433" max="7433" width="21" style="188" customWidth="1"/>
    <col min="7434" max="7435" width="0" style="188" hidden="1" customWidth="1"/>
    <col min="7436" max="7436" width="18.5" style="188" customWidth="1"/>
    <col min="7437" max="7437" width="20" style="188" bestFit="1" customWidth="1"/>
    <col min="7438" max="7438" width="23.5" style="188" bestFit="1" customWidth="1"/>
    <col min="7439" max="7439" width="0" style="188" hidden="1" customWidth="1"/>
    <col min="7440" max="7440" width="21.33203125" style="188" bestFit="1" customWidth="1"/>
    <col min="7441" max="7441" width="14.5" style="188" bestFit="1" customWidth="1"/>
    <col min="7442" max="7442" width="22.1640625" style="188" customWidth="1"/>
    <col min="7443" max="7443" width="1.5" style="188" customWidth="1"/>
    <col min="7444" max="7444" width="1.6640625" style="188" customWidth="1"/>
    <col min="7445" max="7445" width="17.83203125" style="188" customWidth="1"/>
    <col min="7446" max="7681" width="9.33203125" style="188"/>
    <col min="7682" max="7682" width="5.6640625" style="188" customWidth="1"/>
    <col min="7683" max="7683" width="11.6640625" style="188" customWidth="1"/>
    <col min="7684" max="7684" width="48" style="188" customWidth="1"/>
    <col min="7685" max="7685" width="3.83203125" style="188" customWidth="1"/>
    <col min="7686" max="7686" width="2.83203125" style="188" customWidth="1"/>
    <col min="7687" max="7687" width="21.83203125" style="188" customWidth="1"/>
    <col min="7688" max="7688" width="25.5" style="188" customWidth="1"/>
    <col min="7689" max="7689" width="21" style="188" customWidth="1"/>
    <col min="7690" max="7691" width="0" style="188" hidden="1" customWidth="1"/>
    <col min="7692" max="7692" width="18.5" style="188" customWidth="1"/>
    <col min="7693" max="7693" width="20" style="188" bestFit="1" customWidth="1"/>
    <col min="7694" max="7694" width="23.5" style="188" bestFit="1" customWidth="1"/>
    <col min="7695" max="7695" width="0" style="188" hidden="1" customWidth="1"/>
    <col min="7696" max="7696" width="21.33203125" style="188" bestFit="1" customWidth="1"/>
    <col min="7697" max="7697" width="14.5" style="188" bestFit="1" customWidth="1"/>
    <col min="7698" max="7698" width="22.1640625" style="188" customWidth="1"/>
    <col min="7699" max="7699" width="1.5" style="188" customWidth="1"/>
    <col min="7700" max="7700" width="1.6640625" style="188" customWidth="1"/>
    <col min="7701" max="7701" width="17.83203125" style="188" customWidth="1"/>
    <col min="7702" max="7937" width="9.33203125" style="188"/>
    <col min="7938" max="7938" width="5.6640625" style="188" customWidth="1"/>
    <col min="7939" max="7939" width="11.6640625" style="188" customWidth="1"/>
    <col min="7940" max="7940" width="48" style="188" customWidth="1"/>
    <col min="7941" max="7941" width="3.83203125" style="188" customWidth="1"/>
    <col min="7942" max="7942" width="2.83203125" style="188" customWidth="1"/>
    <col min="7943" max="7943" width="21.83203125" style="188" customWidth="1"/>
    <col min="7944" max="7944" width="25.5" style="188" customWidth="1"/>
    <col min="7945" max="7945" width="21" style="188" customWidth="1"/>
    <col min="7946" max="7947" width="0" style="188" hidden="1" customWidth="1"/>
    <col min="7948" max="7948" width="18.5" style="188" customWidth="1"/>
    <col min="7949" max="7949" width="20" style="188" bestFit="1" customWidth="1"/>
    <col min="7950" max="7950" width="23.5" style="188" bestFit="1" customWidth="1"/>
    <col min="7951" max="7951" width="0" style="188" hidden="1" customWidth="1"/>
    <col min="7952" max="7952" width="21.33203125" style="188" bestFit="1" customWidth="1"/>
    <col min="7953" max="7953" width="14.5" style="188" bestFit="1" customWidth="1"/>
    <col min="7954" max="7954" width="22.1640625" style="188" customWidth="1"/>
    <col min="7955" max="7955" width="1.5" style="188" customWidth="1"/>
    <col min="7956" max="7956" width="1.6640625" style="188" customWidth="1"/>
    <col min="7957" max="7957" width="17.83203125" style="188" customWidth="1"/>
    <col min="7958" max="8193" width="9.33203125" style="188"/>
    <col min="8194" max="8194" width="5.6640625" style="188" customWidth="1"/>
    <col min="8195" max="8195" width="11.6640625" style="188" customWidth="1"/>
    <col min="8196" max="8196" width="48" style="188" customWidth="1"/>
    <col min="8197" max="8197" width="3.83203125" style="188" customWidth="1"/>
    <col min="8198" max="8198" width="2.83203125" style="188" customWidth="1"/>
    <col min="8199" max="8199" width="21.83203125" style="188" customWidth="1"/>
    <col min="8200" max="8200" width="25.5" style="188" customWidth="1"/>
    <col min="8201" max="8201" width="21" style="188" customWidth="1"/>
    <col min="8202" max="8203" width="0" style="188" hidden="1" customWidth="1"/>
    <col min="8204" max="8204" width="18.5" style="188" customWidth="1"/>
    <col min="8205" max="8205" width="20" style="188" bestFit="1" customWidth="1"/>
    <col min="8206" max="8206" width="23.5" style="188" bestFit="1" customWidth="1"/>
    <col min="8207" max="8207" width="0" style="188" hidden="1" customWidth="1"/>
    <col min="8208" max="8208" width="21.33203125" style="188" bestFit="1" customWidth="1"/>
    <col min="8209" max="8209" width="14.5" style="188" bestFit="1" customWidth="1"/>
    <col min="8210" max="8210" width="22.1640625" style="188" customWidth="1"/>
    <col min="8211" max="8211" width="1.5" style="188" customWidth="1"/>
    <col min="8212" max="8212" width="1.6640625" style="188" customWidth="1"/>
    <col min="8213" max="8213" width="17.83203125" style="188" customWidth="1"/>
    <col min="8214" max="8449" width="9.33203125" style="188"/>
    <col min="8450" max="8450" width="5.6640625" style="188" customWidth="1"/>
    <col min="8451" max="8451" width="11.6640625" style="188" customWidth="1"/>
    <col min="8452" max="8452" width="48" style="188" customWidth="1"/>
    <col min="8453" max="8453" width="3.83203125" style="188" customWidth="1"/>
    <col min="8454" max="8454" width="2.83203125" style="188" customWidth="1"/>
    <col min="8455" max="8455" width="21.83203125" style="188" customWidth="1"/>
    <col min="8456" max="8456" width="25.5" style="188" customWidth="1"/>
    <col min="8457" max="8457" width="21" style="188" customWidth="1"/>
    <col min="8458" max="8459" width="0" style="188" hidden="1" customWidth="1"/>
    <col min="8460" max="8460" width="18.5" style="188" customWidth="1"/>
    <col min="8461" max="8461" width="20" style="188" bestFit="1" customWidth="1"/>
    <col min="8462" max="8462" width="23.5" style="188" bestFit="1" customWidth="1"/>
    <col min="8463" max="8463" width="0" style="188" hidden="1" customWidth="1"/>
    <col min="8464" max="8464" width="21.33203125" style="188" bestFit="1" customWidth="1"/>
    <col min="8465" max="8465" width="14.5" style="188" bestFit="1" customWidth="1"/>
    <col min="8466" max="8466" width="22.1640625" style="188" customWidth="1"/>
    <col min="8467" max="8467" width="1.5" style="188" customWidth="1"/>
    <col min="8468" max="8468" width="1.6640625" style="188" customWidth="1"/>
    <col min="8469" max="8469" width="17.83203125" style="188" customWidth="1"/>
    <col min="8470" max="8705" width="9.33203125" style="188"/>
    <col min="8706" max="8706" width="5.6640625" style="188" customWidth="1"/>
    <col min="8707" max="8707" width="11.6640625" style="188" customWidth="1"/>
    <col min="8708" max="8708" width="48" style="188" customWidth="1"/>
    <col min="8709" max="8709" width="3.83203125" style="188" customWidth="1"/>
    <col min="8710" max="8710" width="2.83203125" style="188" customWidth="1"/>
    <col min="8711" max="8711" width="21.83203125" style="188" customWidth="1"/>
    <col min="8712" max="8712" width="25.5" style="188" customWidth="1"/>
    <col min="8713" max="8713" width="21" style="188" customWidth="1"/>
    <col min="8714" max="8715" width="0" style="188" hidden="1" customWidth="1"/>
    <col min="8716" max="8716" width="18.5" style="188" customWidth="1"/>
    <col min="8717" max="8717" width="20" style="188" bestFit="1" customWidth="1"/>
    <col min="8718" max="8718" width="23.5" style="188" bestFit="1" customWidth="1"/>
    <col min="8719" max="8719" width="0" style="188" hidden="1" customWidth="1"/>
    <col min="8720" max="8720" width="21.33203125" style="188" bestFit="1" customWidth="1"/>
    <col min="8721" max="8721" width="14.5" style="188" bestFit="1" customWidth="1"/>
    <col min="8722" max="8722" width="22.1640625" style="188" customWidth="1"/>
    <col min="8723" max="8723" width="1.5" style="188" customWidth="1"/>
    <col min="8724" max="8724" width="1.6640625" style="188" customWidth="1"/>
    <col min="8725" max="8725" width="17.83203125" style="188" customWidth="1"/>
    <col min="8726" max="8961" width="9.33203125" style="188"/>
    <col min="8962" max="8962" width="5.6640625" style="188" customWidth="1"/>
    <col min="8963" max="8963" width="11.6640625" style="188" customWidth="1"/>
    <col min="8964" max="8964" width="48" style="188" customWidth="1"/>
    <col min="8965" max="8965" width="3.83203125" style="188" customWidth="1"/>
    <col min="8966" max="8966" width="2.83203125" style="188" customWidth="1"/>
    <col min="8967" max="8967" width="21.83203125" style="188" customWidth="1"/>
    <col min="8968" max="8968" width="25.5" style="188" customWidth="1"/>
    <col min="8969" max="8969" width="21" style="188" customWidth="1"/>
    <col min="8970" max="8971" width="0" style="188" hidden="1" customWidth="1"/>
    <col min="8972" max="8972" width="18.5" style="188" customWidth="1"/>
    <col min="8973" max="8973" width="20" style="188" bestFit="1" customWidth="1"/>
    <col min="8974" max="8974" width="23.5" style="188" bestFit="1" customWidth="1"/>
    <col min="8975" max="8975" width="0" style="188" hidden="1" customWidth="1"/>
    <col min="8976" max="8976" width="21.33203125" style="188" bestFit="1" customWidth="1"/>
    <col min="8977" max="8977" width="14.5" style="188" bestFit="1" customWidth="1"/>
    <col min="8978" max="8978" width="22.1640625" style="188" customWidth="1"/>
    <col min="8979" max="8979" width="1.5" style="188" customWidth="1"/>
    <col min="8980" max="8980" width="1.6640625" style="188" customWidth="1"/>
    <col min="8981" max="8981" width="17.83203125" style="188" customWidth="1"/>
    <col min="8982" max="9217" width="9.33203125" style="188"/>
    <col min="9218" max="9218" width="5.6640625" style="188" customWidth="1"/>
    <col min="9219" max="9219" width="11.6640625" style="188" customWidth="1"/>
    <col min="9220" max="9220" width="48" style="188" customWidth="1"/>
    <col min="9221" max="9221" width="3.83203125" style="188" customWidth="1"/>
    <col min="9222" max="9222" width="2.83203125" style="188" customWidth="1"/>
    <col min="9223" max="9223" width="21.83203125" style="188" customWidth="1"/>
    <col min="9224" max="9224" width="25.5" style="188" customWidth="1"/>
    <col min="9225" max="9225" width="21" style="188" customWidth="1"/>
    <col min="9226" max="9227" width="0" style="188" hidden="1" customWidth="1"/>
    <col min="9228" max="9228" width="18.5" style="188" customWidth="1"/>
    <col min="9229" max="9229" width="20" style="188" bestFit="1" customWidth="1"/>
    <col min="9230" max="9230" width="23.5" style="188" bestFit="1" customWidth="1"/>
    <col min="9231" max="9231" width="0" style="188" hidden="1" customWidth="1"/>
    <col min="9232" max="9232" width="21.33203125" style="188" bestFit="1" customWidth="1"/>
    <col min="9233" max="9233" width="14.5" style="188" bestFit="1" customWidth="1"/>
    <col min="9234" max="9234" width="22.1640625" style="188" customWidth="1"/>
    <col min="9235" max="9235" width="1.5" style="188" customWidth="1"/>
    <col min="9236" max="9236" width="1.6640625" style="188" customWidth="1"/>
    <col min="9237" max="9237" width="17.83203125" style="188" customWidth="1"/>
    <col min="9238" max="9473" width="9.33203125" style="188"/>
    <col min="9474" max="9474" width="5.6640625" style="188" customWidth="1"/>
    <col min="9475" max="9475" width="11.6640625" style="188" customWidth="1"/>
    <col min="9476" max="9476" width="48" style="188" customWidth="1"/>
    <col min="9477" max="9477" width="3.83203125" style="188" customWidth="1"/>
    <col min="9478" max="9478" width="2.83203125" style="188" customWidth="1"/>
    <col min="9479" max="9479" width="21.83203125" style="188" customWidth="1"/>
    <col min="9480" max="9480" width="25.5" style="188" customWidth="1"/>
    <col min="9481" max="9481" width="21" style="188" customWidth="1"/>
    <col min="9482" max="9483" width="0" style="188" hidden="1" customWidth="1"/>
    <col min="9484" max="9484" width="18.5" style="188" customWidth="1"/>
    <col min="9485" max="9485" width="20" style="188" bestFit="1" customWidth="1"/>
    <col min="9486" max="9486" width="23.5" style="188" bestFit="1" customWidth="1"/>
    <col min="9487" max="9487" width="0" style="188" hidden="1" customWidth="1"/>
    <col min="9488" max="9488" width="21.33203125" style="188" bestFit="1" customWidth="1"/>
    <col min="9489" max="9489" width="14.5" style="188" bestFit="1" customWidth="1"/>
    <col min="9490" max="9490" width="22.1640625" style="188" customWidth="1"/>
    <col min="9491" max="9491" width="1.5" style="188" customWidth="1"/>
    <col min="9492" max="9492" width="1.6640625" style="188" customWidth="1"/>
    <col min="9493" max="9493" width="17.83203125" style="188" customWidth="1"/>
    <col min="9494" max="9729" width="9.33203125" style="188"/>
    <col min="9730" max="9730" width="5.6640625" style="188" customWidth="1"/>
    <col min="9731" max="9731" width="11.6640625" style="188" customWidth="1"/>
    <col min="9732" max="9732" width="48" style="188" customWidth="1"/>
    <col min="9733" max="9733" width="3.83203125" style="188" customWidth="1"/>
    <col min="9734" max="9734" width="2.83203125" style="188" customWidth="1"/>
    <col min="9735" max="9735" width="21.83203125" style="188" customWidth="1"/>
    <col min="9736" max="9736" width="25.5" style="188" customWidth="1"/>
    <col min="9737" max="9737" width="21" style="188" customWidth="1"/>
    <col min="9738" max="9739" width="0" style="188" hidden="1" customWidth="1"/>
    <col min="9740" max="9740" width="18.5" style="188" customWidth="1"/>
    <col min="9741" max="9741" width="20" style="188" bestFit="1" customWidth="1"/>
    <col min="9742" max="9742" width="23.5" style="188" bestFit="1" customWidth="1"/>
    <col min="9743" max="9743" width="0" style="188" hidden="1" customWidth="1"/>
    <col min="9744" max="9744" width="21.33203125" style="188" bestFit="1" customWidth="1"/>
    <col min="9745" max="9745" width="14.5" style="188" bestFit="1" customWidth="1"/>
    <col min="9746" max="9746" width="22.1640625" style="188" customWidth="1"/>
    <col min="9747" max="9747" width="1.5" style="188" customWidth="1"/>
    <col min="9748" max="9748" width="1.6640625" style="188" customWidth="1"/>
    <col min="9749" max="9749" width="17.83203125" style="188" customWidth="1"/>
    <col min="9750" max="9985" width="9.33203125" style="188"/>
    <col min="9986" max="9986" width="5.6640625" style="188" customWidth="1"/>
    <col min="9987" max="9987" width="11.6640625" style="188" customWidth="1"/>
    <col min="9988" max="9988" width="48" style="188" customWidth="1"/>
    <col min="9989" max="9989" width="3.83203125" style="188" customWidth="1"/>
    <col min="9990" max="9990" width="2.83203125" style="188" customWidth="1"/>
    <col min="9991" max="9991" width="21.83203125" style="188" customWidth="1"/>
    <col min="9992" max="9992" width="25.5" style="188" customWidth="1"/>
    <col min="9993" max="9993" width="21" style="188" customWidth="1"/>
    <col min="9994" max="9995" width="0" style="188" hidden="1" customWidth="1"/>
    <col min="9996" max="9996" width="18.5" style="188" customWidth="1"/>
    <col min="9997" max="9997" width="20" style="188" bestFit="1" customWidth="1"/>
    <col min="9998" max="9998" width="23.5" style="188" bestFit="1" customWidth="1"/>
    <col min="9999" max="9999" width="0" style="188" hidden="1" customWidth="1"/>
    <col min="10000" max="10000" width="21.33203125" style="188" bestFit="1" customWidth="1"/>
    <col min="10001" max="10001" width="14.5" style="188" bestFit="1" customWidth="1"/>
    <col min="10002" max="10002" width="22.1640625" style="188" customWidth="1"/>
    <col min="10003" max="10003" width="1.5" style="188" customWidth="1"/>
    <col min="10004" max="10004" width="1.6640625" style="188" customWidth="1"/>
    <col min="10005" max="10005" width="17.83203125" style="188" customWidth="1"/>
    <col min="10006" max="10241" width="9.33203125" style="188"/>
    <col min="10242" max="10242" width="5.6640625" style="188" customWidth="1"/>
    <col min="10243" max="10243" width="11.6640625" style="188" customWidth="1"/>
    <col min="10244" max="10244" width="48" style="188" customWidth="1"/>
    <col min="10245" max="10245" width="3.83203125" style="188" customWidth="1"/>
    <col min="10246" max="10246" width="2.83203125" style="188" customWidth="1"/>
    <col min="10247" max="10247" width="21.83203125" style="188" customWidth="1"/>
    <col min="10248" max="10248" width="25.5" style="188" customWidth="1"/>
    <col min="10249" max="10249" width="21" style="188" customWidth="1"/>
    <col min="10250" max="10251" width="0" style="188" hidden="1" customWidth="1"/>
    <col min="10252" max="10252" width="18.5" style="188" customWidth="1"/>
    <col min="10253" max="10253" width="20" style="188" bestFit="1" customWidth="1"/>
    <col min="10254" max="10254" width="23.5" style="188" bestFit="1" customWidth="1"/>
    <col min="10255" max="10255" width="0" style="188" hidden="1" customWidth="1"/>
    <col min="10256" max="10256" width="21.33203125" style="188" bestFit="1" customWidth="1"/>
    <col min="10257" max="10257" width="14.5" style="188" bestFit="1" customWidth="1"/>
    <col min="10258" max="10258" width="22.1640625" style="188" customWidth="1"/>
    <col min="10259" max="10259" width="1.5" style="188" customWidth="1"/>
    <col min="10260" max="10260" width="1.6640625" style="188" customWidth="1"/>
    <col min="10261" max="10261" width="17.83203125" style="188" customWidth="1"/>
    <col min="10262" max="10497" width="9.33203125" style="188"/>
    <col min="10498" max="10498" width="5.6640625" style="188" customWidth="1"/>
    <col min="10499" max="10499" width="11.6640625" style="188" customWidth="1"/>
    <col min="10500" max="10500" width="48" style="188" customWidth="1"/>
    <col min="10501" max="10501" width="3.83203125" style="188" customWidth="1"/>
    <col min="10502" max="10502" width="2.83203125" style="188" customWidth="1"/>
    <col min="10503" max="10503" width="21.83203125" style="188" customWidth="1"/>
    <col min="10504" max="10504" width="25.5" style="188" customWidth="1"/>
    <col min="10505" max="10505" width="21" style="188" customWidth="1"/>
    <col min="10506" max="10507" width="0" style="188" hidden="1" customWidth="1"/>
    <col min="10508" max="10508" width="18.5" style="188" customWidth="1"/>
    <col min="10509" max="10509" width="20" style="188" bestFit="1" customWidth="1"/>
    <col min="10510" max="10510" width="23.5" style="188" bestFit="1" customWidth="1"/>
    <col min="10511" max="10511" width="0" style="188" hidden="1" customWidth="1"/>
    <col min="10512" max="10512" width="21.33203125" style="188" bestFit="1" customWidth="1"/>
    <col min="10513" max="10513" width="14.5" style="188" bestFit="1" customWidth="1"/>
    <col min="10514" max="10514" width="22.1640625" style="188" customWidth="1"/>
    <col min="10515" max="10515" width="1.5" style="188" customWidth="1"/>
    <col min="10516" max="10516" width="1.6640625" style="188" customWidth="1"/>
    <col min="10517" max="10517" width="17.83203125" style="188" customWidth="1"/>
    <col min="10518" max="10753" width="9.33203125" style="188"/>
    <col min="10754" max="10754" width="5.6640625" style="188" customWidth="1"/>
    <col min="10755" max="10755" width="11.6640625" style="188" customWidth="1"/>
    <col min="10756" max="10756" width="48" style="188" customWidth="1"/>
    <col min="10757" max="10757" width="3.83203125" style="188" customWidth="1"/>
    <col min="10758" max="10758" width="2.83203125" style="188" customWidth="1"/>
    <col min="10759" max="10759" width="21.83203125" style="188" customWidth="1"/>
    <col min="10760" max="10760" width="25.5" style="188" customWidth="1"/>
    <col min="10761" max="10761" width="21" style="188" customWidth="1"/>
    <col min="10762" max="10763" width="0" style="188" hidden="1" customWidth="1"/>
    <col min="10764" max="10764" width="18.5" style="188" customWidth="1"/>
    <col min="10765" max="10765" width="20" style="188" bestFit="1" customWidth="1"/>
    <col min="10766" max="10766" width="23.5" style="188" bestFit="1" customWidth="1"/>
    <col min="10767" max="10767" width="0" style="188" hidden="1" customWidth="1"/>
    <col min="10768" max="10768" width="21.33203125" style="188" bestFit="1" customWidth="1"/>
    <col min="10769" max="10769" width="14.5" style="188" bestFit="1" customWidth="1"/>
    <col min="10770" max="10770" width="22.1640625" style="188" customWidth="1"/>
    <col min="10771" max="10771" width="1.5" style="188" customWidth="1"/>
    <col min="10772" max="10772" width="1.6640625" style="188" customWidth="1"/>
    <col min="10773" max="10773" width="17.83203125" style="188" customWidth="1"/>
    <col min="10774" max="11009" width="9.33203125" style="188"/>
    <col min="11010" max="11010" width="5.6640625" style="188" customWidth="1"/>
    <col min="11011" max="11011" width="11.6640625" style="188" customWidth="1"/>
    <col min="11012" max="11012" width="48" style="188" customWidth="1"/>
    <col min="11013" max="11013" width="3.83203125" style="188" customWidth="1"/>
    <col min="11014" max="11014" width="2.83203125" style="188" customWidth="1"/>
    <col min="11015" max="11015" width="21.83203125" style="188" customWidth="1"/>
    <col min="11016" max="11016" width="25.5" style="188" customWidth="1"/>
    <col min="11017" max="11017" width="21" style="188" customWidth="1"/>
    <col min="11018" max="11019" width="0" style="188" hidden="1" customWidth="1"/>
    <col min="11020" max="11020" width="18.5" style="188" customWidth="1"/>
    <col min="11021" max="11021" width="20" style="188" bestFit="1" customWidth="1"/>
    <col min="11022" max="11022" width="23.5" style="188" bestFit="1" customWidth="1"/>
    <col min="11023" max="11023" width="0" style="188" hidden="1" customWidth="1"/>
    <col min="11024" max="11024" width="21.33203125" style="188" bestFit="1" customWidth="1"/>
    <col min="11025" max="11025" width="14.5" style="188" bestFit="1" customWidth="1"/>
    <col min="11026" max="11026" width="22.1640625" style="188" customWidth="1"/>
    <col min="11027" max="11027" width="1.5" style="188" customWidth="1"/>
    <col min="11028" max="11028" width="1.6640625" style="188" customWidth="1"/>
    <col min="11029" max="11029" width="17.83203125" style="188" customWidth="1"/>
    <col min="11030" max="11265" width="9.33203125" style="188"/>
    <col min="11266" max="11266" width="5.6640625" style="188" customWidth="1"/>
    <col min="11267" max="11267" width="11.6640625" style="188" customWidth="1"/>
    <col min="11268" max="11268" width="48" style="188" customWidth="1"/>
    <col min="11269" max="11269" width="3.83203125" style="188" customWidth="1"/>
    <col min="11270" max="11270" width="2.83203125" style="188" customWidth="1"/>
    <col min="11271" max="11271" width="21.83203125" style="188" customWidth="1"/>
    <col min="11272" max="11272" width="25.5" style="188" customWidth="1"/>
    <col min="11273" max="11273" width="21" style="188" customWidth="1"/>
    <col min="11274" max="11275" width="0" style="188" hidden="1" customWidth="1"/>
    <col min="11276" max="11276" width="18.5" style="188" customWidth="1"/>
    <col min="11277" max="11277" width="20" style="188" bestFit="1" customWidth="1"/>
    <col min="11278" max="11278" width="23.5" style="188" bestFit="1" customWidth="1"/>
    <col min="11279" max="11279" width="0" style="188" hidden="1" customWidth="1"/>
    <col min="11280" max="11280" width="21.33203125" style="188" bestFit="1" customWidth="1"/>
    <col min="11281" max="11281" width="14.5" style="188" bestFit="1" customWidth="1"/>
    <col min="11282" max="11282" width="22.1640625" style="188" customWidth="1"/>
    <col min="11283" max="11283" width="1.5" style="188" customWidth="1"/>
    <col min="11284" max="11284" width="1.6640625" style="188" customWidth="1"/>
    <col min="11285" max="11285" width="17.83203125" style="188" customWidth="1"/>
    <col min="11286" max="11521" width="9.33203125" style="188"/>
    <col min="11522" max="11522" width="5.6640625" style="188" customWidth="1"/>
    <col min="11523" max="11523" width="11.6640625" style="188" customWidth="1"/>
    <col min="11524" max="11524" width="48" style="188" customWidth="1"/>
    <col min="11525" max="11525" width="3.83203125" style="188" customWidth="1"/>
    <col min="11526" max="11526" width="2.83203125" style="188" customWidth="1"/>
    <col min="11527" max="11527" width="21.83203125" style="188" customWidth="1"/>
    <col min="11528" max="11528" width="25.5" style="188" customWidth="1"/>
    <col min="11529" max="11529" width="21" style="188" customWidth="1"/>
    <col min="11530" max="11531" width="0" style="188" hidden="1" customWidth="1"/>
    <col min="11532" max="11532" width="18.5" style="188" customWidth="1"/>
    <col min="11533" max="11533" width="20" style="188" bestFit="1" customWidth="1"/>
    <col min="11534" max="11534" width="23.5" style="188" bestFit="1" customWidth="1"/>
    <col min="11535" max="11535" width="0" style="188" hidden="1" customWidth="1"/>
    <col min="11536" max="11536" width="21.33203125" style="188" bestFit="1" customWidth="1"/>
    <col min="11537" max="11537" width="14.5" style="188" bestFit="1" customWidth="1"/>
    <col min="11538" max="11538" width="22.1640625" style="188" customWidth="1"/>
    <col min="11539" max="11539" width="1.5" style="188" customWidth="1"/>
    <col min="11540" max="11540" width="1.6640625" style="188" customWidth="1"/>
    <col min="11541" max="11541" width="17.83203125" style="188" customWidth="1"/>
    <col min="11542" max="11777" width="9.33203125" style="188"/>
    <col min="11778" max="11778" width="5.6640625" style="188" customWidth="1"/>
    <col min="11779" max="11779" width="11.6640625" style="188" customWidth="1"/>
    <col min="11780" max="11780" width="48" style="188" customWidth="1"/>
    <col min="11781" max="11781" width="3.83203125" style="188" customWidth="1"/>
    <col min="11782" max="11782" width="2.83203125" style="188" customWidth="1"/>
    <col min="11783" max="11783" width="21.83203125" style="188" customWidth="1"/>
    <col min="11784" max="11784" width="25.5" style="188" customWidth="1"/>
    <col min="11785" max="11785" width="21" style="188" customWidth="1"/>
    <col min="11786" max="11787" width="0" style="188" hidden="1" customWidth="1"/>
    <col min="11788" max="11788" width="18.5" style="188" customWidth="1"/>
    <col min="11789" max="11789" width="20" style="188" bestFit="1" customWidth="1"/>
    <col min="11790" max="11790" width="23.5" style="188" bestFit="1" customWidth="1"/>
    <col min="11791" max="11791" width="0" style="188" hidden="1" customWidth="1"/>
    <col min="11792" max="11792" width="21.33203125" style="188" bestFit="1" customWidth="1"/>
    <col min="11793" max="11793" width="14.5" style="188" bestFit="1" customWidth="1"/>
    <col min="11794" max="11794" width="22.1640625" style="188" customWidth="1"/>
    <col min="11795" max="11795" width="1.5" style="188" customWidth="1"/>
    <col min="11796" max="11796" width="1.6640625" style="188" customWidth="1"/>
    <col min="11797" max="11797" width="17.83203125" style="188" customWidth="1"/>
    <col min="11798" max="12033" width="9.33203125" style="188"/>
    <col min="12034" max="12034" width="5.6640625" style="188" customWidth="1"/>
    <col min="12035" max="12035" width="11.6640625" style="188" customWidth="1"/>
    <col min="12036" max="12036" width="48" style="188" customWidth="1"/>
    <col min="12037" max="12037" width="3.83203125" style="188" customWidth="1"/>
    <col min="12038" max="12038" width="2.83203125" style="188" customWidth="1"/>
    <col min="12039" max="12039" width="21.83203125" style="188" customWidth="1"/>
    <col min="12040" max="12040" width="25.5" style="188" customWidth="1"/>
    <col min="12041" max="12041" width="21" style="188" customWidth="1"/>
    <col min="12042" max="12043" width="0" style="188" hidden="1" customWidth="1"/>
    <col min="12044" max="12044" width="18.5" style="188" customWidth="1"/>
    <col min="12045" max="12045" width="20" style="188" bestFit="1" customWidth="1"/>
    <col min="12046" max="12046" width="23.5" style="188" bestFit="1" customWidth="1"/>
    <col min="12047" max="12047" width="0" style="188" hidden="1" customWidth="1"/>
    <col min="12048" max="12048" width="21.33203125" style="188" bestFit="1" customWidth="1"/>
    <col min="12049" max="12049" width="14.5" style="188" bestFit="1" customWidth="1"/>
    <col min="12050" max="12050" width="22.1640625" style="188" customWidth="1"/>
    <col min="12051" max="12051" width="1.5" style="188" customWidth="1"/>
    <col min="12052" max="12052" width="1.6640625" style="188" customWidth="1"/>
    <col min="12053" max="12053" width="17.83203125" style="188" customWidth="1"/>
    <col min="12054" max="12289" width="9.33203125" style="188"/>
    <col min="12290" max="12290" width="5.6640625" style="188" customWidth="1"/>
    <col min="12291" max="12291" width="11.6640625" style="188" customWidth="1"/>
    <col min="12292" max="12292" width="48" style="188" customWidth="1"/>
    <col min="12293" max="12293" width="3.83203125" style="188" customWidth="1"/>
    <col min="12294" max="12294" width="2.83203125" style="188" customWidth="1"/>
    <col min="12295" max="12295" width="21.83203125" style="188" customWidth="1"/>
    <col min="12296" max="12296" width="25.5" style="188" customWidth="1"/>
    <col min="12297" max="12297" width="21" style="188" customWidth="1"/>
    <col min="12298" max="12299" width="0" style="188" hidden="1" customWidth="1"/>
    <col min="12300" max="12300" width="18.5" style="188" customWidth="1"/>
    <col min="12301" max="12301" width="20" style="188" bestFit="1" customWidth="1"/>
    <col min="12302" max="12302" width="23.5" style="188" bestFit="1" customWidth="1"/>
    <col min="12303" max="12303" width="0" style="188" hidden="1" customWidth="1"/>
    <col min="12304" max="12304" width="21.33203125" style="188" bestFit="1" customWidth="1"/>
    <col min="12305" max="12305" width="14.5" style="188" bestFit="1" customWidth="1"/>
    <col min="12306" max="12306" width="22.1640625" style="188" customWidth="1"/>
    <col min="12307" max="12307" width="1.5" style="188" customWidth="1"/>
    <col min="12308" max="12308" width="1.6640625" style="188" customWidth="1"/>
    <col min="12309" max="12309" width="17.83203125" style="188" customWidth="1"/>
    <col min="12310" max="12545" width="9.33203125" style="188"/>
    <col min="12546" max="12546" width="5.6640625" style="188" customWidth="1"/>
    <col min="12547" max="12547" width="11.6640625" style="188" customWidth="1"/>
    <col min="12548" max="12548" width="48" style="188" customWidth="1"/>
    <col min="12549" max="12549" width="3.83203125" style="188" customWidth="1"/>
    <col min="12550" max="12550" width="2.83203125" style="188" customWidth="1"/>
    <col min="12551" max="12551" width="21.83203125" style="188" customWidth="1"/>
    <col min="12552" max="12552" width="25.5" style="188" customWidth="1"/>
    <col min="12553" max="12553" width="21" style="188" customWidth="1"/>
    <col min="12554" max="12555" width="0" style="188" hidden="1" customWidth="1"/>
    <col min="12556" max="12556" width="18.5" style="188" customWidth="1"/>
    <col min="12557" max="12557" width="20" style="188" bestFit="1" customWidth="1"/>
    <col min="12558" max="12558" width="23.5" style="188" bestFit="1" customWidth="1"/>
    <col min="12559" max="12559" width="0" style="188" hidden="1" customWidth="1"/>
    <col min="12560" max="12560" width="21.33203125" style="188" bestFit="1" customWidth="1"/>
    <col min="12561" max="12561" width="14.5" style="188" bestFit="1" customWidth="1"/>
    <col min="12562" max="12562" width="22.1640625" style="188" customWidth="1"/>
    <col min="12563" max="12563" width="1.5" style="188" customWidth="1"/>
    <col min="12564" max="12564" width="1.6640625" style="188" customWidth="1"/>
    <col min="12565" max="12565" width="17.83203125" style="188" customWidth="1"/>
    <col min="12566" max="12801" width="9.33203125" style="188"/>
    <col min="12802" max="12802" width="5.6640625" style="188" customWidth="1"/>
    <col min="12803" max="12803" width="11.6640625" style="188" customWidth="1"/>
    <col min="12804" max="12804" width="48" style="188" customWidth="1"/>
    <col min="12805" max="12805" width="3.83203125" style="188" customWidth="1"/>
    <col min="12806" max="12806" width="2.83203125" style="188" customWidth="1"/>
    <col min="12807" max="12807" width="21.83203125" style="188" customWidth="1"/>
    <col min="12808" max="12808" width="25.5" style="188" customWidth="1"/>
    <col min="12809" max="12809" width="21" style="188" customWidth="1"/>
    <col min="12810" max="12811" width="0" style="188" hidden="1" customWidth="1"/>
    <col min="12812" max="12812" width="18.5" style="188" customWidth="1"/>
    <col min="12813" max="12813" width="20" style="188" bestFit="1" customWidth="1"/>
    <col min="12814" max="12814" width="23.5" style="188" bestFit="1" customWidth="1"/>
    <col min="12815" max="12815" width="0" style="188" hidden="1" customWidth="1"/>
    <col min="12816" max="12816" width="21.33203125" style="188" bestFit="1" customWidth="1"/>
    <col min="12817" max="12817" width="14.5" style="188" bestFit="1" customWidth="1"/>
    <col min="12818" max="12818" width="22.1640625" style="188" customWidth="1"/>
    <col min="12819" max="12819" width="1.5" style="188" customWidth="1"/>
    <col min="12820" max="12820" width="1.6640625" style="188" customWidth="1"/>
    <col min="12821" max="12821" width="17.83203125" style="188" customWidth="1"/>
    <col min="12822" max="13057" width="9.33203125" style="188"/>
    <col min="13058" max="13058" width="5.6640625" style="188" customWidth="1"/>
    <col min="13059" max="13059" width="11.6640625" style="188" customWidth="1"/>
    <col min="13060" max="13060" width="48" style="188" customWidth="1"/>
    <col min="13061" max="13061" width="3.83203125" style="188" customWidth="1"/>
    <col min="13062" max="13062" width="2.83203125" style="188" customWidth="1"/>
    <col min="13063" max="13063" width="21.83203125" style="188" customWidth="1"/>
    <col min="13064" max="13064" width="25.5" style="188" customWidth="1"/>
    <col min="13065" max="13065" width="21" style="188" customWidth="1"/>
    <col min="13066" max="13067" width="0" style="188" hidden="1" customWidth="1"/>
    <col min="13068" max="13068" width="18.5" style="188" customWidth="1"/>
    <col min="13069" max="13069" width="20" style="188" bestFit="1" customWidth="1"/>
    <col min="13070" max="13070" width="23.5" style="188" bestFit="1" customWidth="1"/>
    <col min="13071" max="13071" width="0" style="188" hidden="1" customWidth="1"/>
    <col min="13072" max="13072" width="21.33203125" style="188" bestFit="1" customWidth="1"/>
    <col min="13073" max="13073" width="14.5" style="188" bestFit="1" customWidth="1"/>
    <col min="13074" max="13074" width="22.1640625" style="188" customWidth="1"/>
    <col min="13075" max="13075" width="1.5" style="188" customWidth="1"/>
    <col min="13076" max="13076" width="1.6640625" style="188" customWidth="1"/>
    <col min="13077" max="13077" width="17.83203125" style="188" customWidth="1"/>
    <col min="13078" max="13313" width="9.33203125" style="188"/>
    <col min="13314" max="13314" width="5.6640625" style="188" customWidth="1"/>
    <col min="13315" max="13315" width="11.6640625" style="188" customWidth="1"/>
    <col min="13316" max="13316" width="48" style="188" customWidth="1"/>
    <col min="13317" max="13317" width="3.83203125" style="188" customWidth="1"/>
    <col min="13318" max="13318" width="2.83203125" style="188" customWidth="1"/>
    <col min="13319" max="13319" width="21.83203125" style="188" customWidth="1"/>
    <col min="13320" max="13320" width="25.5" style="188" customWidth="1"/>
    <col min="13321" max="13321" width="21" style="188" customWidth="1"/>
    <col min="13322" max="13323" width="0" style="188" hidden="1" customWidth="1"/>
    <col min="13324" max="13324" width="18.5" style="188" customWidth="1"/>
    <col min="13325" max="13325" width="20" style="188" bestFit="1" customWidth="1"/>
    <col min="13326" max="13326" width="23.5" style="188" bestFit="1" customWidth="1"/>
    <col min="13327" max="13327" width="0" style="188" hidden="1" customWidth="1"/>
    <col min="13328" max="13328" width="21.33203125" style="188" bestFit="1" customWidth="1"/>
    <col min="13329" max="13329" width="14.5" style="188" bestFit="1" customWidth="1"/>
    <col min="13330" max="13330" width="22.1640625" style="188" customWidth="1"/>
    <col min="13331" max="13331" width="1.5" style="188" customWidth="1"/>
    <col min="13332" max="13332" width="1.6640625" style="188" customWidth="1"/>
    <col min="13333" max="13333" width="17.83203125" style="188" customWidth="1"/>
    <col min="13334" max="13569" width="9.33203125" style="188"/>
    <col min="13570" max="13570" width="5.6640625" style="188" customWidth="1"/>
    <col min="13571" max="13571" width="11.6640625" style="188" customWidth="1"/>
    <col min="13572" max="13572" width="48" style="188" customWidth="1"/>
    <col min="13573" max="13573" width="3.83203125" style="188" customWidth="1"/>
    <col min="13574" max="13574" width="2.83203125" style="188" customWidth="1"/>
    <col min="13575" max="13575" width="21.83203125" style="188" customWidth="1"/>
    <col min="13576" max="13576" width="25.5" style="188" customWidth="1"/>
    <col min="13577" max="13577" width="21" style="188" customWidth="1"/>
    <col min="13578" max="13579" width="0" style="188" hidden="1" customWidth="1"/>
    <col min="13580" max="13580" width="18.5" style="188" customWidth="1"/>
    <col min="13581" max="13581" width="20" style="188" bestFit="1" customWidth="1"/>
    <col min="13582" max="13582" width="23.5" style="188" bestFit="1" customWidth="1"/>
    <col min="13583" max="13583" width="0" style="188" hidden="1" customWidth="1"/>
    <col min="13584" max="13584" width="21.33203125" style="188" bestFit="1" customWidth="1"/>
    <col min="13585" max="13585" width="14.5" style="188" bestFit="1" customWidth="1"/>
    <col min="13586" max="13586" width="22.1640625" style="188" customWidth="1"/>
    <col min="13587" max="13587" width="1.5" style="188" customWidth="1"/>
    <col min="13588" max="13588" width="1.6640625" style="188" customWidth="1"/>
    <col min="13589" max="13589" width="17.83203125" style="188" customWidth="1"/>
    <col min="13590" max="13825" width="9.33203125" style="188"/>
    <col min="13826" max="13826" width="5.6640625" style="188" customWidth="1"/>
    <col min="13827" max="13827" width="11.6640625" style="188" customWidth="1"/>
    <col min="13828" max="13828" width="48" style="188" customWidth="1"/>
    <col min="13829" max="13829" width="3.83203125" style="188" customWidth="1"/>
    <col min="13830" max="13830" width="2.83203125" style="188" customWidth="1"/>
    <col min="13831" max="13831" width="21.83203125" style="188" customWidth="1"/>
    <col min="13832" max="13832" width="25.5" style="188" customWidth="1"/>
    <col min="13833" max="13833" width="21" style="188" customWidth="1"/>
    <col min="13834" max="13835" width="0" style="188" hidden="1" customWidth="1"/>
    <col min="13836" max="13836" width="18.5" style="188" customWidth="1"/>
    <col min="13837" max="13837" width="20" style="188" bestFit="1" customWidth="1"/>
    <col min="13838" max="13838" width="23.5" style="188" bestFit="1" customWidth="1"/>
    <col min="13839" max="13839" width="0" style="188" hidden="1" customWidth="1"/>
    <col min="13840" max="13840" width="21.33203125" style="188" bestFit="1" customWidth="1"/>
    <col min="13841" max="13841" width="14.5" style="188" bestFit="1" customWidth="1"/>
    <col min="13842" max="13842" width="22.1640625" style="188" customWidth="1"/>
    <col min="13843" max="13843" width="1.5" style="188" customWidth="1"/>
    <col min="13844" max="13844" width="1.6640625" style="188" customWidth="1"/>
    <col min="13845" max="13845" width="17.83203125" style="188" customWidth="1"/>
    <col min="13846" max="14081" width="9.33203125" style="188"/>
    <col min="14082" max="14082" width="5.6640625" style="188" customWidth="1"/>
    <col min="14083" max="14083" width="11.6640625" style="188" customWidth="1"/>
    <col min="14084" max="14084" width="48" style="188" customWidth="1"/>
    <col min="14085" max="14085" width="3.83203125" style="188" customWidth="1"/>
    <col min="14086" max="14086" width="2.83203125" style="188" customWidth="1"/>
    <col min="14087" max="14087" width="21.83203125" style="188" customWidth="1"/>
    <col min="14088" max="14088" width="25.5" style="188" customWidth="1"/>
    <col min="14089" max="14089" width="21" style="188" customWidth="1"/>
    <col min="14090" max="14091" width="0" style="188" hidden="1" customWidth="1"/>
    <col min="14092" max="14092" width="18.5" style="188" customWidth="1"/>
    <col min="14093" max="14093" width="20" style="188" bestFit="1" customWidth="1"/>
    <col min="14094" max="14094" width="23.5" style="188" bestFit="1" customWidth="1"/>
    <col min="14095" max="14095" width="0" style="188" hidden="1" customWidth="1"/>
    <col min="14096" max="14096" width="21.33203125" style="188" bestFit="1" customWidth="1"/>
    <col min="14097" max="14097" width="14.5" style="188" bestFit="1" customWidth="1"/>
    <col min="14098" max="14098" width="22.1640625" style="188" customWidth="1"/>
    <col min="14099" max="14099" width="1.5" style="188" customWidth="1"/>
    <col min="14100" max="14100" width="1.6640625" style="188" customWidth="1"/>
    <col min="14101" max="14101" width="17.83203125" style="188" customWidth="1"/>
    <col min="14102" max="14337" width="9.33203125" style="188"/>
    <col min="14338" max="14338" width="5.6640625" style="188" customWidth="1"/>
    <col min="14339" max="14339" width="11.6640625" style="188" customWidth="1"/>
    <col min="14340" max="14340" width="48" style="188" customWidth="1"/>
    <col min="14341" max="14341" width="3.83203125" style="188" customWidth="1"/>
    <col min="14342" max="14342" width="2.83203125" style="188" customWidth="1"/>
    <col min="14343" max="14343" width="21.83203125" style="188" customWidth="1"/>
    <col min="14344" max="14344" width="25.5" style="188" customWidth="1"/>
    <col min="14345" max="14345" width="21" style="188" customWidth="1"/>
    <col min="14346" max="14347" width="0" style="188" hidden="1" customWidth="1"/>
    <col min="14348" max="14348" width="18.5" style="188" customWidth="1"/>
    <col min="14349" max="14349" width="20" style="188" bestFit="1" customWidth="1"/>
    <col min="14350" max="14350" width="23.5" style="188" bestFit="1" customWidth="1"/>
    <col min="14351" max="14351" width="0" style="188" hidden="1" customWidth="1"/>
    <col min="14352" max="14352" width="21.33203125" style="188" bestFit="1" customWidth="1"/>
    <col min="14353" max="14353" width="14.5" style="188" bestFit="1" customWidth="1"/>
    <col min="14354" max="14354" width="22.1640625" style="188" customWidth="1"/>
    <col min="14355" max="14355" width="1.5" style="188" customWidth="1"/>
    <col min="14356" max="14356" width="1.6640625" style="188" customWidth="1"/>
    <col min="14357" max="14357" width="17.83203125" style="188" customWidth="1"/>
    <col min="14358" max="14593" width="9.33203125" style="188"/>
    <col min="14594" max="14594" width="5.6640625" style="188" customWidth="1"/>
    <col min="14595" max="14595" width="11.6640625" style="188" customWidth="1"/>
    <col min="14596" max="14596" width="48" style="188" customWidth="1"/>
    <col min="14597" max="14597" width="3.83203125" style="188" customWidth="1"/>
    <col min="14598" max="14598" width="2.83203125" style="188" customWidth="1"/>
    <col min="14599" max="14599" width="21.83203125" style="188" customWidth="1"/>
    <col min="14600" max="14600" width="25.5" style="188" customWidth="1"/>
    <col min="14601" max="14601" width="21" style="188" customWidth="1"/>
    <col min="14602" max="14603" width="0" style="188" hidden="1" customWidth="1"/>
    <col min="14604" max="14604" width="18.5" style="188" customWidth="1"/>
    <col min="14605" max="14605" width="20" style="188" bestFit="1" customWidth="1"/>
    <col min="14606" max="14606" width="23.5" style="188" bestFit="1" customWidth="1"/>
    <col min="14607" max="14607" width="0" style="188" hidden="1" customWidth="1"/>
    <col min="14608" max="14608" width="21.33203125" style="188" bestFit="1" customWidth="1"/>
    <col min="14609" max="14609" width="14.5" style="188" bestFit="1" customWidth="1"/>
    <col min="14610" max="14610" width="22.1640625" style="188" customWidth="1"/>
    <col min="14611" max="14611" width="1.5" style="188" customWidth="1"/>
    <col min="14612" max="14612" width="1.6640625" style="188" customWidth="1"/>
    <col min="14613" max="14613" width="17.83203125" style="188" customWidth="1"/>
    <col min="14614" max="14849" width="9.33203125" style="188"/>
    <col min="14850" max="14850" width="5.6640625" style="188" customWidth="1"/>
    <col min="14851" max="14851" width="11.6640625" style="188" customWidth="1"/>
    <col min="14852" max="14852" width="48" style="188" customWidth="1"/>
    <col min="14853" max="14853" width="3.83203125" style="188" customWidth="1"/>
    <col min="14854" max="14854" width="2.83203125" style="188" customWidth="1"/>
    <col min="14855" max="14855" width="21.83203125" style="188" customWidth="1"/>
    <col min="14856" max="14856" width="25.5" style="188" customWidth="1"/>
    <col min="14857" max="14857" width="21" style="188" customWidth="1"/>
    <col min="14858" max="14859" width="0" style="188" hidden="1" customWidth="1"/>
    <col min="14860" max="14860" width="18.5" style="188" customWidth="1"/>
    <col min="14861" max="14861" width="20" style="188" bestFit="1" customWidth="1"/>
    <col min="14862" max="14862" width="23.5" style="188" bestFit="1" customWidth="1"/>
    <col min="14863" max="14863" width="0" style="188" hidden="1" customWidth="1"/>
    <col min="14864" max="14864" width="21.33203125" style="188" bestFit="1" customWidth="1"/>
    <col min="14865" max="14865" width="14.5" style="188" bestFit="1" customWidth="1"/>
    <col min="14866" max="14866" width="22.1640625" style="188" customWidth="1"/>
    <col min="14867" max="14867" width="1.5" style="188" customWidth="1"/>
    <col min="14868" max="14868" width="1.6640625" style="188" customWidth="1"/>
    <col min="14869" max="14869" width="17.83203125" style="188" customWidth="1"/>
    <col min="14870" max="15105" width="9.33203125" style="188"/>
    <col min="15106" max="15106" width="5.6640625" style="188" customWidth="1"/>
    <col min="15107" max="15107" width="11.6640625" style="188" customWidth="1"/>
    <col min="15108" max="15108" width="48" style="188" customWidth="1"/>
    <col min="15109" max="15109" width="3.83203125" style="188" customWidth="1"/>
    <col min="15110" max="15110" width="2.83203125" style="188" customWidth="1"/>
    <col min="15111" max="15111" width="21.83203125" style="188" customWidth="1"/>
    <col min="15112" max="15112" width="25.5" style="188" customWidth="1"/>
    <col min="15113" max="15113" width="21" style="188" customWidth="1"/>
    <col min="15114" max="15115" width="0" style="188" hidden="1" customWidth="1"/>
    <col min="15116" max="15116" width="18.5" style="188" customWidth="1"/>
    <col min="15117" max="15117" width="20" style="188" bestFit="1" customWidth="1"/>
    <col min="15118" max="15118" width="23.5" style="188" bestFit="1" customWidth="1"/>
    <col min="15119" max="15119" width="0" style="188" hidden="1" customWidth="1"/>
    <col min="15120" max="15120" width="21.33203125" style="188" bestFit="1" customWidth="1"/>
    <col min="15121" max="15121" width="14.5" style="188" bestFit="1" customWidth="1"/>
    <col min="15122" max="15122" width="22.1640625" style="188" customWidth="1"/>
    <col min="15123" max="15123" width="1.5" style="188" customWidth="1"/>
    <col min="15124" max="15124" width="1.6640625" style="188" customWidth="1"/>
    <col min="15125" max="15125" width="17.83203125" style="188" customWidth="1"/>
    <col min="15126" max="15361" width="9.33203125" style="188"/>
    <col min="15362" max="15362" width="5.6640625" style="188" customWidth="1"/>
    <col min="15363" max="15363" width="11.6640625" style="188" customWidth="1"/>
    <col min="15364" max="15364" width="48" style="188" customWidth="1"/>
    <col min="15365" max="15365" width="3.83203125" style="188" customWidth="1"/>
    <col min="15366" max="15366" width="2.83203125" style="188" customWidth="1"/>
    <col min="15367" max="15367" width="21.83203125" style="188" customWidth="1"/>
    <col min="15368" max="15368" width="25.5" style="188" customWidth="1"/>
    <col min="15369" max="15369" width="21" style="188" customWidth="1"/>
    <col min="15370" max="15371" width="0" style="188" hidden="1" customWidth="1"/>
    <col min="15372" max="15372" width="18.5" style="188" customWidth="1"/>
    <col min="15373" max="15373" width="20" style="188" bestFit="1" customWidth="1"/>
    <col min="15374" max="15374" width="23.5" style="188" bestFit="1" customWidth="1"/>
    <col min="15375" max="15375" width="0" style="188" hidden="1" customWidth="1"/>
    <col min="15376" max="15376" width="21.33203125" style="188" bestFit="1" customWidth="1"/>
    <col min="15377" max="15377" width="14.5" style="188" bestFit="1" customWidth="1"/>
    <col min="15378" max="15378" width="22.1640625" style="188" customWidth="1"/>
    <col min="15379" max="15379" width="1.5" style="188" customWidth="1"/>
    <col min="15380" max="15380" width="1.6640625" style="188" customWidth="1"/>
    <col min="15381" max="15381" width="17.83203125" style="188" customWidth="1"/>
    <col min="15382" max="15617" width="9.33203125" style="188"/>
    <col min="15618" max="15618" width="5.6640625" style="188" customWidth="1"/>
    <col min="15619" max="15619" width="11.6640625" style="188" customWidth="1"/>
    <col min="15620" max="15620" width="48" style="188" customWidth="1"/>
    <col min="15621" max="15621" width="3.83203125" style="188" customWidth="1"/>
    <col min="15622" max="15622" width="2.83203125" style="188" customWidth="1"/>
    <col min="15623" max="15623" width="21.83203125" style="188" customWidth="1"/>
    <col min="15624" max="15624" width="25.5" style="188" customWidth="1"/>
    <col min="15625" max="15625" width="21" style="188" customWidth="1"/>
    <col min="15626" max="15627" width="0" style="188" hidden="1" customWidth="1"/>
    <col min="15628" max="15628" width="18.5" style="188" customWidth="1"/>
    <col min="15629" max="15629" width="20" style="188" bestFit="1" customWidth="1"/>
    <col min="15630" max="15630" width="23.5" style="188" bestFit="1" customWidth="1"/>
    <col min="15631" max="15631" width="0" style="188" hidden="1" customWidth="1"/>
    <col min="15632" max="15632" width="21.33203125" style="188" bestFit="1" customWidth="1"/>
    <col min="15633" max="15633" width="14.5" style="188" bestFit="1" customWidth="1"/>
    <col min="15634" max="15634" width="22.1640625" style="188" customWidth="1"/>
    <col min="15635" max="15635" width="1.5" style="188" customWidth="1"/>
    <col min="15636" max="15636" width="1.6640625" style="188" customWidth="1"/>
    <col min="15637" max="15637" width="17.83203125" style="188" customWidth="1"/>
    <col min="15638" max="15873" width="9.33203125" style="188"/>
    <col min="15874" max="15874" width="5.6640625" style="188" customWidth="1"/>
    <col min="15875" max="15875" width="11.6640625" style="188" customWidth="1"/>
    <col min="15876" max="15876" width="48" style="188" customWidth="1"/>
    <col min="15877" max="15877" width="3.83203125" style="188" customWidth="1"/>
    <col min="15878" max="15878" width="2.83203125" style="188" customWidth="1"/>
    <col min="15879" max="15879" width="21.83203125" style="188" customWidth="1"/>
    <col min="15880" max="15880" width="25.5" style="188" customWidth="1"/>
    <col min="15881" max="15881" width="21" style="188" customWidth="1"/>
    <col min="15882" max="15883" width="0" style="188" hidden="1" customWidth="1"/>
    <col min="15884" max="15884" width="18.5" style="188" customWidth="1"/>
    <col min="15885" max="15885" width="20" style="188" bestFit="1" customWidth="1"/>
    <col min="15886" max="15886" width="23.5" style="188" bestFit="1" customWidth="1"/>
    <col min="15887" max="15887" width="0" style="188" hidden="1" customWidth="1"/>
    <col min="15888" max="15888" width="21.33203125" style="188" bestFit="1" customWidth="1"/>
    <col min="15889" max="15889" width="14.5" style="188" bestFit="1" customWidth="1"/>
    <col min="15890" max="15890" width="22.1640625" style="188" customWidth="1"/>
    <col min="15891" max="15891" width="1.5" style="188" customWidth="1"/>
    <col min="15892" max="15892" width="1.6640625" style="188" customWidth="1"/>
    <col min="15893" max="15893" width="17.83203125" style="188" customWidth="1"/>
    <col min="15894" max="16129" width="9.33203125" style="188"/>
    <col min="16130" max="16130" width="5.6640625" style="188" customWidth="1"/>
    <col min="16131" max="16131" width="11.6640625" style="188" customWidth="1"/>
    <col min="16132" max="16132" width="48" style="188" customWidth="1"/>
    <col min="16133" max="16133" width="3.83203125" style="188" customWidth="1"/>
    <col min="16134" max="16134" width="2.83203125" style="188" customWidth="1"/>
    <col min="16135" max="16135" width="21.83203125" style="188" customWidth="1"/>
    <col min="16136" max="16136" width="25.5" style="188" customWidth="1"/>
    <col min="16137" max="16137" width="21" style="188" customWidth="1"/>
    <col min="16138" max="16139" width="0" style="188" hidden="1" customWidth="1"/>
    <col min="16140" max="16140" width="18.5" style="188" customWidth="1"/>
    <col min="16141" max="16141" width="20" style="188" bestFit="1" customWidth="1"/>
    <col min="16142" max="16142" width="23.5" style="188" bestFit="1" customWidth="1"/>
    <col min="16143" max="16143" width="0" style="188" hidden="1" customWidth="1"/>
    <col min="16144" max="16144" width="21.33203125" style="188" bestFit="1" customWidth="1"/>
    <col min="16145" max="16145" width="14.5" style="188" bestFit="1" customWidth="1"/>
    <col min="16146" max="16146" width="22.1640625" style="188" customWidth="1"/>
    <col min="16147" max="16147" width="1.5" style="188" customWidth="1"/>
    <col min="16148" max="16148" width="1.6640625" style="188" customWidth="1"/>
    <col min="16149" max="16149" width="17.83203125" style="188" customWidth="1"/>
    <col min="16150" max="16384" width="9.33203125" style="188"/>
  </cols>
  <sheetData>
    <row r="1" spans="1:29" ht="15.75" customHeight="1">
      <c r="B1" s="998"/>
      <c r="C1" s="1305" t="s">
        <v>903</v>
      </c>
      <c r="D1" s="1305"/>
      <c r="E1" s="1305"/>
      <c r="F1" s="1305"/>
      <c r="G1" s="1305"/>
      <c r="H1" s="1305"/>
      <c r="I1" s="1305"/>
      <c r="J1" s="1305"/>
      <c r="K1" s="1305"/>
      <c r="L1" s="1305"/>
      <c r="M1" s="1305"/>
      <c r="N1" s="1305"/>
      <c r="O1" s="999"/>
      <c r="P1" s="999"/>
      <c r="Q1" s="999"/>
      <c r="R1" s="1000" t="s">
        <v>1192</v>
      </c>
    </row>
    <row r="2" spans="1:29" ht="15.75" customHeight="1">
      <c r="B2" s="1001"/>
      <c r="C2" s="1305" t="s">
        <v>904</v>
      </c>
      <c r="D2" s="1305"/>
      <c r="E2" s="1305"/>
      <c r="F2" s="1305"/>
      <c r="G2" s="1305"/>
      <c r="H2" s="1305"/>
      <c r="I2" s="1305"/>
      <c r="J2" s="1305"/>
      <c r="K2" s="1305"/>
      <c r="L2" s="1305"/>
      <c r="M2" s="1305"/>
      <c r="N2" s="1305"/>
      <c r="O2" s="999"/>
      <c r="Q2" s="999"/>
      <c r="R2" s="1000" t="str">
        <f>'MCC-2 page 1-6'!BB2</f>
        <v>Dockets UE-170033/UG-170034</v>
      </c>
    </row>
    <row r="3" spans="1:29" ht="15.6" customHeight="1">
      <c r="A3" s="1002"/>
      <c r="B3" s="998"/>
      <c r="C3" s="1305" t="s">
        <v>650</v>
      </c>
      <c r="D3" s="1305"/>
      <c r="E3" s="1305"/>
      <c r="F3" s="1305"/>
      <c r="G3" s="1305"/>
      <c r="H3" s="1305"/>
      <c r="I3" s="1305"/>
      <c r="J3" s="1305"/>
      <c r="K3" s="1305"/>
      <c r="L3" s="1305"/>
      <c r="M3" s="1305"/>
      <c r="N3" s="1305"/>
      <c r="O3" s="998"/>
      <c r="P3" s="998"/>
      <c r="Q3" s="998"/>
      <c r="R3" s="1000" t="s">
        <v>1200</v>
      </c>
    </row>
    <row r="4" spans="1:29" ht="15.75">
      <c r="A4" s="998"/>
      <c r="B4" s="998"/>
      <c r="C4" s="998"/>
      <c r="D4" s="1003"/>
      <c r="E4" s="998"/>
      <c r="F4" s="998"/>
      <c r="G4" s="998"/>
      <c r="H4" s="998"/>
      <c r="I4" s="998"/>
      <c r="J4" s="1004"/>
      <c r="K4" s="1004"/>
      <c r="L4" s="998"/>
      <c r="M4" s="998"/>
      <c r="N4" s="998"/>
      <c r="O4" s="998"/>
      <c r="P4" s="998"/>
      <c r="Q4" s="998"/>
      <c r="R4" s="998"/>
    </row>
    <row r="5" spans="1:29" ht="15.75">
      <c r="A5" s="998"/>
      <c r="B5" s="998"/>
      <c r="C5" s="998"/>
      <c r="D5" s="1003"/>
      <c r="E5" s="998"/>
      <c r="F5" s="998"/>
      <c r="G5" s="998"/>
      <c r="H5" s="998"/>
      <c r="I5" s="998"/>
      <c r="J5" s="1004"/>
      <c r="K5" s="1004"/>
      <c r="L5" s="998"/>
      <c r="M5" s="998"/>
      <c r="N5" s="1005"/>
      <c r="O5" s="1006"/>
      <c r="P5" s="998"/>
      <c r="Q5" s="998"/>
      <c r="R5" s="998"/>
    </row>
    <row r="6" spans="1:29" ht="15.6" customHeight="1" thickBot="1">
      <c r="A6" s="998"/>
      <c r="B6" s="998"/>
      <c r="C6" s="998"/>
      <c r="D6" s="1003"/>
      <c r="E6" s="998"/>
      <c r="F6" s="998"/>
      <c r="G6" s="998"/>
      <c r="H6" s="998"/>
      <c r="I6" s="998"/>
      <c r="J6" s="1004"/>
      <c r="K6" s="1004"/>
      <c r="L6" s="998"/>
      <c r="M6" s="998"/>
      <c r="N6" s="1005"/>
      <c r="O6" s="998"/>
      <c r="P6" s="998"/>
      <c r="Q6" s="1007" t="s">
        <v>910</v>
      </c>
      <c r="R6" s="1008" t="s">
        <v>910</v>
      </c>
    </row>
    <row r="7" spans="1:29" ht="16.5" thickBot="1">
      <c r="A7" s="998"/>
      <c r="B7" s="1009"/>
      <c r="C7" s="1010"/>
      <c r="D7" s="1306"/>
      <c r="E7" s="1306"/>
      <c r="F7" s="1307" t="s">
        <v>905</v>
      </c>
      <c r="G7" s="1308"/>
      <c r="H7" s="1011" t="s">
        <v>906</v>
      </c>
      <c r="I7" s="1012" t="s">
        <v>908</v>
      </c>
      <c r="J7" s="1307" t="s">
        <v>909</v>
      </c>
      <c r="K7" s="1308"/>
      <c r="L7" s="1011" t="s">
        <v>906</v>
      </c>
      <c r="M7" s="1307" t="s">
        <v>909</v>
      </c>
      <c r="N7" s="1308"/>
      <c r="O7" s="1013" t="s">
        <v>906</v>
      </c>
      <c r="P7" s="1012" t="s">
        <v>908</v>
      </c>
      <c r="Q7" s="1014" t="s">
        <v>925</v>
      </c>
      <c r="R7" s="1015" t="s">
        <v>1098</v>
      </c>
      <c r="U7" s="1016" t="s">
        <v>911</v>
      </c>
      <c r="V7" s="1017"/>
      <c r="W7" s="1017"/>
      <c r="X7" s="1018"/>
    </row>
    <row r="8" spans="1:29" ht="23.25">
      <c r="A8" s="998"/>
      <c r="B8" s="1019" t="s">
        <v>912</v>
      </c>
      <c r="C8" s="1020" t="s">
        <v>333</v>
      </c>
      <c r="D8" s="1021"/>
      <c r="E8" s="1022"/>
      <c r="F8" s="1019" t="s">
        <v>894</v>
      </c>
      <c r="G8" s="1023" t="s">
        <v>236</v>
      </c>
      <c r="H8" s="1024" t="s">
        <v>925</v>
      </c>
      <c r="I8" s="1020" t="s">
        <v>236</v>
      </c>
      <c r="J8" s="1025" t="s">
        <v>1114</v>
      </c>
      <c r="K8" s="1025" t="s">
        <v>1115</v>
      </c>
      <c r="L8" s="1024" t="s">
        <v>1113</v>
      </c>
      <c r="M8" s="1019" t="s">
        <v>894</v>
      </c>
      <c r="N8" s="1023" t="s">
        <v>236</v>
      </c>
      <c r="O8" s="1026" t="s">
        <v>1098</v>
      </c>
      <c r="P8" s="1020" t="s">
        <v>236</v>
      </c>
      <c r="Q8" s="1027" t="s">
        <v>996</v>
      </c>
      <c r="R8" s="1027" t="s">
        <v>996</v>
      </c>
      <c r="U8" s="1028" t="s">
        <v>913</v>
      </c>
      <c r="V8" s="1029"/>
      <c r="W8" s="1029"/>
      <c r="X8" s="1030" t="s">
        <v>896</v>
      </c>
    </row>
    <row r="9" spans="1:29" ht="18.75">
      <c r="A9" s="998"/>
      <c r="B9" s="1031" t="s">
        <v>1124</v>
      </c>
      <c r="C9" s="1032" t="s">
        <v>1125</v>
      </c>
      <c r="D9" s="1033"/>
      <c r="E9" s="1034"/>
      <c r="F9" s="1031" t="s">
        <v>1126</v>
      </c>
      <c r="G9" s="1035" t="s">
        <v>1127</v>
      </c>
      <c r="H9" s="1036" t="s">
        <v>1128</v>
      </c>
      <c r="I9" s="1037" t="s">
        <v>1129</v>
      </c>
      <c r="J9" s="1038" t="s">
        <v>1130</v>
      </c>
      <c r="K9" s="1039" t="s">
        <v>1131</v>
      </c>
      <c r="L9" s="1036" t="s">
        <v>394</v>
      </c>
      <c r="M9" s="1038" t="s">
        <v>1132</v>
      </c>
      <c r="N9" s="1039" t="s">
        <v>1133</v>
      </c>
      <c r="O9" s="1039" t="s">
        <v>1134</v>
      </c>
      <c r="P9" s="1037" t="s">
        <v>1135</v>
      </c>
      <c r="Q9" s="1040" t="s">
        <v>1116</v>
      </c>
      <c r="R9" s="1039" t="s">
        <v>1117</v>
      </c>
      <c r="U9" s="1041"/>
      <c r="V9" s="1029" t="s">
        <v>914</v>
      </c>
      <c r="W9" s="1029" t="s">
        <v>915</v>
      </c>
      <c r="X9" s="1030"/>
    </row>
    <row r="10" spans="1:29" ht="15.75">
      <c r="A10" s="998"/>
      <c r="B10" s="1042"/>
      <c r="C10" s="1043"/>
      <c r="D10" s="1003"/>
      <c r="E10" s="998"/>
      <c r="F10" s="1042"/>
      <c r="G10" s="1044"/>
      <c r="H10" s="1044"/>
      <c r="I10" s="1043"/>
      <c r="J10" s="1045"/>
      <c r="K10" s="1045"/>
      <c r="L10" s="1044"/>
      <c r="M10" s="1042"/>
      <c r="N10" s="1044"/>
      <c r="O10" s="1044"/>
      <c r="P10" s="1043"/>
      <c r="Q10" s="1044"/>
      <c r="R10" s="998"/>
      <c r="U10" s="1041" t="str">
        <f>'EXHIBIT MCC-3'!H13</f>
        <v>SHORT TERM DEBT</v>
      </c>
      <c r="V10" s="1046">
        <f>'EXHIBIT MCC-3'!I13</f>
        <v>0.01</v>
      </c>
      <c r="W10" s="1046">
        <f>'EXHIBIT MCC-3'!J13</f>
        <v>3.0599999999999999E-2</v>
      </c>
      <c r="X10" s="1047">
        <f>'EXHIBIT MCC-3'!K13</f>
        <v>2.9999999999999997E-4</v>
      </c>
      <c r="Y10" s="1109"/>
      <c r="Z10" s="1109"/>
    </row>
    <row r="11" spans="1:29" ht="15.75">
      <c r="A11" s="998"/>
      <c r="B11" s="1048"/>
      <c r="C11" s="1049" t="s">
        <v>916</v>
      </c>
      <c r="D11" s="1050"/>
      <c r="E11" s="1051"/>
      <c r="F11" s="1052">
        <v>401002971.69877887</v>
      </c>
      <c r="G11" s="1053">
        <v>5153204461.5858841</v>
      </c>
      <c r="H11" s="1054">
        <f>(-F11+(G11*$X$32))/ConversionFactor</f>
        <v>-3464894.4465503655</v>
      </c>
      <c r="I11" s="1055">
        <f>+F11/G11</f>
        <v>7.7816235448839796E-2</v>
      </c>
      <c r="J11" s="1056">
        <v>401002971.69877887</v>
      </c>
      <c r="K11" s="1056">
        <v>5153204461.5858841</v>
      </c>
      <c r="L11" s="1054">
        <f>(-J11+(K11*$X$32))/ConversionFactor</f>
        <v>-3464894.4465503655</v>
      </c>
      <c r="M11" s="1052">
        <f>'MCC-2 page 1-6'!D49</f>
        <v>401002971.69877887</v>
      </c>
      <c r="N11" s="1053">
        <f>'MCC-2 page 1-6'!D51</f>
        <v>5153204461.5858841</v>
      </c>
      <c r="O11" s="1054">
        <f>(-M11+(N11*$X$14))/ConversionFactor</f>
        <v>-34265032.896965198</v>
      </c>
      <c r="P11" s="1055">
        <f>+M11/N11</f>
        <v>7.7816235448839796E-2</v>
      </c>
      <c r="Q11" s="1057">
        <f>L11-H11</f>
        <v>0</v>
      </c>
      <c r="R11" s="1058">
        <f>+O11-H11</f>
        <v>-30800138.450414833</v>
      </c>
      <c r="U11" s="1041" t="str">
        <f>'EXHIBIT MCC-3'!H14</f>
        <v>LONG TERM DEBT</v>
      </c>
      <c r="V11" s="1046">
        <f>'EXHIBIT MCC-3'!I14</f>
        <v>0.51</v>
      </c>
      <c r="W11" s="1046">
        <f>'EXHIBIT MCC-3'!J14</f>
        <v>5.7299999999999997E-2</v>
      </c>
      <c r="X11" s="1047">
        <f>'EXHIBIT MCC-3'!K14</f>
        <v>2.92E-2</v>
      </c>
      <c r="Y11" s="1109"/>
      <c r="Z11" s="1109"/>
      <c r="AA11" s="991">
        <f>J11-M11</f>
        <v>0</v>
      </c>
      <c r="AB11" s="991">
        <f t="shared" ref="AB11:AC11" si="0">K11-N11</f>
        <v>0</v>
      </c>
      <c r="AC11" s="991">
        <f t="shared" si="0"/>
        <v>30800138.450414833</v>
      </c>
    </row>
    <row r="12" spans="1:29" ht="15.75">
      <c r="A12" s="998"/>
      <c r="B12" s="1048"/>
      <c r="C12" s="1059" t="s">
        <v>890</v>
      </c>
      <c r="D12" s="1050"/>
      <c r="E12" s="1051"/>
      <c r="F12" s="1052"/>
      <c r="G12" s="1053"/>
      <c r="H12" s="1054"/>
      <c r="I12" s="1055"/>
      <c r="J12" s="1056"/>
      <c r="K12" s="1056"/>
      <c r="L12" s="1054">
        <f t="shared" ref="L12:L52" si="1">(-J12+(K12*$X$32))/ConversionFactor</f>
        <v>0</v>
      </c>
      <c r="M12" s="1052"/>
      <c r="N12" s="1053"/>
      <c r="O12" s="1054"/>
      <c r="P12" s="1055"/>
      <c r="Q12" s="1057"/>
      <c r="R12" s="1058"/>
      <c r="U12" s="1041"/>
      <c r="V12" s="1046"/>
      <c r="W12" s="1046"/>
      <c r="X12" s="1047"/>
      <c r="Y12" s="1109"/>
      <c r="Z12" s="1109"/>
      <c r="AA12" s="991">
        <f t="shared" ref="AA12:AA55" si="2">J12-M12</f>
        <v>0</v>
      </c>
      <c r="AB12" s="991">
        <f t="shared" ref="AB12:AB55" si="3">K12-N12</f>
        <v>0</v>
      </c>
      <c r="AC12" s="991">
        <f t="shared" ref="AC12:AC55" si="4">L12-O12</f>
        <v>0</v>
      </c>
    </row>
    <row r="13" spans="1:29" ht="15.75">
      <c r="A13" s="998"/>
      <c r="B13" s="1060">
        <v>13.01</v>
      </c>
      <c r="C13" s="1049" t="s">
        <v>178</v>
      </c>
      <c r="D13" s="1050"/>
      <c r="E13" s="1051"/>
      <c r="F13" s="1052">
        <v>-29139113.529240973</v>
      </c>
      <c r="G13" s="1053">
        <v>0</v>
      </c>
      <c r="H13" s="1054">
        <f t="shared" ref="H13:H34" si="5">(-F13+(G13*$X$32))/ConversionFactor</f>
        <v>47070618.623087555</v>
      </c>
      <c r="I13" s="1055">
        <f t="shared" ref="I13:I34" si="6">((+F13+F$11)/+(G13+G$11))-I$11</f>
        <v>-5.6545618840579542E-3</v>
      </c>
      <c r="J13" s="1056">
        <v>-29139113.529240973</v>
      </c>
      <c r="K13" s="1056">
        <v>0</v>
      </c>
      <c r="L13" s="1054">
        <f t="shared" si="1"/>
        <v>47070618.623087555</v>
      </c>
      <c r="M13" s="1052">
        <f>'MCC-2 page 1-6'!E49</f>
        <v>-29139113.529240973</v>
      </c>
      <c r="N13" s="1053">
        <f>'MCC-2 page 1-6'!E51</f>
        <v>0</v>
      </c>
      <c r="O13" s="1054">
        <f t="shared" ref="O13:O34" si="7">(-M13+(N13*$X$14))/ConversionFactor</f>
        <v>47070618.623087555</v>
      </c>
      <c r="P13" s="1055">
        <f t="shared" ref="P13:P34" si="8">((+M13+M$11)/+(N13+N$11))-P$11</f>
        <v>-5.6545618840579542E-3</v>
      </c>
      <c r="Q13" s="1057">
        <f t="shared" ref="Q13:Q55" si="9">L13-H13</f>
        <v>0</v>
      </c>
      <c r="R13" s="1058">
        <f t="shared" ref="R13:R34" si="10">+O13-H13</f>
        <v>0</v>
      </c>
      <c r="U13" s="1041" t="s">
        <v>918</v>
      </c>
      <c r="V13" s="1046">
        <f>'EXHIBIT MCC-3'!I15</f>
        <v>0.48</v>
      </c>
      <c r="W13" s="1046">
        <f>'EXHIBIT MCC-3'!J15</f>
        <v>9.1999999999999998E-2</v>
      </c>
      <c r="X13" s="1047">
        <f>'EXHIBIT MCC-3'!K15</f>
        <v>4.4200000000000003E-2</v>
      </c>
      <c r="Y13" s="1109"/>
      <c r="Z13" s="1109"/>
      <c r="AA13" s="991">
        <f t="shared" si="2"/>
        <v>0</v>
      </c>
      <c r="AB13" s="991">
        <f t="shared" si="3"/>
        <v>0</v>
      </c>
      <c r="AC13" s="991">
        <f t="shared" si="4"/>
        <v>0</v>
      </c>
    </row>
    <row r="14" spans="1:29" ht="16.5" thickBot="1">
      <c r="A14" s="998"/>
      <c r="B14" s="1060">
        <f>B13+0.01</f>
        <v>13.02</v>
      </c>
      <c r="C14" s="1049" t="s">
        <v>177</v>
      </c>
      <c r="D14" s="1050"/>
      <c r="E14" s="1051"/>
      <c r="F14" s="1052">
        <v>17527344</v>
      </c>
      <c r="G14" s="1053">
        <v>0</v>
      </c>
      <c r="H14" s="1054">
        <f t="shared" si="5"/>
        <v>-28313247.212265223</v>
      </c>
      <c r="I14" s="1055">
        <f t="shared" si="6"/>
        <v>3.4012514214516593E-3</v>
      </c>
      <c r="J14" s="1056">
        <v>20557383.659274291</v>
      </c>
      <c r="K14" s="1056">
        <v>0</v>
      </c>
      <c r="L14" s="1054">
        <f t="shared" si="1"/>
        <v>-33207899.929528084</v>
      </c>
      <c r="M14" s="1052">
        <f>'MCC-2 page 1-6'!F49</f>
        <v>20557383.659274291</v>
      </c>
      <c r="N14" s="1053">
        <f>'MCC-2 page 1-6'!F51</f>
        <v>0</v>
      </c>
      <c r="O14" s="1054">
        <f t="shared" si="7"/>
        <v>-33207899.929528084</v>
      </c>
      <c r="P14" s="1055">
        <f t="shared" si="8"/>
        <v>3.9892427736018393E-3</v>
      </c>
      <c r="Q14" s="1057">
        <f t="shared" si="9"/>
        <v>-4894652.7172628604</v>
      </c>
      <c r="R14" s="1058">
        <f t="shared" si="10"/>
        <v>-4894652.7172628604</v>
      </c>
      <c r="U14" s="1041" t="s">
        <v>907</v>
      </c>
      <c r="V14" s="1061">
        <f>SUM(V10:V13)</f>
        <v>1</v>
      </c>
      <c r="W14" s="1062"/>
      <c r="X14" s="1063">
        <f>ROR</f>
        <v>7.3700000000000002E-2</v>
      </c>
      <c r="Y14" s="1109"/>
      <c r="Z14" s="1109"/>
      <c r="AA14" s="991">
        <f t="shared" si="2"/>
        <v>0</v>
      </c>
      <c r="AB14" s="991">
        <f t="shared" si="3"/>
        <v>0</v>
      </c>
      <c r="AC14" s="991">
        <f t="shared" si="4"/>
        <v>0</v>
      </c>
    </row>
    <row r="15" spans="1:29" ht="15" customHeight="1">
      <c r="A15" s="998"/>
      <c r="B15" s="1060">
        <f t="shared" ref="B15:B34" si="11">B14+0.01</f>
        <v>13.03</v>
      </c>
      <c r="C15" s="1049" t="s">
        <v>179</v>
      </c>
      <c r="D15" s="1050"/>
      <c r="E15" s="1051"/>
      <c r="F15" s="1052">
        <v>-1000540.3107059002</v>
      </c>
      <c r="G15" s="1053">
        <v>0</v>
      </c>
      <c r="H15" s="1054">
        <f t="shared" si="5"/>
        <v>1616248.5977825739</v>
      </c>
      <c r="I15" s="1055">
        <f t="shared" si="6"/>
        <v>-1.9415886137728877E-4</v>
      </c>
      <c r="J15" s="1056">
        <v>-1000540.3107059002</v>
      </c>
      <c r="K15" s="1056">
        <v>0</v>
      </c>
      <c r="L15" s="1054">
        <f t="shared" si="1"/>
        <v>1616248.5977825739</v>
      </c>
      <c r="M15" s="1052">
        <f>'MCC-2 page 1-6'!G49</f>
        <v>-1000540.3107059002</v>
      </c>
      <c r="N15" s="1053">
        <f>'MCC-2 page 1-6'!G51</f>
        <v>0</v>
      </c>
      <c r="O15" s="1054">
        <f t="shared" si="7"/>
        <v>1616248.5977825739</v>
      </c>
      <c r="P15" s="1055">
        <f t="shared" si="8"/>
        <v>-1.9415886137728877E-4</v>
      </c>
      <c r="Q15" s="1057">
        <f t="shared" si="9"/>
        <v>0</v>
      </c>
      <c r="R15" s="1058">
        <f t="shared" si="10"/>
        <v>0</v>
      </c>
      <c r="U15" s="1041"/>
      <c r="V15" s="1029"/>
      <c r="W15" s="1029"/>
      <c r="X15" s="1064"/>
      <c r="Y15" s="1109"/>
      <c r="Z15" s="1109"/>
      <c r="AA15" s="991">
        <f t="shared" si="2"/>
        <v>0</v>
      </c>
      <c r="AB15" s="991">
        <f t="shared" si="3"/>
        <v>0</v>
      </c>
      <c r="AC15" s="991">
        <f t="shared" si="4"/>
        <v>0</v>
      </c>
    </row>
    <row r="16" spans="1:29" ht="15.75">
      <c r="A16" s="998"/>
      <c r="B16" s="1060">
        <f t="shared" si="11"/>
        <v>13.04</v>
      </c>
      <c r="C16" s="1049" t="s">
        <v>180</v>
      </c>
      <c r="D16" s="1050"/>
      <c r="E16" s="1051"/>
      <c r="F16" s="1052">
        <v>-27023238.806572676</v>
      </c>
      <c r="G16" s="1053">
        <v>0</v>
      </c>
      <c r="H16" s="1054">
        <f t="shared" si="5"/>
        <v>43652685.815179482</v>
      </c>
      <c r="I16" s="1055">
        <f t="shared" si="6"/>
        <v>-5.2439679054101379E-3</v>
      </c>
      <c r="J16" s="1056">
        <v>-27023238.806572676</v>
      </c>
      <c r="K16" s="1056">
        <v>0</v>
      </c>
      <c r="L16" s="1054">
        <f t="shared" si="1"/>
        <v>43652685.815179482</v>
      </c>
      <c r="M16" s="1052">
        <f>'MCC-2 page 1-6'!H49</f>
        <v>-27023238.806572676</v>
      </c>
      <c r="N16" s="1053">
        <f>'MCC-2 page 1-6'!H51</f>
        <v>0</v>
      </c>
      <c r="O16" s="1054">
        <f t="shared" si="7"/>
        <v>43652685.815179482</v>
      </c>
      <c r="P16" s="1055">
        <f t="shared" si="8"/>
        <v>-5.2439679054101379E-3</v>
      </c>
      <c r="Q16" s="1057">
        <f t="shared" si="9"/>
        <v>0</v>
      </c>
      <c r="R16" s="1058">
        <f t="shared" si="10"/>
        <v>0</v>
      </c>
      <c r="U16" s="1041"/>
      <c r="V16" s="1029"/>
      <c r="W16" s="1029"/>
      <c r="X16" s="1064"/>
      <c r="Y16" s="1109"/>
      <c r="Z16" s="1109"/>
      <c r="AA16" s="991">
        <f t="shared" si="2"/>
        <v>0</v>
      </c>
      <c r="AB16" s="991">
        <f t="shared" si="3"/>
        <v>0</v>
      </c>
      <c r="AC16" s="991">
        <f t="shared" si="4"/>
        <v>0</v>
      </c>
    </row>
    <row r="17" spans="1:29" ht="16.149999999999999" customHeight="1">
      <c r="A17" s="998"/>
      <c r="B17" s="1060">
        <f t="shared" si="11"/>
        <v>13.049999999999999</v>
      </c>
      <c r="C17" s="1049" t="s">
        <v>181</v>
      </c>
      <c r="D17" s="1050"/>
      <c r="E17" s="1051"/>
      <c r="F17" s="1052">
        <v>53347930.4173996</v>
      </c>
      <c r="G17" s="1053">
        <v>0</v>
      </c>
      <c r="H17" s="1054">
        <f t="shared" si="5"/>
        <v>-86176955.400119856</v>
      </c>
      <c r="I17" s="1055">
        <f t="shared" si="6"/>
        <v>1.035237992497233E-2</v>
      </c>
      <c r="J17" s="1216">
        <v>53117556.77623222</v>
      </c>
      <c r="K17" s="1056">
        <v>0</v>
      </c>
      <c r="L17" s="1217">
        <f t="shared" si="1"/>
        <v>-85804815.396844879</v>
      </c>
      <c r="M17" s="1214">
        <f>'MCC-2 page 1-6'!I49</f>
        <v>52406954.009995006</v>
      </c>
      <c r="N17" s="1053">
        <f>'MCC-2 page 1-6'!I51</f>
        <v>0</v>
      </c>
      <c r="O17" s="1217">
        <f t="shared" si="7"/>
        <v>-84656924.889863685</v>
      </c>
      <c r="P17" s="1055">
        <f t="shared" si="8"/>
        <v>1.0169779677996107E-2</v>
      </c>
      <c r="Q17" s="1219">
        <f t="shared" si="9"/>
        <v>372140.00327497721</v>
      </c>
      <c r="R17" s="1220">
        <f t="shared" si="10"/>
        <v>1520030.5102561712</v>
      </c>
      <c r="U17" s="1028" t="s">
        <v>919</v>
      </c>
      <c r="V17" s="1029"/>
      <c r="W17" s="1029"/>
      <c r="X17" s="1065" t="s">
        <v>896</v>
      </c>
      <c r="Y17" s="1109"/>
      <c r="Z17" s="1109"/>
      <c r="AA17" s="991">
        <f t="shared" ref="AA17" si="12">J17-M17</f>
        <v>710602.76623721421</v>
      </c>
      <c r="AB17" s="991">
        <f t="shared" ref="AB17" si="13">K17-N17</f>
        <v>0</v>
      </c>
      <c r="AC17" s="991">
        <f t="shared" ref="AC17" si="14">L17-O17</f>
        <v>-1147890.506981194</v>
      </c>
    </row>
    <row r="18" spans="1:29" ht="15.75">
      <c r="A18" s="998"/>
      <c r="B18" s="1060">
        <f t="shared" si="11"/>
        <v>13.059999999999999</v>
      </c>
      <c r="C18" s="1049" t="s">
        <v>508</v>
      </c>
      <c r="D18" s="1050"/>
      <c r="E18" s="1051"/>
      <c r="F18" s="1052">
        <v>-34610611.020140424</v>
      </c>
      <c r="G18" s="1053">
        <v>-17305305.510070205</v>
      </c>
      <c r="H18" s="1054">
        <f t="shared" si="5"/>
        <v>53745459.37840499</v>
      </c>
      <c r="I18" s="1055">
        <f t="shared" si="6"/>
        <v>-6.4767582620276209E-3</v>
      </c>
      <c r="J18" s="1216">
        <v>-21325734.027748644</v>
      </c>
      <c r="K18" s="1216">
        <v>-10662867.013874311</v>
      </c>
      <c r="L18" s="1217">
        <f t="shared" si="1"/>
        <v>33115895.331523206</v>
      </c>
      <c r="M18" s="1214">
        <f>'MCC-2 page 1-6'!J49</f>
        <v>-21325734.027748644</v>
      </c>
      <c r="N18" s="1215">
        <f>'MCC-2 page 1-6'!J51</f>
        <v>-10662867.013874311</v>
      </c>
      <c r="O18" s="1217">
        <f t="shared" si="7"/>
        <v>33179626.119376447</v>
      </c>
      <c r="P18" s="1218">
        <f t="shared" si="8"/>
        <v>-3.9855759026375254E-3</v>
      </c>
      <c r="Q18" s="1219">
        <f t="shared" si="9"/>
        <v>-20629564.046881784</v>
      </c>
      <c r="R18" s="1220">
        <f t="shared" si="10"/>
        <v>-20565833.259028543</v>
      </c>
      <c r="U18" s="1041"/>
      <c r="V18" s="1029" t="s">
        <v>914</v>
      </c>
      <c r="W18" s="1029" t="s">
        <v>915</v>
      </c>
      <c r="X18" s="1066"/>
      <c r="Y18" s="1109"/>
      <c r="Z18" s="1109"/>
      <c r="AA18" s="991">
        <f t="shared" si="2"/>
        <v>0</v>
      </c>
      <c r="AB18" s="991">
        <f t="shared" si="3"/>
        <v>0</v>
      </c>
      <c r="AC18" s="991">
        <f t="shared" si="4"/>
        <v>-63730.787853240967</v>
      </c>
    </row>
    <row r="19" spans="1:29" ht="15.75">
      <c r="A19" s="998"/>
      <c r="B19" s="1060">
        <f t="shared" si="11"/>
        <v>13.069999999999999</v>
      </c>
      <c r="C19" s="1049" t="s">
        <v>196</v>
      </c>
      <c r="D19" s="1050"/>
      <c r="E19" s="1051"/>
      <c r="F19" s="1052">
        <v>69387.278670666696</v>
      </c>
      <c r="G19" s="1053">
        <v>0</v>
      </c>
      <c r="H19" s="1054">
        <f t="shared" si="5"/>
        <v>-112086.53030310378</v>
      </c>
      <c r="I19" s="1055">
        <f t="shared" si="6"/>
        <v>1.3464879802055352E-5</v>
      </c>
      <c r="J19" s="1056">
        <v>69387.278670666696</v>
      </c>
      <c r="K19" s="1056">
        <v>0</v>
      </c>
      <c r="L19" s="1054">
        <f t="shared" si="1"/>
        <v>-112086.53030310378</v>
      </c>
      <c r="M19" s="1052">
        <f>'MCC-2 page 1-6'!L49</f>
        <v>69387.278670666696</v>
      </c>
      <c r="N19" s="1053">
        <f>'MCC-2 page 1-6'!L51</f>
        <v>0</v>
      </c>
      <c r="O19" s="1054">
        <f t="shared" si="7"/>
        <v>-112086.53030310378</v>
      </c>
      <c r="P19" s="1055">
        <f t="shared" si="8"/>
        <v>1.3464879802055352E-5</v>
      </c>
      <c r="Q19" s="1057">
        <f t="shared" si="9"/>
        <v>0</v>
      </c>
      <c r="R19" s="1058">
        <f t="shared" si="10"/>
        <v>0</v>
      </c>
      <c r="U19" s="1041" t="str">
        <f>U10</f>
        <v>SHORT TERM DEBT</v>
      </c>
      <c r="V19" s="1046">
        <f>V10</f>
        <v>0.01</v>
      </c>
      <c r="W19" s="1046">
        <f>W10*0.65</f>
        <v>1.9890000000000001E-2</v>
      </c>
      <c r="X19" s="1047">
        <f>ROUND(W19*V19,4)</f>
        <v>2.0000000000000001E-4</v>
      </c>
      <c r="Y19" s="1109"/>
      <c r="Z19" s="1109"/>
      <c r="AA19" s="991">
        <f t="shared" si="2"/>
        <v>0</v>
      </c>
      <c r="AB19" s="991">
        <f t="shared" si="3"/>
        <v>0</v>
      </c>
      <c r="AC19" s="991">
        <f t="shared" si="4"/>
        <v>0</v>
      </c>
    </row>
    <row r="20" spans="1:29" ht="15.75">
      <c r="A20" s="998"/>
      <c r="B20" s="1060">
        <f t="shared" si="11"/>
        <v>13.079999999999998</v>
      </c>
      <c r="C20" s="1049" t="s">
        <v>254</v>
      </c>
      <c r="D20" s="1050"/>
      <c r="E20" s="1051"/>
      <c r="F20" s="1052">
        <v>681065</v>
      </c>
      <c r="G20" s="1053">
        <v>0</v>
      </c>
      <c r="H20" s="1054">
        <f t="shared" si="5"/>
        <v>-1100175.914423852</v>
      </c>
      <c r="I20" s="1055">
        <f t="shared" si="6"/>
        <v>1.3216339562634183E-4</v>
      </c>
      <c r="J20" s="1056">
        <v>681065</v>
      </c>
      <c r="K20" s="1056">
        <v>0</v>
      </c>
      <c r="L20" s="1054">
        <f t="shared" si="1"/>
        <v>-1100175.914423852</v>
      </c>
      <c r="M20" s="1052">
        <f>'MCC-2 page 1-6'!M49</f>
        <v>681065</v>
      </c>
      <c r="N20" s="1053">
        <f>'MCC-2 page 1-6'!M51</f>
        <v>0</v>
      </c>
      <c r="O20" s="1054">
        <f t="shared" si="7"/>
        <v>-1100175.914423852</v>
      </c>
      <c r="P20" s="1055">
        <f t="shared" si="8"/>
        <v>1.3216339562634183E-4</v>
      </c>
      <c r="Q20" s="1057">
        <f t="shared" si="9"/>
        <v>0</v>
      </c>
      <c r="R20" s="1058">
        <f t="shared" si="10"/>
        <v>0</v>
      </c>
      <c r="U20" s="1041" t="str">
        <f>U11</f>
        <v>LONG TERM DEBT</v>
      </c>
      <c r="V20" s="1046">
        <f>V11</f>
        <v>0.51</v>
      </c>
      <c r="W20" s="1046">
        <f>W11*0.65</f>
        <v>3.7245E-2</v>
      </c>
      <c r="X20" s="1047">
        <f>ROUND(W20*V20,4)</f>
        <v>1.9E-2</v>
      </c>
      <c r="Y20" s="1109"/>
      <c r="Z20" s="1109"/>
      <c r="AA20" s="991">
        <f t="shared" si="2"/>
        <v>0</v>
      </c>
      <c r="AB20" s="991">
        <f t="shared" si="3"/>
        <v>0</v>
      </c>
      <c r="AC20" s="991">
        <f t="shared" si="4"/>
        <v>0</v>
      </c>
    </row>
    <row r="21" spans="1:29" ht="15.75">
      <c r="A21" s="998"/>
      <c r="B21" s="1060">
        <f t="shared" si="11"/>
        <v>13.089999999999998</v>
      </c>
      <c r="C21" s="1049" t="s">
        <v>182</v>
      </c>
      <c r="D21" s="1050"/>
      <c r="E21" s="1051"/>
      <c r="F21" s="1052">
        <v>-109903.18925372648</v>
      </c>
      <c r="G21" s="1053">
        <v>0</v>
      </c>
      <c r="H21" s="1054">
        <f t="shared" si="5"/>
        <v>177534.95148820771</v>
      </c>
      <c r="I21" s="1055">
        <f t="shared" si="6"/>
        <v>-2.1327154797176617E-5</v>
      </c>
      <c r="J21" s="1056">
        <v>-109903.18925372648</v>
      </c>
      <c r="K21" s="1056">
        <v>0</v>
      </c>
      <c r="L21" s="1054">
        <f t="shared" si="1"/>
        <v>177534.95148820771</v>
      </c>
      <c r="M21" s="1052">
        <f>'MCC-2 page 1-6'!N49</f>
        <v>-109903.18925372648</v>
      </c>
      <c r="N21" s="1053">
        <f>'MCC-2 page 1-6'!N51</f>
        <v>0</v>
      </c>
      <c r="O21" s="1054">
        <f t="shared" si="7"/>
        <v>177534.95148820771</v>
      </c>
      <c r="P21" s="1055">
        <f t="shared" si="8"/>
        <v>-2.1327154797176617E-5</v>
      </c>
      <c r="Q21" s="1057">
        <f t="shared" si="9"/>
        <v>0</v>
      </c>
      <c r="R21" s="1058">
        <f t="shared" si="10"/>
        <v>0</v>
      </c>
      <c r="U21" s="1041"/>
      <c r="V21" s="1046"/>
      <c r="W21" s="1046"/>
      <c r="X21" s="1047"/>
      <c r="Y21" s="1109"/>
      <c r="Z21" s="1109"/>
      <c r="AA21" s="991">
        <f t="shared" si="2"/>
        <v>0</v>
      </c>
      <c r="AB21" s="991">
        <f t="shared" si="3"/>
        <v>0</v>
      </c>
      <c r="AC21" s="991">
        <f t="shared" si="4"/>
        <v>0</v>
      </c>
    </row>
    <row r="22" spans="1:29" ht="15.75">
      <c r="A22" s="998"/>
      <c r="B22" s="1060">
        <f t="shared" si="11"/>
        <v>13.099999999999998</v>
      </c>
      <c r="C22" s="1049" t="s">
        <v>171</v>
      </c>
      <c r="D22" s="1050"/>
      <c r="E22" s="1051"/>
      <c r="F22" s="1052">
        <v>16141.122864383684</v>
      </c>
      <c r="G22" s="1053">
        <v>0</v>
      </c>
      <c r="H22" s="1054">
        <f t="shared" si="5"/>
        <v>-26073.979146118305</v>
      </c>
      <c r="I22" s="1055">
        <f t="shared" si="6"/>
        <v>3.1322496486796414E-6</v>
      </c>
      <c r="J22" s="1056">
        <v>16141.122864383684</v>
      </c>
      <c r="K22" s="1056">
        <v>0</v>
      </c>
      <c r="L22" s="1054">
        <f t="shared" si="1"/>
        <v>-26073.979146118305</v>
      </c>
      <c r="M22" s="1052">
        <f>'MCC-2 page 1-6'!O49</f>
        <v>16141.122864383684</v>
      </c>
      <c r="N22" s="1053">
        <f>'MCC-2 page 1-6'!O51</f>
        <v>0</v>
      </c>
      <c r="O22" s="1054">
        <f t="shared" si="7"/>
        <v>-26073.979146118305</v>
      </c>
      <c r="P22" s="1055">
        <f t="shared" si="8"/>
        <v>3.1322496486796414E-6</v>
      </c>
      <c r="Q22" s="1057">
        <f t="shared" si="9"/>
        <v>0</v>
      </c>
      <c r="R22" s="1058">
        <f t="shared" si="10"/>
        <v>0</v>
      </c>
      <c r="U22" s="1041" t="s">
        <v>918</v>
      </c>
      <c r="V22" s="1046">
        <f>V13</f>
        <v>0.48</v>
      </c>
      <c r="W22" s="1046">
        <f>W13</f>
        <v>9.1999999999999998E-2</v>
      </c>
      <c r="X22" s="1047">
        <f>ROUND(W22*V22,4)</f>
        <v>4.4200000000000003E-2</v>
      </c>
      <c r="Y22" s="1109"/>
      <c r="Z22" s="1109"/>
      <c r="AA22" s="991">
        <f t="shared" si="2"/>
        <v>0</v>
      </c>
      <c r="AB22" s="991">
        <f t="shared" si="3"/>
        <v>0</v>
      </c>
      <c r="AC22" s="991">
        <f t="shared" si="4"/>
        <v>0</v>
      </c>
    </row>
    <row r="23" spans="1:29" ht="16.5" thickBot="1">
      <c r="A23" s="998"/>
      <c r="B23" s="1060">
        <f t="shared" si="11"/>
        <v>13.109999999999998</v>
      </c>
      <c r="C23" s="1049" t="s">
        <v>183</v>
      </c>
      <c r="D23" s="1050"/>
      <c r="E23" s="1051"/>
      <c r="F23" s="1052">
        <v>-176605.63064400846</v>
      </c>
      <c r="G23" s="1053">
        <v>0</v>
      </c>
      <c r="H23" s="1054">
        <f t="shared" si="5"/>
        <v>285284.46064057475</v>
      </c>
      <c r="I23" s="1055">
        <f t="shared" si="6"/>
        <v>-3.4271031153623732E-5</v>
      </c>
      <c r="J23" s="1056">
        <v>-176605.63064400846</v>
      </c>
      <c r="K23" s="1056">
        <v>0</v>
      </c>
      <c r="L23" s="1054">
        <f t="shared" si="1"/>
        <v>285284.46064057475</v>
      </c>
      <c r="M23" s="1052">
        <f>'MCC-2 page 1-6'!P49</f>
        <v>-176605.63064400846</v>
      </c>
      <c r="N23" s="1053">
        <f>'MCC-2 page 1-6'!P51</f>
        <v>0</v>
      </c>
      <c r="O23" s="1054">
        <f t="shared" si="7"/>
        <v>285284.46064057475</v>
      </c>
      <c r="P23" s="1055">
        <f t="shared" si="8"/>
        <v>-3.4271031153623732E-5</v>
      </c>
      <c r="Q23" s="1057">
        <f t="shared" si="9"/>
        <v>0</v>
      </c>
      <c r="R23" s="1058">
        <f t="shared" si="10"/>
        <v>0</v>
      </c>
      <c r="U23" s="1067" t="s">
        <v>907</v>
      </c>
      <c r="V23" s="1061">
        <f>SUM(V19:V22)</f>
        <v>1</v>
      </c>
      <c r="W23" s="1062"/>
      <c r="X23" s="1063">
        <f>SUM(X19:X22)</f>
        <v>6.3399999999999998E-2</v>
      </c>
      <c r="Y23" s="1109"/>
      <c r="Z23" s="1109"/>
      <c r="AA23" s="991">
        <f t="shared" si="2"/>
        <v>0</v>
      </c>
      <c r="AB23" s="991">
        <f t="shared" si="3"/>
        <v>0</v>
      </c>
      <c r="AC23" s="991">
        <f t="shared" si="4"/>
        <v>0</v>
      </c>
    </row>
    <row r="24" spans="1:29" ht="15" customHeight="1" thickBot="1">
      <c r="A24" s="998" t="s">
        <v>101</v>
      </c>
      <c r="B24" s="1060">
        <f t="shared" si="11"/>
        <v>13.119999999999997</v>
      </c>
      <c r="C24" s="1049" t="s">
        <v>184</v>
      </c>
      <c r="D24" s="1050"/>
      <c r="E24" s="1051"/>
      <c r="F24" s="1052">
        <v>-264904.5667814</v>
      </c>
      <c r="G24" s="1053">
        <v>0</v>
      </c>
      <c r="H24" s="1054">
        <f t="shared" si="5"/>
        <v>427920.42461994244</v>
      </c>
      <c r="I24" s="1055">
        <f t="shared" si="6"/>
        <v>-5.1405793959097279E-5</v>
      </c>
      <c r="J24" s="1056">
        <v>0</v>
      </c>
      <c r="K24" s="1056">
        <v>0</v>
      </c>
      <c r="L24" s="1054">
        <f t="shared" si="1"/>
        <v>0</v>
      </c>
      <c r="M24" s="1052">
        <f>'MCC-2 page 1-6'!Q49</f>
        <v>0</v>
      </c>
      <c r="N24" s="1053">
        <f>'MCC-2 page 1-6'!Q51</f>
        <v>0</v>
      </c>
      <c r="O24" s="1054">
        <f t="shared" si="7"/>
        <v>0</v>
      </c>
      <c r="P24" s="1055">
        <f t="shared" si="8"/>
        <v>0</v>
      </c>
      <c r="Q24" s="1057">
        <f t="shared" si="9"/>
        <v>-427920.42461994244</v>
      </c>
      <c r="R24" s="1058">
        <f t="shared" si="10"/>
        <v>-427920.42461994244</v>
      </c>
      <c r="Y24" s="1109"/>
      <c r="Z24" s="1109"/>
      <c r="AA24" s="991">
        <f t="shared" si="2"/>
        <v>0</v>
      </c>
      <c r="AB24" s="991">
        <f t="shared" si="3"/>
        <v>0</v>
      </c>
      <c r="AC24" s="991">
        <f t="shared" si="4"/>
        <v>0</v>
      </c>
    </row>
    <row r="25" spans="1:29" ht="16.5" thickBot="1">
      <c r="A25" s="998"/>
      <c r="B25" s="1060">
        <f t="shared" si="11"/>
        <v>13.129999999999997</v>
      </c>
      <c r="C25" s="1049" t="s">
        <v>185</v>
      </c>
      <c r="D25" s="1050"/>
      <c r="E25" s="1051"/>
      <c r="F25" s="1052">
        <v>171199.77983333383</v>
      </c>
      <c r="G25" s="1053">
        <v>0</v>
      </c>
      <c r="H25" s="1054">
        <f t="shared" si="5"/>
        <v>-276551.98010072485</v>
      </c>
      <c r="I25" s="1055">
        <f t="shared" si="6"/>
        <v>3.3222004115984749E-5</v>
      </c>
      <c r="J25" s="1056">
        <v>171199.77983333383</v>
      </c>
      <c r="K25" s="1056">
        <v>0</v>
      </c>
      <c r="L25" s="1054">
        <f t="shared" si="1"/>
        <v>-276551.98010072485</v>
      </c>
      <c r="M25" s="1052">
        <f>'MCC-2 page 1-6'!R49</f>
        <v>171199.77983333383</v>
      </c>
      <c r="N25" s="1053">
        <f>'MCC-2 page 1-6'!R51</f>
        <v>0</v>
      </c>
      <c r="O25" s="1054">
        <f t="shared" si="7"/>
        <v>-276551.98010072485</v>
      </c>
      <c r="P25" s="1055">
        <f t="shared" si="8"/>
        <v>3.3222004115984749E-5</v>
      </c>
      <c r="Q25" s="1057">
        <f t="shared" si="9"/>
        <v>0</v>
      </c>
      <c r="R25" s="1058">
        <f t="shared" si="10"/>
        <v>0</v>
      </c>
      <c r="U25" s="1016" t="s">
        <v>895</v>
      </c>
      <c r="V25" s="1017"/>
      <c r="W25" s="1017"/>
      <c r="X25" s="1018"/>
      <c r="Y25" s="1109"/>
      <c r="Z25" s="1109"/>
      <c r="AA25" s="991">
        <f t="shared" si="2"/>
        <v>0</v>
      </c>
      <c r="AB25" s="991">
        <f t="shared" si="3"/>
        <v>0</v>
      </c>
      <c r="AC25" s="991">
        <f t="shared" si="4"/>
        <v>0</v>
      </c>
    </row>
    <row r="26" spans="1:29" ht="14.45" customHeight="1">
      <c r="A26" s="998"/>
      <c r="B26" s="1060">
        <f t="shared" si="11"/>
        <v>13.139999999999997</v>
      </c>
      <c r="C26" s="1049" t="s">
        <v>186</v>
      </c>
      <c r="D26" s="1050"/>
      <c r="E26" s="1051"/>
      <c r="F26" s="1052">
        <v>66147.120545911268</v>
      </c>
      <c r="G26" s="1053">
        <v>0</v>
      </c>
      <c r="H26" s="1054">
        <f t="shared" si="5"/>
        <v>-106852.45730305139</v>
      </c>
      <c r="I26" s="1055">
        <f t="shared" si="6"/>
        <v>1.2836114118702779E-5</v>
      </c>
      <c r="J26" s="1056">
        <v>66147.120545911268</v>
      </c>
      <c r="K26" s="1056">
        <v>0</v>
      </c>
      <c r="L26" s="1054">
        <f t="shared" si="1"/>
        <v>-106852.45730305139</v>
      </c>
      <c r="M26" s="1052">
        <f>'MCC-2 page 1-6'!S49</f>
        <v>66147.120545911268</v>
      </c>
      <c r="N26" s="1053">
        <f>'MCC-2 page 1-6'!S51</f>
        <v>0</v>
      </c>
      <c r="O26" s="1054">
        <f t="shared" si="7"/>
        <v>-106852.45730305139</v>
      </c>
      <c r="P26" s="1055">
        <f t="shared" si="8"/>
        <v>1.2836114118702779E-5</v>
      </c>
      <c r="Q26" s="1057">
        <f t="shared" si="9"/>
        <v>0</v>
      </c>
      <c r="R26" s="1058">
        <f t="shared" si="10"/>
        <v>0</v>
      </c>
      <c r="U26" s="1028" t="s">
        <v>913</v>
      </c>
      <c r="V26" s="1029"/>
      <c r="W26" s="1029"/>
      <c r="X26" s="1065" t="s">
        <v>896</v>
      </c>
      <c r="Y26" s="1109"/>
      <c r="Z26" s="1109"/>
      <c r="AA26" s="991">
        <f t="shared" si="2"/>
        <v>0</v>
      </c>
      <c r="AB26" s="991">
        <f t="shared" si="3"/>
        <v>0</v>
      </c>
      <c r="AC26" s="991">
        <f t="shared" si="4"/>
        <v>0</v>
      </c>
    </row>
    <row r="27" spans="1:29" ht="15.75">
      <c r="A27" s="998"/>
      <c r="B27" s="1060">
        <f t="shared" si="11"/>
        <v>13.149999999999997</v>
      </c>
      <c r="C27" s="1049" t="s">
        <v>125</v>
      </c>
      <c r="D27" s="1050"/>
      <c r="E27" s="1051"/>
      <c r="F27" s="1052">
        <v>-1184945.4451730854</v>
      </c>
      <c r="G27" s="1053">
        <v>0</v>
      </c>
      <c r="H27" s="1054">
        <f t="shared" si="5"/>
        <v>1914132.1880961107</v>
      </c>
      <c r="I27" s="1055">
        <f t="shared" si="6"/>
        <v>-2.2994341753876379E-4</v>
      </c>
      <c r="J27" s="1056">
        <v>-1184945.4451730854</v>
      </c>
      <c r="K27" s="1056">
        <v>0</v>
      </c>
      <c r="L27" s="1054">
        <f t="shared" si="1"/>
        <v>1914132.1880961107</v>
      </c>
      <c r="M27" s="1068">
        <f>'MCC-2 page 1-6'!T49</f>
        <v>-1184945.4451730854</v>
      </c>
      <c r="N27" s="1053">
        <f>'MCC-2 page 1-6'!T51</f>
        <v>0</v>
      </c>
      <c r="O27" s="1054">
        <f t="shared" si="7"/>
        <v>1914132.1880961107</v>
      </c>
      <c r="P27" s="1055">
        <f t="shared" si="8"/>
        <v>-2.2994341753876379E-4</v>
      </c>
      <c r="Q27" s="1057">
        <f t="shared" si="9"/>
        <v>0</v>
      </c>
      <c r="R27" s="1058">
        <f t="shared" si="10"/>
        <v>0</v>
      </c>
      <c r="U27" s="1041"/>
      <c r="V27" s="1029" t="s">
        <v>914</v>
      </c>
      <c r="W27" s="1029" t="s">
        <v>915</v>
      </c>
      <c r="X27" s="1066"/>
      <c r="Y27" s="1109"/>
      <c r="Z27" s="1109"/>
      <c r="AA27" s="991">
        <f t="shared" si="2"/>
        <v>0</v>
      </c>
      <c r="AB27" s="991">
        <f t="shared" si="3"/>
        <v>0</v>
      </c>
      <c r="AC27" s="991">
        <f t="shared" si="4"/>
        <v>0</v>
      </c>
    </row>
    <row r="28" spans="1:29" ht="15.75">
      <c r="A28" s="998"/>
      <c r="B28" s="1060">
        <f t="shared" si="11"/>
        <v>13.159999999999997</v>
      </c>
      <c r="C28" s="1049" t="s">
        <v>126</v>
      </c>
      <c r="D28" s="1050"/>
      <c r="E28" s="1051"/>
      <c r="F28" s="1068">
        <v>-1357715.5890578774</v>
      </c>
      <c r="G28" s="1053">
        <v>0</v>
      </c>
      <c r="H28" s="1054">
        <f t="shared" si="5"/>
        <v>2193220.8962716763</v>
      </c>
      <c r="I28" s="1055">
        <f t="shared" si="6"/>
        <v>-2.6347015709911326E-4</v>
      </c>
      <c r="J28" s="1056">
        <v>-1357715.5890578774</v>
      </c>
      <c r="K28" s="1056">
        <v>0</v>
      </c>
      <c r="L28" s="1054">
        <f t="shared" si="1"/>
        <v>2193220.8962716763</v>
      </c>
      <c r="M28" s="1068">
        <f>'MCC-2 page 1-6'!U49</f>
        <v>-1357715.5890578774</v>
      </c>
      <c r="N28" s="1053">
        <f>'MCC-2 page 1-6'!U51</f>
        <v>0</v>
      </c>
      <c r="O28" s="1054">
        <f t="shared" si="7"/>
        <v>2193220.8962716763</v>
      </c>
      <c r="P28" s="1055">
        <f t="shared" si="8"/>
        <v>-2.6347015709911326E-4</v>
      </c>
      <c r="Q28" s="1057">
        <f t="shared" si="9"/>
        <v>0</v>
      </c>
      <c r="R28" s="1058">
        <f t="shared" si="10"/>
        <v>0</v>
      </c>
      <c r="U28" s="1041" t="s">
        <v>924</v>
      </c>
      <c r="V28" s="1046">
        <v>0.51500000000000001</v>
      </c>
      <c r="W28" s="1046">
        <v>5.8058252427184473E-2</v>
      </c>
      <c r="X28" s="1047">
        <f>ROUND(W28*V28,4)</f>
        <v>2.9899999999999999E-2</v>
      </c>
      <c r="Y28" s="1109"/>
      <c r="Z28" s="1109"/>
      <c r="AA28" s="991">
        <f t="shared" si="2"/>
        <v>0</v>
      </c>
      <c r="AB28" s="991">
        <f t="shared" si="3"/>
        <v>0</v>
      </c>
      <c r="AC28" s="991">
        <f t="shared" si="4"/>
        <v>0</v>
      </c>
    </row>
    <row r="29" spans="1:29" ht="15.75">
      <c r="A29" s="998"/>
      <c r="B29" s="1060">
        <f t="shared" si="11"/>
        <v>13.169999999999996</v>
      </c>
      <c r="C29" s="1049" t="s">
        <v>127</v>
      </c>
      <c r="D29" s="1050"/>
      <c r="E29" s="1051"/>
      <c r="F29" s="1052">
        <v>-96704.676397892646</v>
      </c>
      <c r="G29" s="1053">
        <v>0</v>
      </c>
      <c r="H29" s="1054">
        <f t="shared" si="5"/>
        <v>156214.39331798616</v>
      </c>
      <c r="I29" s="1055">
        <f t="shared" si="6"/>
        <v>-1.8765930426170585E-5</v>
      </c>
      <c r="J29" s="1056">
        <v>-96704.676397892646</v>
      </c>
      <c r="K29" s="1056">
        <v>0</v>
      </c>
      <c r="L29" s="1054">
        <f t="shared" si="1"/>
        <v>156214.39331798616</v>
      </c>
      <c r="M29" s="1052">
        <f>'MCC-2 page 1-6'!V49</f>
        <v>-96704.676397892646</v>
      </c>
      <c r="N29" s="1053">
        <f>'MCC-2 page 1-6'!V51</f>
        <v>0</v>
      </c>
      <c r="O29" s="1054">
        <f t="shared" si="7"/>
        <v>156214.39331798616</v>
      </c>
      <c r="P29" s="1055">
        <f t="shared" si="8"/>
        <v>-1.8765930426170585E-5</v>
      </c>
      <c r="Q29" s="1057">
        <f t="shared" si="9"/>
        <v>0</v>
      </c>
      <c r="R29" s="1058">
        <f t="shared" si="10"/>
        <v>0</v>
      </c>
      <c r="U29" s="1041"/>
      <c r="V29" s="1046"/>
      <c r="W29" s="1046"/>
      <c r="X29" s="1047"/>
      <c r="Y29" s="1109"/>
      <c r="Z29" s="1109"/>
      <c r="AA29" s="991">
        <f t="shared" si="2"/>
        <v>0</v>
      </c>
      <c r="AB29" s="991">
        <f t="shared" si="3"/>
        <v>0</v>
      </c>
      <c r="AC29" s="991">
        <f t="shared" si="4"/>
        <v>0</v>
      </c>
    </row>
    <row r="30" spans="1:29" ht="15.75">
      <c r="A30" s="998"/>
      <c r="B30" s="1060">
        <f t="shared" si="11"/>
        <v>13.179999999999996</v>
      </c>
      <c r="C30" s="1049" t="s">
        <v>128</v>
      </c>
      <c r="D30" s="1050"/>
      <c r="E30" s="1051"/>
      <c r="F30" s="1052">
        <v>-121750.92923393101</v>
      </c>
      <c r="G30" s="1053">
        <v>0</v>
      </c>
      <c r="H30" s="1054">
        <f t="shared" si="5"/>
        <v>196673.5038533675</v>
      </c>
      <c r="I30" s="1055">
        <f t="shared" si="6"/>
        <v>-2.3626256272474278E-5</v>
      </c>
      <c r="J30" s="1056">
        <v>-121750.92923393101</v>
      </c>
      <c r="K30" s="1056">
        <v>0</v>
      </c>
      <c r="L30" s="1054">
        <f t="shared" si="1"/>
        <v>196673.5038533675</v>
      </c>
      <c r="M30" s="1052">
        <f>'MCC-2 page 1-6'!W49</f>
        <v>-121750.92923393101</v>
      </c>
      <c r="N30" s="1053">
        <f>'MCC-2 page 1-6'!W51</f>
        <v>0</v>
      </c>
      <c r="O30" s="1054">
        <f t="shared" si="7"/>
        <v>196673.5038533675</v>
      </c>
      <c r="P30" s="1055">
        <f t="shared" si="8"/>
        <v>-2.3626256272474278E-5</v>
      </c>
      <c r="Q30" s="1057">
        <f t="shared" si="9"/>
        <v>0</v>
      </c>
      <c r="R30" s="1058">
        <f t="shared" si="10"/>
        <v>0</v>
      </c>
      <c r="U30" s="1041" t="s">
        <v>917</v>
      </c>
      <c r="V30" s="1046">
        <v>0</v>
      </c>
      <c r="W30" s="1046">
        <v>0</v>
      </c>
      <c r="X30" s="1047">
        <f>ROUND(W30*V30,4)</f>
        <v>0</v>
      </c>
      <c r="Y30" s="1109"/>
      <c r="Z30" s="1109"/>
      <c r="AA30" s="991">
        <f t="shared" si="2"/>
        <v>0</v>
      </c>
      <c r="AB30" s="991">
        <f t="shared" si="3"/>
        <v>0</v>
      </c>
      <c r="AC30" s="991">
        <f t="shared" si="4"/>
        <v>0</v>
      </c>
    </row>
    <row r="31" spans="1:29" ht="15.75">
      <c r="A31" s="998" t="s">
        <v>101</v>
      </c>
      <c r="B31" s="1060">
        <f t="shared" si="11"/>
        <v>13.189999999999996</v>
      </c>
      <c r="C31" s="1049" t="s">
        <v>492</v>
      </c>
      <c r="D31" s="1050"/>
      <c r="E31" s="1051"/>
      <c r="F31" s="1052">
        <v>-924675.04937016219</v>
      </c>
      <c r="G31" s="1053">
        <v>0</v>
      </c>
      <c r="H31" s="1054">
        <f t="shared" si="5"/>
        <v>1493697.6910951799</v>
      </c>
      <c r="I31" s="1055">
        <f t="shared" si="6"/>
        <v>-1.794369030499593E-4</v>
      </c>
      <c r="J31" s="1056">
        <v>-552786.58200000005</v>
      </c>
      <c r="K31" s="1056">
        <v>-552786.58200000005</v>
      </c>
      <c r="L31" s="1054">
        <f t="shared" si="1"/>
        <v>823843.10913511168</v>
      </c>
      <c r="M31" s="1052">
        <f>'MCC-2 page 1-6'!X49</f>
        <v>-552786.58200000005</v>
      </c>
      <c r="N31" s="1053">
        <f>'MCC-2 page 1-6'!X51</f>
        <v>-552786.58200000005</v>
      </c>
      <c r="O31" s="1054">
        <f t="shared" si="7"/>
        <v>827147.05396905914</v>
      </c>
      <c r="P31" s="1055">
        <f t="shared" si="8"/>
        <v>-9.8933683729318656E-5</v>
      </c>
      <c r="Q31" s="1057">
        <f t="shared" si="9"/>
        <v>-669854.5819600682</v>
      </c>
      <c r="R31" s="1058">
        <f t="shared" si="10"/>
        <v>-666550.63712612074</v>
      </c>
      <c r="U31" s="1041" t="s">
        <v>918</v>
      </c>
      <c r="V31" s="1046">
        <v>0.48499999999999999</v>
      </c>
      <c r="W31" s="1046">
        <v>9.8000000000000004E-2</v>
      </c>
      <c r="X31" s="1047">
        <f>ROUND(W31*V31,4)</f>
        <v>4.7500000000000001E-2</v>
      </c>
      <c r="Y31" s="1109"/>
      <c r="Z31" s="1109"/>
      <c r="AA31" s="991">
        <f t="shared" si="2"/>
        <v>0</v>
      </c>
      <c r="AB31" s="991">
        <f t="shared" si="3"/>
        <v>0</v>
      </c>
      <c r="AC31" s="991">
        <f t="shared" si="4"/>
        <v>-3303.944833947462</v>
      </c>
    </row>
    <row r="32" spans="1:29" ht="15" customHeight="1" thickBot="1">
      <c r="A32" s="998" t="s">
        <v>101</v>
      </c>
      <c r="B32" s="1060">
        <f t="shared" si="11"/>
        <v>13.199999999999996</v>
      </c>
      <c r="C32" s="1049" t="s">
        <v>802</v>
      </c>
      <c r="D32" s="1050"/>
      <c r="E32" s="1051"/>
      <c r="F32" s="1052">
        <v>-3087501.2730555004</v>
      </c>
      <c r="G32" s="1053">
        <v>0</v>
      </c>
      <c r="H32" s="1054">
        <f t="shared" si="5"/>
        <v>4987474.8171887295</v>
      </c>
      <c r="I32" s="1055">
        <f t="shared" si="6"/>
        <v>-5.9914200883566526E-4</v>
      </c>
      <c r="J32" s="1056">
        <v>-2010221.1570587384</v>
      </c>
      <c r="K32" s="1056">
        <v>0</v>
      </c>
      <c r="L32" s="1054">
        <f t="shared" si="1"/>
        <v>3247262.5955837863</v>
      </c>
      <c r="M32" s="1052">
        <f>'MCC-2 page 1-6'!Y49</f>
        <v>-2010221.1570587384</v>
      </c>
      <c r="N32" s="1053">
        <f>'MCC-2 page 1-6'!Y51</f>
        <v>0</v>
      </c>
      <c r="O32" s="1054">
        <f t="shared" si="7"/>
        <v>3247262.5955837863</v>
      </c>
      <c r="P32" s="1055">
        <f t="shared" si="8"/>
        <v>-3.9009148036793506E-4</v>
      </c>
      <c r="Q32" s="1057">
        <f t="shared" si="9"/>
        <v>-1740212.2216049433</v>
      </c>
      <c r="R32" s="1058">
        <f t="shared" si="10"/>
        <v>-1740212.2216049433</v>
      </c>
      <c r="U32" s="1041" t="s">
        <v>907</v>
      </c>
      <c r="V32" s="1069">
        <f>SUM(V28:V31)</f>
        <v>1</v>
      </c>
      <c r="W32" s="1029"/>
      <c r="X32" s="1070">
        <f>SUM(X28:X31)</f>
        <v>7.7399999999999997E-2</v>
      </c>
      <c r="Y32" s="1109"/>
      <c r="Z32" s="1109"/>
      <c r="AA32" s="991">
        <f t="shared" si="2"/>
        <v>0</v>
      </c>
      <c r="AB32" s="991">
        <f t="shared" si="3"/>
        <v>0</v>
      </c>
      <c r="AC32" s="991">
        <f t="shared" si="4"/>
        <v>0</v>
      </c>
    </row>
    <row r="33" spans="1:29" ht="16.5" thickTop="1">
      <c r="A33" s="998"/>
      <c r="B33" s="1060">
        <f t="shared" si="11"/>
        <v>13.209999999999996</v>
      </c>
      <c r="C33" s="1049" t="s">
        <v>651</v>
      </c>
      <c r="D33" s="1050"/>
      <c r="E33" s="1051"/>
      <c r="F33" s="1052">
        <v>434046.43987045588</v>
      </c>
      <c r="G33" s="1053">
        <v>15915060.097866783</v>
      </c>
      <c r="H33" s="1054">
        <f t="shared" si="5"/>
        <v>1288713.2267041537</v>
      </c>
      <c r="I33" s="1055">
        <f t="shared" si="6"/>
        <v>-1.5561714534036153E-4</v>
      </c>
      <c r="J33" s="1056">
        <v>434046.43987045588</v>
      </c>
      <c r="K33" s="1056">
        <v>15915060.097866783</v>
      </c>
      <c r="L33" s="1054">
        <f t="shared" si="1"/>
        <v>1288713.2267041537</v>
      </c>
      <c r="M33" s="1052">
        <f>'MCC-2 page 1-6'!Z49</f>
        <v>434046.43987045588</v>
      </c>
      <c r="N33" s="1053">
        <f>'MCC-2 page 1-6'!Z51</f>
        <v>15915060.097866783</v>
      </c>
      <c r="O33" s="1054">
        <f t="shared" si="7"/>
        <v>1193590.6562501732</v>
      </c>
      <c r="P33" s="1055">
        <f t="shared" si="8"/>
        <v>-1.5561714534036153E-4</v>
      </c>
      <c r="Q33" s="1057">
        <f t="shared" si="9"/>
        <v>0</v>
      </c>
      <c r="R33" s="1058">
        <f t="shared" si="10"/>
        <v>-95122.570453980472</v>
      </c>
      <c r="U33" s="1041"/>
      <c r="V33" s="1029"/>
      <c r="W33" s="1029"/>
      <c r="X33" s="1064"/>
      <c r="Y33" s="1109"/>
      <c r="Z33" s="1109"/>
      <c r="AA33" s="991">
        <f t="shared" si="2"/>
        <v>0</v>
      </c>
      <c r="AB33" s="991">
        <f t="shared" si="3"/>
        <v>0</v>
      </c>
      <c r="AC33" s="991">
        <f t="shared" si="4"/>
        <v>95122.570453980472</v>
      </c>
    </row>
    <row r="34" spans="1:29" ht="17.45" customHeight="1">
      <c r="A34" s="998"/>
      <c r="B34" s="1060">
        <f t="shared" si="11"/>
        <v>13.219999999999995</v>
      </c>
      <c r="C34" s="1049" t="s">
        <v>755</v>
      </c>
      <c r="D34" s="1050"/>
      <c r="E34" s="1051"/>
      <c r="F34" s="1052">
        <v>10262.31709798798</v>
      </c>
      <c r="G34" s="1053">
        <v>0</v>
      </c>
      <c r="H34" s="1054">
        <f t="shared" si="5"/>
        <v>-16577.498619641967</v>
      </c>
      <c r="I34" s="1055">
        <f t="shared" si="6"/>
        <v>1.9914438044305038E-6</v>
      </c>
      <c r="J34" s="1056">
        <v>10262.31709798798</v>
      </c>
      <c r="K34" s="1056">
        <v>0</v>
      </c>
      <c r="L34" s="1054">
        <f t="shared" si="1"/>
        <v>-16577.498619641967</v>
      </c>
      <c r="M34" s="1052">
        <f>'MCC-2 page 1-6'!AA49</f>
        <v>10262.31709798798</v>
      </c>
      <c r="N34" s="1053">
        <f>'MCC-2 page 1-6'!AA51</f>
        <v>0</v>
      </c>
      <c r="O34" s="1054">
        <f t="shared" si="7"/>
        <v>-16577.498619641967</v>
      </c>
      <c r="P34" s="1055">
        <f t="shared" si="8"/>
        <v>1.9914438044305038E-6</v>
      </c>
      <c r="Q34" s="1057">
        <f t="shared" si="9"/>
        <v>0</v>
      </c>
      <c r="R34" s="1058">
        <f t="shared" si="10"/>
        <v>0</v>
      </c>
      <c r="U34" s="1028" t="s">
        <v>919</v>
      </c>
      <c r="V34" s="1029"/>
      <c r="W34" s="1029"/>
      <c r="X34" s="1065" t="s">
        <v>896</v>
      </c>
      <c r="Y34" s="1109"/>
      <c r="Z34" s="1109"/>
      <c r="AA34" s="991">
        <f t="shared" si="2"/>
        <v>0</v>
      </c>
      <c r="AB34" s="991">
        <f t="shared" si="3"/>
        <v>0</v>
      </c>
      <c r="AC34" s="991">
        <f t="shared" si="4"/>
        <v>0</v>
      </c>
    </row>
    <row r="35" spans="1:29" ht="15.75">
      <c r="A35" s="998"/>
      <c r="B35" s="1060"/>
      <c r="C35" s="1059" t="s">
        <v>891</v>
      </c>
      <c r="D35" s="1050"/>
      <c r="E35" s="1051"/>
      <c r="F35" s="1052"/>
      <c r="G35" s="1053"/>
      <c r="H35" s="1054"/>
      <c r="I35" s="1055"/>
      <c r="J35" s="1056"/>
      <c r="K35" s="1056"/>
      <c r="L35" s="1054">
        <f t="shared" si="1"/>
        <v>0</v>
      </c>
      <c r="M35" s="1052"/>
      <c r="N35" s="1053"/>
      <c r="O35" s="1054"/>
      <c r="P35" s="1055"/>
      <c r="Q35" s="1057"/>
      <c r="R35" s="1058"/>
      <c r="U35" s="1041"/>
      <c r="V35" s="1029" t="s">
        <v>914</v>
      </c>
      <c r="W35" s="1029" t="s">
        <v>915</v>
      </c>
      <c r="X35" s="1066"/>
      <c r="Y35" s="1109"/>
      <c r="Z35" s="1109"/>
      <c r="AA35" s="991">
        <f t="shared" si="2"/>
        <v>0</v>
      </c>
      <c r="AB35" s="991">
        <f t="shared" si="3"/>
        <v>0</v>
      </c>
      <c r="AC35" s="991">
        <f t="shared" si="4"/>
        <v>0</v>
      </c>
    </row>
    <row r="36" spans="1:29" ht="15.75">
      <c r="A36" s="998"/>
      <c r="B36" s="1060">
        <v>14.01</v>
      </c>
      <c r="C36" s="1049" t="s">
        <v>37</v>
      </c>
      <c r="D36" s="1050"/>
      <c r="E36" s="1051"/>
      <c r="F36" s="1052">
        <v>-14772509.684517041</v>
      </c>
      <c r="G36" s="1053">
        <v>0</v>
      </c>
      <c r="H36" s="1054">
        <f t="shared" ref="H36:H48" si="15">(-F36+(G36*$X$32))/ConversionFactor</f>
        <v>23863154.545452703</v>
      </c>
      <c r="I36" s="1055">
        <f t="shared" ref="I36:I48" si="16">((+F36+F$11)/+(G36+G$11))-I$11</f>
        <v>-2.8666647703652071E-3</v>
      </c>
      <c r="J36" s="1056">
        <v>-2829371.8658719659</v>
      </c>
      <c r="K36" s="1056">
        <v>0</v>
      </c>
      <c r="L36" s="1054">
        <f t="shared" si="1"/>
        <v>4570498.821376536</v>
      </c>
      <c r="M36" s="1052">
        <f>'MCC-2 page 1-6'!AD49</f>
        <v>-2829371.8658719659</v>
      </c>
      <c r="N36" s="1053">
        <f>'MCC-2 page 1-6'!AD51</f>
        <v>0</v>
      </c>
      <c r="O36" s="1054">
        <f t="shared" ref="O36:O48" si="17">(-M36+(N36*$X$14))/ConversionFactor</f>
        <v>4570498.821376536</v>
      </c>
      <c r="P36" s="1055">
        <f t="shared" ref="P36:P48" si="18">((+M36+M$11)/+(N36+N$11))-P$11</f>
        <v>-5.4905096177791657E-4</v>
      </c>
      <c r="Q36" s="1057">
        <f t="shared" si="9"/>
        <v>-19292655.724076167</v>
      </c>
      <c r="R36" s="1058">
        <f t="shared" ref="R36:R48" si="19">+O36-H36</f>
        <v>-19292655.724076167</v>
      </c>
      <c r="U36" s="1041" t="s">
        <v>924</v>
      </c>
      <c r="V36" s="1046">
        <v>0.51500000000000001</v>
      </c>
      <c r="W36" s="1046">
        <v>3.7737864077669908E-2</v>
      </c>
      <c r="X36" s="1047">
        <f>ROUND(W36*V36,4)</f>
        <v>1.9400000000000001E-2</v>
      </c>
      <c r="Y36" s="1109"/>
      <c r="Z36" s="1109"/>
      <c r="AA36" s="991">
        <f t="shared" si="2"/>
        <v>0</v>
      </c>
      <c r="AB36" s="991">
        <f t="shared" si="3"/>
        <v>0</v>
      </c>
      <c r="AC36" s="991">
        <f t="shared" si="4"/>
        <v>0</v>
      </c>
    </row>
    <row r="37" spans="1:29" ht="15.75">
      <c r="A37" s="998"/>
      <c r="B37" s="1060">
        <f t="shared" ref="B37:B48" si="20">B36+0.01</f>
        <v>14.02</v>
      </c>
      <c r="C37" s="1049" t="s">
        <v>255</v>
      </c>
      <c r="D37" s="1050"/>
      <c r="E37" s="1051"/>
      <c r="F37" s="1052">
        <v>61133.271335334284</v>
      </c>
      <c r="G37" s="1053">
        <v>0</v>
      </c>
      <c r="H37" s="1054">
        <f t="shared" si="15"/>
        <v>-98753.206658795942</v>
      </c>
      <c r="I37" s="1055">
        <f t="shared" si="16"/>
        <v>1.1863156564248523E-5</v>
      </c>
      <c r="J37" s="1056">
        <v>61133.271335334284</v>
      </c>
      <c r="K37" s="1056">
        <v>0</v>
      </c>
      <c r="L37" s="1054">
        <f t="shared" si="1"/>
        <v>-98753.206658795942</v>
      </c>
      <c r="M37" s="1052">
        <f>'MCC-2 page 1-6'!AE49</f>
        <v>61133.271335334284</v>
      </c>
      <c r="N37" s="1053">
        <f>'MCC-2 page 1-6'!AE51</f>
        <v>0</v>
      </c>
      <c r="O37" s="1054">
        <f t="shared" si="17"/>
        <v>-98753.206658795942</v>
      </c>
      <c r="P37" s="1055">
        <f t="shared" si="18"/>
        <v>1.1863156564248523E-5</v>
      </c>
      <c r="Q37" s="1057">
        <f t="shared" si="9"/>
        <v>0</v>
      </c>
      <c r="R37" s="1071">
        <f t="shared" si="19"/>
        <v>0</v>
      </c>
      <c r="U37" s="1041"/>
      <c r="V37" s="1046"/>
      <c r="W37" s="1046"/>
      <c r="X37" s="1047"/>
      <c r="Y37" s="1109"/>
      <c r="Z37" s="1109"/>
      <c r="AA37" s="991">
        <f t="shared" si="2"/>
        <v>0</v>
      </c>
      <c r="AB37" s="991">
        <f t="shared" si="3"/>
        <v>0</v>
      </c>
      <c r="AC37" s="991">
        <f t="shared" si="4"/>
        <v>0</v>
      </c>
    </row>
    <row r="38" spans="1:29" ht="15.75">
      <c r="A38" s="998"/>
      <c r="B38" s="1060">
        <f t="shared" si="20"/>
        <v>14.03</v>
      </c>
      <c r="C38" s="1049" t="s">
        <v>174</v>
      </c>
      <c r="D38" s="1050"/>
      <c r="E38" s="1051"/>
      <c r="F38" s="1052">
        <v>137890.37865459672</v>
      </c>
      <c r="G38" s="1053">
        <v>-1969341.3363122563</v>
      </c>
      <c r="H38" s="1054">
        <f t="shared" si="15"/>
        <v>-468971.6971383057</v>
      </c>
      <c r="I38" s="1055">
        <f t="shared" si="16"/>
        <v>5.6517922588261715E-5</v>
      </c>
      <c r="J38" s="1056">
        <v>137890.37865459672</v>
      </c>
      <c r="K38" s="1056">
        <v>-1969341.3363122563</v>
      </c>
      <c r="L38" s="1054">
        <f t="shared" si="1"/>
        <v>-468971.6971383057</v>
      </c>
      <c r="M38" s="1052">
        <f>'MCC-2 page 1-6'!AF49</f>
        <v>137890.37865459672</v>
      </c>
      <c r="N38" s="1053">
        <f>'MCC-2 page 1-6'!AF51</f>
        <v>-1969341.3363122563</v>
      </c>
      <c r="O38" s="1054">
        <f t="shared" si="17"/>
        <v>-457201.15974420524</v>
      </c>
      <c r="P38" s="1055">
        <f t="shared" si="18"/>
        <v>5.6517922588261715E-5</v>
      </c>
      <c r="Q38" s="1057">
        <f t="shared" si="9"/>
        <v>0</v>
      </c>
      <c r="R38" s="1058">
        <f t="shared" si="19"/>
        <v>11770.537394100451</v>
      </c>
      <c r="U38" s="1041" t="s">
        <v>917</v>
      </c>
      <c r="V38" s="1046">
        <v>0</v>
      </c>
      <c r="W38" s="1046">
        <v>0</v>
      </c>
      <c r="X38" s="1047">
        <f>ROUND(W38*V38,4)</f>
        <v>0</v>
      </c>
      <c r="Y38" s="1109"/>
      <c r="Z38" s="1109"/>
      <c r="AA38" s="991">
        <f t="shared" si="2"/>
        <v>0</v>
      </c>
      <c r="AB38" s="991">
        <f t="shared" si="3"/>
        <v>0</v>
      </c>
      <c r="AC38" s="991">
        <f t="shared" si="4"/>
        <v>-11770.537394100451</v>
      </c>
    </row>
    <row r="39" spans="1:29" ht="15.75">
      <c r="A39" s="998"/>
      <c r="B39" s="1060">
        <f t="shared" si="20"/>
        <v>14.04</v>
      </c>
      <c r="C39" s="1049" t="s">
        <v>69</v>
      </c>
      <c r="D39" s="1050"/>
      <c r="E39" s="1051"/>
      <c r="F39" s="1052">
        <v>-41672583.95949994</v>
      </c>
      <c r="G39" s="1053">
        <v>0</v>
      </c>
      <c r="H39" s="1054">
        <f t="shared" si="15"/>
        <v>67316883.357752338</v>
      </c>
      <c r="I39" s="1055">
        <f t="shared" si="16"/>
        <v>-8.0867321042944473E-3</v>
      </c>
      <c r="J39" s="1056">
        <v>-41672583.95949994</v>
      </c>
      <c r="K39" s="1056">
        <v>0</v>
      </c>
      <c r="L39" s="1054">
        <f t="shared" si="1"/>
        <v>67316883.357752338</v>
      </c>
      <c r="M39" s="1052">
        <f>'MCC-2 page 1-6'!AG49</f>
        <v>-41672583.95949994</v>
      </c>
      <c r="N39" s="1053">
        <f>'MCC-2 page 1-6'!AG51</f>
        <v>0</v>
      </c>
      <c r="O39" s="1054">
        <f t="shared" si="17"/>
        <v>67316883.357752338</v>
      </c>
      <c r="P39" s="1055">
        <f t="shared" si="18"/>
        <v>-8.0867321042944473E-3</v>
      </c>
      <c r="Q39" s="1057">
        <f t="shared" si="9"/>
        <v>0</v>
      </c>
      <c r="R39" s="1058">
        <f t="shared" si="19"/>
        <v>0</v>
      </c>
      <c r="U39" s="1041" t="s">
        <v>918</v>
      </c>
      <c r="V39" s="1046">
        <v>0.48499999999999999</v>
      </c>
      <c r="W39" s="1046">
        <v>9.8000000000000004E-2</v>
      </c>
      <c r="X39" s="1047">
        <f>ROUND(W39*V39,4)</f>
        <v>4.7500000000000001E-2</v>
      </c>
      <c r="Y39" s="1109"/>
      <c r="Z39" s="1109"/>
      <c r="AA39" s="991">
        <f t="shared" si="2"/>
        <v>0</v>
      </c>
      <c r="AB39" s="991">
        <f t="shared" si="3"/>
        <v>0</v>
      </c>
      <c r="AC39" s="991">
        <f t="shared" si="4"/>
        <v>0</v>
      </c>
    </row>
    <row r="40" spans="1:29" ht="16.5" thickBot="1">
      <c r="A40" s="998"/>
      <c r="B40" s="1060">
        <f t="shared" si="20"/>
        <v>14.049999999999999</v>
      </c>
      <c r="C40" s="1049" t="s">
        <v>175</v>
      </c>
      <c r="D40" s="1050"/>
      <c r="E40" s="1051"/>
      <c r="F40" s="1052">
        <v>-8389017.6852083355</v>
      </c>
      <c r="G40" s="1053">
        <v>0</v>
      </c>
      <c r="H40" s="1054">
        <f t="shared" si="15"/>
        <v>13551416.09529479</v>
      </c>
      <c r="I40" s="1055">
        <f t="shared" si="16"/>
        <v>-1.6279225378584422E-3</v>
      </c>
      <c r="J40" s="1056">
        <v>-637694.32024999673</v>
      </c>
      <c r="K40" s="1056">
        <v>-31639936.25</v>
      </c>
      <c r="L40" s="1054">
        <f t="shared" si="1"/>
        <v>-2925827.9939778848</v>
      </c>
      <c r="M40" s="1052">
        <f>'MCC-2 page 1-6'!AH49</f>
        <v>-637694.32024999673</v>
      </c>
      <c r="N40" s="1053">
        <f>'MCC-2 page 1-6'!AH51</f>
        <v>-31639936.25</v>
      </c>
      <c r="O40" s="1054">
        <f t="shared" si="17"/>
        <v>-2736719.5616758605</v>
      </c>
      <c r="P40" s="1055">
        <f t="shared" si="18"/>
        <v>3.5622052588445141E-4</v>
      </c>
      <c r="Q40" s="1057">
        <f t="shared" si="9"/>
        <v>-16477244.089272674</v>
      </c>
      <c r="R40" s="1058">
        <f t="shared" si="19"/>
        <v>-16288135.65697065</v>
      </c>
      <c r="U40" s="1067" t="s">
        <v>907</v>
      </c>
      <c r="V40" s="1061">
        <f>SUM(V36:V39)</f>
        <v>1</v>
      </c>
      <c r="W40" s="1062"/>
      <c r="X40" s="1063">
        <f>SUM(X36:X39)</f>
        <v>6.6900000000000001E-2</v>
      </c>
      <c r="Y40" s="1109"/>
      <c r="Z40" s="1109"/>
      <c r="AA40" s="991">
        <f t="shared" si="2"/>
        <v>0</v>
      </c>
      <c r="AB40" s="991">
        <f t="shared" si="3"/>
        <v>0</v>
      </c>
      <c r="AC40" s="991">
        <f t="shared" si="4"/>
        <v>-189108.43230202422</v>
      </c>
    </row>
    <row r="41" spans="1:29" ht="15.75">
      <c r="A41" s="998"/>
      <c r="B41" s="1060">
        <f t="shared" si="20"/>
        <v>14.059999999999999</v>
      </c>
      <c r="C41" s="1049" t="s">
        <v>176</v>
      </c>
      <c r="D41" s="1050"/>
      <c r="E41" s="1051"/>
      <c r="F41" s="1052">
        <v>1736211.9514499884</v>
      </c>
      <c r="G41" s="1053">
        <v>-44085326.485419184</v>
      </c>
      <c r="H41" s="1054">
        <f t="shared" si="15"/>
        <v>-8316626.9361028951</v>
      </c>
      <c r="I41" s="1055">
        <f t="shared" si="16"/>
        <v>1.0112831508629072E-3</v>
      </c>
      <c r="J41" s="1056">
        <v>1736211.9514499884</v>
      </c>
      <c r="K41" s="1056">
        <v>-44085326.485419184</v>
      </c>
      <c r="L41" s="1054">
        <f t="shared" si="1"/>
        <v>-8316626.9361028951</v>
      </c>
      <c r="M41" s="1052">
        <f>'MCC-2 page 1-6'!AI49</f>
        <v>1736211.9514499884</v>
      </c>
      <c r="N41" s="1053">
        <f>'MCC-2 page 1-6'!AI51</f>
        <v>-44085326.485419184</v>
      </c>
      <c r="O41" s="1054">
        <f t="shared" si="17"/>
        <v>-8053133.7699565655</v>
      </c>
      <c r="P41" s="1055">
        <f t="shared" si="18"/>
        <v>1.0112831508629072E-3</v>
      </c>
      <c r="Q41" s="1057">
        <f t="shared" si="9"/>
        <v>0</v>
      </c>
      <c r="R41" s="1058">
        <f t="shared" si="19"/>
        <v>263493.1661463296</v>
      </c>
      <c r="Y41" s="1109"/>
      <c r="Z41" s="1109"/>
      <c r="AA41" s="991">
        <f t="shared" si="2"/>
        <v>0</v>
      </c>
      <c r="AB41" s="991">
        <f t="shared" si="3"/>
        <v>0</v>
      </c>
      <c r="AC41" s="991">
        <f t="shared" si="4"/>
        <v>-263493.1661463296</v>
      </c>
    </row>
    <row r="42" spans="1:29" ht="15.75">
      <c r="A42" s="998"/>
      <c r="B42" s="1060">
        <f t="shared" si="20"/>
        <v>14.069999999999999</v>
      </c>
      <c r="C42" s="1049" t="s">
        <v>453</v>
      </c>
      <c r="D42" s="1050"/>
      <c r="E42" s="1051"/>
      <c r="F42" s="1052">
        <v>-145490.32262849354</v>
      </c>
      <c r="G42" s="1053">
        <v>2842787.0613208562</v>
      </c>
      <c r="H42" s="1054">
        <f t="shared" si="15"/>
        <v>590455.45710244845</v>
      </c>
      <c r="I42" s="1055">
        <f t="shared" si="16"/>
        <v>-7.1121402159257663E-5</v>
      </c>
      <c r="J42" s="1056">
        <v>-145490.32262849354</v>
      </c>
      <c r="K42" s="1056">
        <v>2842787.0613208562</v>
      </c>
      <c r="L42" s="1054">
        <f t="shared" si="1"/>
        <v>590455.45710244845</v>
      </c>
      <c r="M42" s="1052">
        <f>'MCC-2 page 1-6'!AJ49</f>
        <v>-145490.32262849354</v>
      </c>
      <c r="N42" s="1053">
        <f>'MCC-2 page 1-6'!AJ51</f>
        <v>2842787.0613208562</v>
      </c>
      <c r="O42" s="1054">
        <f t="shared" si="17"/>
        <v>573464.43031000777</v>
      </c>
      <c r="P42" s="1055">
        <f t="shared" si="18"/>
        <v>-7.1121402159257663E-5</v>
      </c>
      <c r="Q42" s="1057">
        <f t="shared" si="9"/>
        <v>0</v>
      </c>
      <c r="R42" s="1058">
        <f t="shared" si="19"/>
        <v>-16991.02679244068</v>
      </c>
      <c r="Y42" s="1109"/>
      <c r="Z42" s="1109"/>
      <c r="AA42" s="991">
        <f t="shared" si="2"/>
        <v>0</v>
      </c>
      <c r="AB42" s="991">
        <f t="shared" si="3"/>
        <v>0</v>
      </c>
      <c r="AC42" s="991">
        <f t="shared" si="4"/>
        <v>16991.02679244068</v>
      </c>
    </row>
    <row r="43" spans="1:29" ht="15.75">
      <c r="A43" s="998"/>
      <c r="B43" s="1060">
        <f t="shared" si="20"/>
        <v>14.079999999999998</v>
      </c>
      <c r="C43" s="1049" t="s">
        <v>452</v>
      </c>
      <c r="D43" s="1050"/>
      <c r="E43" s="1051"/>
      <c r="F43" s="1052">
        <v>-3492716.8900000006</v>
      </c>
      <c r="G43" s="1053">
        <v>5131869.0972135225</v>
      </c>
      <c r="H43" s="1054">
        <f t="shared" si="15"/>
        <v>6283688.3522106046</v>
      </c>
      <c r="I43" s="1055">
        <f t="shared" si="16"/>
        <v>-7.545183901271485E-4</v>
      </c>
      <c r="J43" s="1056">
        <v>0</v>
      </c>
      <c r="K43" s="1056">
        <v>0</v>
      </c>
      <c r="L43" s="1054">
        <f t="shared" si="1"/>
        <v>0</v>
      </c>
      <c r="M43" s="1052">
        <f>'MCC-2 page 1-6'!AK49</f>
        <v>0</v>
      </c>
      <c r="N43" s="1053">
        <f>'MCC-2 page 1-6'!AK51</f>
        <v>0</v>
      </c>
      <c r="O43" s="1054">
        <f t="shared" si="17"/>
        <v>0</v>
      </c>
      <c r="P43" s="1055">
        <f t="shared" si="18"/>
        <v>0</v>
      </c>
      <c r="Q43" s="1057">
        <f t="shared" si="9"/>
        <v>-6283688.3522106046</v>
      </c>
      <c r="R43" s="1058">
        <f t="shared" si="19"/>
        <v>-6283688.3522106046</v>
      </c>
      <c r="Y43" s="1109"/>
      <c r="Z43" s="1109"/>
      <c r="AA43" s="991">
        <f t="shared" si="2"/>
        <v>0</v>
      </c>
      <c r="AB43" s="991">
        <f t="shared" si="3"/>
        <v>0</v>
      </c>
      <c r="AC43" s="991">
        <f t="shared" si="4"/>
        <v>0</v>
      </c>
    </row>
    <row r="44" spans="1:29" ht="15.75">
      <c r="A44" s="998"/>
      <c r="B44" s="1060">
        <f t="shared" si="20"/>
        <v>14.089999999999998</v>
      </c>
      <c r="C44" s="1049" t="s">
        <v>618</v>
      </c>
      <c r="D44" s="1050"/>
      <c r="E44" s="1051"/>
      <c r="F44" s="1052">
        <v>2156.0948424596518</v>
      </c>
      <c r="G44" s="1053">
        <v>18140954.4063752</v>
      </c>
      <c r="H44" s="1054">
        <f t="shared" si="15"/>
        <v>2264682.1929226848</v>
      </c>
      <c r="I44" s="1055">
        <f t="shared" si="16"/>
        <v>-2.7256053717700235E-4</v>
      </c>
      <c r="J44" s="1056">
        <v>2156.0948424596518</v>
      </c>
      <c r="K44" s="1056">
        <v>18140954.4063752</v>
      </c>
      <c r="L44" s="1054">
        <f t="shared" si="1"/>
        <v>2264682.1929226848</v>
      </c>
      <c r="M44" s="1052">
        <f>'MCC-2 page 1-6'!AL49</f>
        <v>2156.0948424596518</v>
      </c>
      <c r="N44" s="1053">
        <f>'MCC-2 page 1-6'!AL51</f>
        <v>18140954.4063752</v>
      </c>
      <c r="O44" s="1054">
        <f t="shared" si="17"/>
        <v>2156255.6960692941</v>
      </c>
      <c r="P44" s="1055">
        <f t="shared" si="18"/>
        <v>-2.7256053717700235E-4</v>
      </c>
      <c r="Q44" s="1057">
        <f t="shared" si="9"/>
        <v>0</v>
      </c>
      <c r="R44" s="1116">
        <f t="shared" si="19"/>
        <v>-108426.49685339071</v>
      </c>
      <c r="Y44" s="1109"/>
      <c r="Z44" s="1109"/>
      <c r="AA44" s="991">
        <f t="shared" si="2"/>
        <v>0</v>
      </c>
      <c r="AB44" s="991">
        <f t="shared" si="3"/>
        <v>0</v>
      </c>
      <c r="AC44" s="991">
        <f t="shared" si="4"/>
        <v>108426.49685339071</v>
      </c>
    </row>
    <row r="45" spans="1:29" ht="15.75">
      <c r="A45" s="998"/>
      <c r="B45" s="1060">
        <f t="shared" si="20"/>
        <v>14.099999999999998</v>
      </c>
      <c r="C45" s="1049" t="s">
        <v>626</v>
      </c>
      <c r="D45" s="1050"/>
      <c r="E45" s="1051"/>
      <c r="F45" s="1052">
        <v>0</v>
      </c>
      <c r="G45" s="1053">
        <v>19004590.008907948</v>
      </c>
      <c r="H45" s="1054">
        <f t="shared" si="15"/>
        <v>2376145.530318948</v>
      </c>
      <c r="I45" s="1055">
        <f t="shared" si="16"/>
        <v>-2.8592534369543954E-4</v>
      </c>
      <c r="J45" s="1056">
        <v>0</v>
      </c>
      <c r="K45" s="1056">
        <v>19004590.008907948</v>
      </c>
      <c r="L45" s="1054">
        <f t="shared" si="1"/>
        <v>2376145.530318948</v>
      </c>
      <c r="M45" s="1052">
        <f>'MCC-2 page 1-6'!AM49</f>
        <v>0</v>
      </c>
      <c r="N45" s="1053">
        <f>'MCC-2 page 1-6'!AM51</f>
        <v>19004590.008907948</v>
      </c>
      <c r="O45" s="1054">
        <f t="shared" si="17"/>
        <v>2262557.1780943992</v>
      </c>
      <c r="P45" s="1055">
        <f t="shared" si="18"/>
        <v>-2.8592534369543954E-4</v>
      </c>
      <c r="Q45" s="1057">
        <f>L45-H45</f>
        <v>0</v>
      </c>
      <c r="R45" s="1058">
        <f t="shared" si="19"/>
        <v>-113588.35222454881</v>
      </c>
      <c r="Y45" s="1109"/>
      <c r="Z45" s="1109"/>
      <c r="AA45" s="991">
        <f t="shared" si="2"/>
        <v>0</v>
      </c>
      <c r="AB45" s="991">
        <f t="shared" si="3"/>
        <v>0</v>
      </c>
      <c r="AC45" s="991">
        <f t="shared" si="4"/>
        <v>113588.35222454881</v>
      </c>
    </row>
    <row r="46" spans="1:29" ht="15.75">
      <c r="A46" s="998"/>
      <c r="B46" s="1060">
        <f t="shared" si="20"/>
        <v>14.109999999999998</v>
      </c>
      <c r="C46" s="1049" t="s">
        <v>652</v>
      </c>
      <c r="D46" s="1050"/>
      <c r="E46" s="1051"/>
      <c r="F46" s="1052">
        <v>-3288310.2380116768</v>
      </c>
      <c r="G46" s="1053">
        <v>-4108724.3018971421</v>
      </c>
      <c r="H46" s="1054">
        <f t="shared" si="15"/>
        <v>4798142.6038320558</v>
      </c>
      <c r="I46" s="1055">
        <f t="shared" si="16"/>
        <v>-5.7652545841120617E-4</v>
      </c>
      <c r="J46" s="1056">
        <v>0</v>
      </c>
      <c r="K46" s="1056">
        <v>-2464569.1828912995</v>
      </c>
      <c r="L46" s="1054">
        <f t="shared" si="1"/>
        <v>-308145.29781195184</v>
      </c>
      <c r="M46" s="1052">
        <f>'MCC-2 page 1-6'!AN49</f>
        <v>0</v>
      </c>
      <c r="N46" s="1053">
        <f>'MCC-2 page 1-6'!AN51</f>
        <v>-2464569.1828912995</v>
      </c>
      <c r="O46" s="1054">
        <f t="shared" si="17"/>
        <v>-293414.83783902903</v>
      </c>
      <c r="P46" s="1055">
        <f t="shared" si="18"/>
        <v>3.723416437678706E-5</v>
      </c>
      <c r="Q46" s="1057">
        <f t="shared" si="9"/>
        <v>-5106287.9016440073</v>
      </c>
      <c r="R46" s="1058">
        <f t="shared" si="19"/>
        <v>-5091557.4416710846</v>
      </c>
      <c r="Y46" s="1109"/>
      <c r="Z46" s="1109"/>
      <c r="AA46" s="991">
        <f t="shared" si="2"/>
        <v>0</v>
      </c>
      <c r="AB46" s="991">
        <f t="shared" si="3"/>
        <v>0</v>
      </c>
      <c r="AC46" s="991">
        <f t="shared" si="4"/>
        <v>-14730.459972922807</v>
      </c>
    </row>
    <row r="47" spans="1:29" ht="15.75">
      <c r="A47" s="998"/>
      <c r="B47" s="1060">
        <f t="shared" si="20"/>
        <v>14.119999999999997</v>
      </c>
      <c r="C47" s="1049" t="s">
        <v>701</v>
      </c>
      <c r="D47" s="1050"/>
      <c r="E47" s="1051"/>
      <c r="F47" s="1052">
        <v>-2131857</v>
      </c>
      <c r="G47" s="1053">
        <v>5739614.9999999851</v>
      </c>
      <c r="H47" s="1054">
        <f t="shared" si="15"/>
        <v>4161374.7510302039</v>
      </c>
      <c r="I47" s="1055">
        <f t="shared" si="16"/>
        <v>-4.9981007623794982E-4</v>
      </c>
      <c r="J47" s="1056">
        <v>-1571598.166666667</v>
      </c>
      <c r="K47" s="1056">
        <v>69639614.979849741</v>
      </c>
      <c r="L47" s="1054">
        <f t="shared" si="1"/>
        <v>11245768.710666869</v>
      </c>
      <c r="M47" s="1052">
        <f>'MCC-2 page 1-6'!AO49</f>
        <v>-1571598.166666667</v>
      </c>
      <c r="N47" s="1053">
        <f>'MCC-2 page 1-6'!AO51</f>
        <v>69639614.979849741</v>
      </c>
      <c r="O47" s="1054">
        <f t="shared" si="17"/>
        <v>10829540.362072904</v>
      </c>
      <c r="P47" s="1055">
        <f t="shared" si="18"/>
        <v>-1.3384835426873271E-3</v>
      </c>
      <c r="Q47" s="1057">
        <f t="shared" si="9"/>
        <v>7084393.9596366649</v>
      </c>
      <c r="R47" s="1058">
        <f t="shared" si="19"/>
        <v>6668165.6110426998</v>
      </c>
      <c r="Y47" s="1109"/>
      <c r="Z47" s="1109"/>
      <c r="AA47" s="991">
        <f t="shared" si="2"/>
        <v>0</v>
      </c>
      <c r="AB47" s="991">
        <f t="shared" si="3"/>
        <v>0</v>
      </c>
      <c r="AC47" s="991">
        <f t="shared" si="4"/>
        <v>416228.34859396517</v>
      </c>
    </row>
    <row r="48" spans="1:29" ht="15.75">
      <c r="A48" s="998"/>
      <c r="B48" s="1060">
        <f t="shared" si="20"/>
        <v>14.129999999999997</v>
      </c>
      <c r="C48" s="1049" t="s">
        <v>36</v>
      </c>
      <c r="D48" s="1050"/>
      <c r="E48" s="1051"/>
      <c r="F48" s="1052">
        <v>3129292.1922478941</v>
      </c>
      <c r="G48" s="1053">
        <v>-54762869.208236404</v>
      </c>
      <c r="H48" s="1054">
        <f t="shared" si="15"/>
        <v>-11901989.12361888</v>
      </c>
      <c r="I48" s="1055">
        <f t="shared" si="16"/>
        <v>1.4496061948536254E-3</v>
      </c>
      <c r="J48" s="1056">
        <v>34156.472365063768</v>
      </c>
      <c r="K48" s="1056">
        <v>0</v>
      </c>
      <c r="L48" s="1054">
        <f t="shared" si="1"/>
        <v>-55175.53863100741</v>
      </c>
      <c r="M48" s="1052">
        <f>'MCC-2 page 1-6'!AP49</f>
        <v>34156.472365063768</v>
      </c>
      <c r="N48" s="1053">
        <f>'MCC-2 page 1-6'!AP51</f>
        <v>0</v>
      </c>
      <c r="O48" s="1054">
        <f t="shared" si="17"/>
        <v>-55175.53863100741</v>
      </c>
      <c r="P48" s="1055">
        <f t="shared" si="18"/>
        <v>6.6282004953788221E-6</v>
      </c>
      <c r="Q48" s="1057">
        <f t="shared" si="9"/>
        <v>11846813.584987873</v>
      </c>
      <c r="R48" s="1058">
        <f t="shared" si="19"/>
        <v>11846813.584987873</v>
      </c>
      <c r="Y48" s="1109"/>
      <c r="Z48" s="1109"/>
      <c r="AA48" s="991">
        <f t="shared" si="2"/>
        <v>0</v>
      </c>
      <c r="AB48" s="991">
        <f t="shared" si="3"/>
        <v>0</v>
      </c>
      <c r="AC48" s="991">
        <f t="shared" si="4"/>
        <v>0</v>
      </c>
    </row>
    <row r="49" spans="1:29" ht="15.75">
      <c r="A49" s="998"/>
      <c r="B49" s="1060"/>
      <c r="C49" s="1059" t="s">
        <v>923</v>
      </c>
      <c r="D49" s="1050"/>
      <c r="E49" s="1051"/>
      <c r="F49" s="1052"/>
      <c r="G49" s="1053"/>
      <c r="H49" s="1054"/>
      <c r="I49" s="1055"/>
      <c r="J49" s="1056"/>
      <c r="K49" s="1056"/>
      <c r="L49" s="1054">
        <f t="shared" si="1"/>
        <v>0</v>
      </c>
      <c r="M49" s="1052"/>
      <c r="N49" s="1053"/>
      <c r="O49" s="1054"/>
      <c r="P49" s="1055"/>
      <c r="Q49" s="1057"/>
      <c r="R49" s="1058"/>
      <c r="Y49" s="1109"/>
      <c r="Z49" s="1109"/>
      <c r="AA49" s="991">
        <f t="shared" si="2"/>
        <v>0</v>
      </c>
      <c r="AB49" s="991">
        <f t="shared" si="3"/>
        <v>0</v>
      </c>
      <c r="AC49" s="991">
        <f t="shared" si="4"/>
        <v>0</v>
      </c>
    </row>
    <row r="50" spans="1:29" ht="15.75">
      <c r="A50" s="998"/>
      <c r="B50" s="1072" t="s">
        <v>1024</v>
      </c>
      <c r="C50" s="1049" t="s">
        <v>1007</v>
      </c>
      <c r="D50" s="1050"/>
      <c r="E50" s="1051"/>
      <c r="F50" s="1052">
        <v>0</v>
      </c>
      <c r="G50" s="1053">
        <v>0</v>
      </c>
      <c r="H50" s="1054">
        <f>(-F50+(G50*$X$32))/ConversionFactor</f>
        <v>0</v>
      </c>
      <c r="I50" s="1055">
        <f>((+F50+F$11)/+(G50+G$11))-I$11</f>
        <v>0</v>
      </c>
      <c r="J50" s="1056">
        <v>-4608844.2836874295</v>
      </c>
      <c r="K50" s="1056">
        <v>-127629534.00980572</v>
      </c>
      <c r="L50" s="1054">
        <f t="shared" si="1"/>
        <v>-8512516.1718041543</v>
      </c>
      <c r="M50" s="1052">
        <f>'MCC-2 page 1-6'!K49</f>
        <v>-4608844.2836874295</v>
      </c>
      <c r="N50" s="1053">
        <f>'MCC-2 page 1-6'!K51</f>
        <v>-127629534.00980572</v>
      </c>
      <c r="O50" s="1054">
        <f>(-M50+(N50*$X$14))/ConversionFactor</f>
        <v>-7749688.4308970543</v>
      </c>
      <c r="P50" s="1055">
        <f>((+M50+M$11)/+(N50+N$11))-P$11</f>
        <v>1.0591436127712073E-3</v>
      </c>
      <c r="Q50" s="1057">
        <f t="shared" si="9"/>
        <v>-8512516.1718041543</v>
      </c>
      <c r="R50" s="1058">
        <f>+O50-H50</f>
        <v>-7749688.4308970543</v>
      </c>
      <c r="Y50" s="1109"/>
      <c r="Z50" s="1109"/>
      <c r="AA50" s="991">
        <f t="shared" si="2"/>
        <v>0</v>
      </c>
      <c r="AB50" s="991">
        <f t="shared" si="3"/>
        <v>0</v>
      </c>
      <c r="AC50" s="991">
        <f t="shared" si="4"/>
        <v>-762827.74090710003</v>
      </c>
    </row>
    <row r="51" spans="1:29" ht="15.75">
      <c r="A51" s="998"/>
      <c r="B51" s="1060">
        <v>13.23</v>
      </c>
      <c r="C51" s="1049" t="s">
        <v>892</v>
      </c>
      <c r="D51" s="1050"/>
      <c r="E51" s="1051"/>
      <c r="F51" s="1052">
        <v>0</v>
      </c>
      <c r="G51" s="1053">
        <v>0</v>
      </c>
      <c r="H51" s="1054">
        <f>(-F51+(G51*$X$32))/ConversionFactor</f>
        <v>0</v>
      </c>
      <c r="I51" s="1055">
        <f>((+F51+F$11)/+(G51+G$11))-I$11</f>
        <v>0</v>
      </c>
      <c r="J51" s="1056">
        <v>0</v>
      </c>
      <c r="K51" s="1216">
        <v>15990937.271673262</v>
      </c>
      <c r="L51" s="1217">
        <f t="shared" si="1"/>
        <v>1999348.2682808207</v>
      </c>
      <c r="M51" s="1052">
        <f>'MCC-2 page 1-6'!AB49</f>
        <v>0</v>
      </c>
      <c r="N51" s="1215">
        <f>'MCC-2 page 1-6'!AB51</f>
        <v>15990937.271673262</v>
      </c>
      <c r="O51" s="1217">
        <f>(-M51+(N51*$X$14))/ConversionFactor</f>
        <v>1903772.1882725644</v>
      </c>
      <c r="P51" s="1218">
        <f>((+M51+M$11)/+(N51+N$11))-P$11</f>
        <v>-2.4072499562603766E-4</v>
      </c>
      <c r="Q51" s="1057">
        <f t="shared" si="9"/>
        <v>1999348.2682808207</v>
      </c>
      <c r="R51" s="1058">
        <f>+O51-H51</f>
        <v>1903772.1882725644</v>
      </c>
      <c r="Y51" s="1109"/>
      <c r="Z51" s="1109"/>
      <c r="AA51" s="991">
        <f t="shared" si="2"/>
        <v>0</v>
      </c>
      <c r="AB51" s="991">
        <f t="shared" si="3"/>
        <v>0</v>
      </c>
      <c r="AC51" s="991">
        <f t="shared" si="4"/>
        <v>95576.080008256249</v>
      </c>
    </row>
    <row r="52" spans="1:29" ht="15.75">
      <c r="A52" s="998"/>
      <c r="B52" s="1060">
        <v>13.24</v>
      </c>
      <c r="C52" s="1049" t="s">
        <v>1112</v>
      </c>
      <c r="D52" s="1050"/>
      <c r="E52" s="1051"/>
      <c r="F52" s="1052">
        <v>0</v>
      </c>
      <c r="G52" s="1053">
        <v>0</v>
      </c>
      <c r="H52" s="1054">
        <f>(-F52+(G52*$X$32))/ConversionFactor</f>
        <v>0</v>
      </c>
      <c r="I52" s="1055">
        <f>((+F52+F$11)/+(G52+G$11))-I$11</f>
        <v>0</v>
      </c>
      <c r="J52" s="1056">
        <v>315757</v>
      </c>
      <c r="K52" s="1056">
        <v>0</v>
      </c>
      <c r="L52" s="1054">
        <f t="shared" si="1"/>
        <v>-510066.2142537529</v>
      </c>
      <c r="M52" s="1052">
        <f>'MCC-2 page 1-6'!AC49</f>
        <v>315757</v>
      </c>
      <c r="N52" s="1053">
        <f>'MCC-2 page 1-6'!AC51</f>
        <v>0</v>
      </c>
      <c r="O52" s="1054">
        <f>(-M52+(N52*$X$14))/ConversionFactor</f>
        <v>-510066.2142537529</v>
      </c>
      <c r="P52" s="1055">
        <f>((+M52+M$11)/+(N52+N$11))-P$11</f>
        <v>6.1273912640921746E-5</v>
      </c>
      <c r="Q52" s="1057">
        <f t="shared" si="9"/>
        <v>-510066.2142537529</v>
      </c>
      <c r="R52" s="1058">
        <f>+O52-H52</f>
        <v>-510066.2142537529</v>
      </c>
      <c r="Y52" s="1109"/>
      <c r="Z52" s="1109"/>
      <c r="AA52" s="991">
        <f t="shared" si="2"/>
        <v>0</v>
      </c>
      <c r="AB52" s="991">
        <f t="shared" si="3"/>
        <v>0</v>
      </c>
      <c r="AC52" s="991">
        <f t="shared" si="4"/>
        <v>0</v>
      </c>
    </row>
    <row r="53" spans="1:29" ht="15.75">
      <c r="A53" s="998"/>
      <c r="B53" s="1073"/>
      <c r="C53" s="1074"/>
      <c r="D53" s="1050"/>
      <c r="E53" s="1051"/>
      <c r="F53" s="1052"/>
      <c r="G53" s="1053"/>
      <c r="H53" s="1054"/>
      <c r="I53" s="1055"/>
      <c r="J53" s="1056"/>
      <c r="K53" s="1056"/>
      <c r="L53" s="1075"/>
      <c r="M53" s="1052"/>
      <c r="N53" s="1053"/>
      <c r="O53" s="1054"/>
      <c r="P53" s="1055"/>
      <c r="Q53" s="1057"/>
      <c r="R53" s="1058"/>
      <c r="Y53" s="1109"/>
      <c r="Z53" s="1109"/>
      <c r="AA53" s="991">
        <f t="shared" si="2"/>
        <v>0</v>
      </c>
      <c r="AB53" s="991">
        <f t="shared" si="3"/>
        <v>0</v>
      </c>
      <c r="AC53" s="991">
        <f t="shared" si="4"/>
        <v>0</v>
      </c>
    </row>
    <row r="54" spans="1:29" ht="16.5" thickBot="1">
      <c r="A54" s="998"/>
      <c r="B54" s="1073"/>
      <c r="C54" s="1074" t="s">
        <v>920</v>
      </c>
      <c r="D54" s="1050"/>
      <c r="E54" s="1051"/>
      <c r="F54" s="1052">
        <f>SUM(F13:F53)</f>
        <v>-95600488.430680424</v>
      </c>
      <c r="G54" s="1052">
        <f>SUM(G13:G53)</f>
        <v>-55456691.1702509</v>
      </c>
      <c r="H54" s="1185">
        <f>SUM(H13:H53)</f>
        <v>147496959.91784689</v>
      </c>
      <c r="I54" s="1076">
        <f>SUM(I13:I53)</f>
        <v>-1.7708521473262281E-2</v>
      </c>
      <c r="J54" s="1221">
        <v>-58154348.128655247</v>
      </c>
      <c r="K54" s="1221">
        <v>-77470417.034308985</v>
      </c>
      <c r="L54" s="1222">
        <f>SUM(L13:L53)</f>
        <v>84254993.288436219</v>
      </c>
      <c r="M54" s="1214">
        <f>SUM(M13:M53)</f>
        <v>-58864950.894892462</v>
      </c>
      <c r="N54" s="1214">
        <f>SUM(N13:N53)</f>
        <v>-77470417.034308985</v>
      </c>
      <c r="O54" s="1222">
        <f>SUM(O13:O53)</f>
        <v>85865915.989900529</v>
      </c>
      <c r="P54" s="1076">
        <f>SUM(P13:P53)</f>
        <v>-1.0202912512726967E-2</v>
      </c>
      <c r="Q54" s="1057">
        <f t="shared" si="9"/>
        <v>-63241966.629410669</v>
      </c>
      <c r="R54" s="1077">
        <f>SUM(R13:R53)</f>
        <v>-61631043.927946366</v>
      </c>
      <c r="Y54" s="1109"/>
      <c r="Z54" s="1109"/>
      <c r="AA54" s="991">
        <f t="shared" si="2"/>
        <v>710602.76623721421</v>
      </c>
      <c r="AB54" s="991">
        <f t="shared" si="3"/>
        <v>0</v>
      </c>
      <c r="AC54" s="991">
        <f t="shared" si="4"/>
        <v>-1610922.7014643103</v>
      </c>
    </row>
    <row r="55" spans="1:29" ht="16.5" thickBot="1">
      <c r="A55" s="998"/>
      <c r="B55" s="1073"/>
      <c r="C55" s="1074" t="s">
        <v>921</v>
      </c>
      <c r="D55" s="1050"/>
      <c r="E55" s="1051"/>
      <c r="F55" s="1052">
        <f>+F54+F11</f>
        <v>305402483.26809847</v>
      </c>
      <c r="G55" s="1051">
        <f>+G54+G11</f>
        <v>5097747770.4156332</v>
      </c>
      <c r="H55" s="1186">
        <f>+H54+H11+1</f>
        <v>144032066.47129652</v>
      </c>
      <c r="I55" s="1184">
        <f>+F55/G55</f>
        <v>5.9909296619279025E-2</v>
      </c>
      <c r="J55" s="1216">
        <v>342848623.57012361</v>
      </c>
      <c r="K55" s="1216">
        <v>5075734044.5515747</v>
      </c>
      <c r="L55" s="1223">
        <f>+L54+L11</f>
        <v>80790098.84188585</v>
      </c>
      <c r="M55" s="1214">
        <f>+M54+M11</f>
        <v>342138020.80388641</v>
      </c>
      <c r="N55" s="1224">
        <f>+N54+N11</f>
        <v>5075734044.5515747</v>
      </c>
      <c r="O55" s="1223">
        <f>+O54+O11</f>
        <v>51600883.092935331</v>
      </c>
      <c r="P55" s="1184">
        <f>+M55/N55</f>
        <v>6.7406609132948228E-2</v>
      </c>
      <c r="Q55" s="1057">
        <f t="shared" si="9"/>
        <v>-63241967.629410669</v>
      </c>
      <c r="R55" s="1077">
        <f>+R54+R11</f>
        <v>-92431182.378361195</v>
      </c>
      <c r="Y55" s="1109"/>
      <c r="Z55" s="1109"/>
      <c r="AA55" s="991">
        <f t="shared" si="2"/>
        <v>710602.76623719931</v>
      </c>
      <c r="AB55" s="991">
        <f t="shared" si="3"/>
        <v>0</v>
      </c>
      <c r="AC55" s="991">
        <f t="shared" si="4"/>
        <v>29189215.748950519</v>
      </c>
    </row>
    <row r="56" spans="1:29" ht="16.5" thickBot="1">
      <c r="A56" s="998"/>
      <c r="B56" s="1110"/>
      <c r="C56" s="1111" t="s">
        <v>1193</v>
      </c>
      <c r="D56" s="1112"/>
      <c r="E56" s="1113"/>
      <c r="F56" s="1052"/>
      <c r="G56" s="1051"/>
      <c r="H56" s="1186">
        <f>H55-'EXHIBIT MCC-3'!D23</f>
        <v>143626923.66205132</v>
      </c>
      <c r="I56" s="1184"/>
      <c r="J56" s="1056"/>
      <c r="K56" s="1056"/>
      <c r="L56" s="1223">
        <f>L55-'EXHIBIT MCC-3'!D23</f>
        <v>80384956.032640651</v>
      </c>
      <c r="M56" s="1052"/>
      <c r="N56" s="1051"/>
      <c r="O56" s="1223">
        <f>O55-'EXHIBIT MCC-3'!D23</f>
        <v>51195740.283690132</v>
      </c>
      <c r="P56" s="1184"/>
      <c r="Q56" s="1115"/>
      <c r="R56" s="1114"/>
      <c r="Y56" s="1109"/>
      <c r="Z56" s="1109"/>
      <c r="AA56" s="991"/>
      <c r="AB56" s="991"/>
      <c r="AC56" s="991"/>
    </row>
    <row r="57" spans="1:29" ht="12.75" thickBot="1">
      <c r="B57" s="1078"/>
      <c r="C57" s="1079" t="s">
        <v>922</v>
      </c>
      <c r="D57" s="1080"/>
      <c r="E57" s="1081"/>
      <c r="F57" s="1082">
        <f>F55</f>
        <v>305402483.26809847</v>
      </c>
      <c r="G57" s="1083">
        <f>(F57+H57)/G55</f>
        <v>7.7400000121436177E-2</v>
      </c>
      <c r="H57" s="1082">
        <f>H55*ConversionFactor</f>
        <v>89163194.78112258</v>
      </c>
      <c r="I57" s="1084"/>
      <c r="J57" s="1228">
        <v>342848623.57012361</v>
      </c>
      <c r="K57" s="1117">
        <v>7.740000000000001E-2</v>
      </c>
      <c r="L57" s="1226">
        <f>L55*ConversionFactor</f>
        <v>50013191.478168279</v>
      </c>
      <c r="M57" s="1227">
        <f>M55</f>
        <v>342138020.80388641</v>
      </c>
      <c r="N57" s="1083">
        <f>(O57+M57)/N55</f>
        <v>7.3700000000000015E-2</v>
      </c>
      <c r="O57" s="1225">
        <f>O55*ConversionFactor</f>
        <v>31943578.279564712</v>
      </c>
      <c r="P57" s="1084"/>
      <c r="Q57" s="1029"/>
    </row>
    <row r="59" spans="1:29">
      <c r="F59" s="1086"/>
      <c r="G59" s="1029"/>
      <c r="H59" s="1029"/>
      <c r="N59" s="188" t="s">
        <v>1118</v>
      </c>
      <c r="O59" s="991">
        <f>H55</f>
        <v>144032066.47129652</v>
      </c>
    </row>
    <row r="60" spans="1:29">
      <c r="F60" s="1086"/>
      <c r="G60" s="1029"/>
      <c r="H60" s="1029"/>
      <c r="N60" s="188" t="s">
        <v>996</v>
      </c>
      <c r="O60" s="1229">
        <f>L55-H55</f>
        <v>-63241967.629410669</v>
      </c>
    </row>
    <row r="61" spans="1:29">
      <c r="F61" s="1029"/>
      <c r="G61" s="1029"/>
      <c r="H61" s="1029"/>
      <c r="N61" s="188" t="s">
        <v>1119</v>
      </c>
      <c r="O61" s="1229">
        <f>O55-L55</f>
        <v>-29189215.748950519</v>
      </c>
    </row>
    <row r="62" spans="1:29" ht="12.75" thickBot="1">
      <c r="N62" s="188" t="s">
        <v>1120</v>
      </c>
      <c r="O62" s="1230">
        <f>SUM(O59:O61)</f>
        <v>51600883.092935331</v>
      </c>
    </row>
    <row r="63" spans="1:29" ht="12.75" thickTop="1">
      <c r="O63" s="1087"/>
    </row>
    <row r="64" spans="1:29">
      <c r="G64" s="987"/>
      <c r="H64" s="987"/>
    </row>
    <row r="65" spans="6:12" ht="15.75" customHeight="1">
      <c r="F65" s="1007" t="s">
        <v>1121</v>
      </c>
      <c r="G65" s="1299" t="s">
        <v>1227</v>
      </c>
      <c r="H65" s="1299"/>
      <c r="I65" s="1299"/>
      <c r="J65" s="1299"/>
      <c r="K65" s="1299"/>
      <c r="L65" s="1300"/>
    </row>
    <row r="66" spans="6:12">
      <c r="F66" s="1088"/>
      <c r="G66" s="1301"/>
      <c r="H66" s="1301"/>
      <c r="I66" s="1301"/>
      <c r="J66" s="1301"/>
      <c r="K66" s="1301"/>
      <c r="L66" s="1302"/>
    </row>
    <row r="67" spans="6:12">
      <c r="F67" s="1089"/>
      <c r="G67" s="1303"/>
      <c r="H67" s="1303"/>
      <c r="I67" s="1303"/>
      <c r="J67" s="1303"/>
      <c r="K67" s="1303"/>
      <c r="L67" s="1304"/>
    </row>
    <row r="68" spans="6:12">
      <c r="G68" s="1090" t="s">
        <v>1122</v>
      </c>
      <c r="H68" s="1091"/>
      <c r="I68" s="1091"/>
      <c r="J68" s="1092"/>
      <c r="K68" s="188"/>
      <c r="L68" s="997"/>
    </row>
    <row r="69" spans="6:12" ht="12.75">
      <c r="G69" s="1093" t="s">
        <v>1123</v>
      </c>
      <c r="H69" s="1046">
        <v>0.51500000000000001</v>
      </c>
      <c r="I69" s="1094">
        <v>5.8058252427184473E-2</v>
      </c>
      <c r="J69" s="972">
        <f>ROUND(+H69*I69,4)</f>
        <v>2.9899999999999999E-2</v>
      </c>
      <c r="K69" s="188"/>
    </row>
    <row r="70" spans="6:12" ht="12.75">
      <c r="G70" s="1093" t="s">
        <v>1010</v>
      </c>
      <c r="H70" s="1046"/>
      <c r="I70" s="1094"/>
      <c r="J70" s="972"/>
      <c r="K70" s="188"/>
    </row>
    <row r="71" spans="6:12" ht="12.75">
      <c r="G71" s="1093" t="s">
        <v>613</v>
      </c>
      <c r="H71" s="1046">
        <v>0.48499999999999999</v>
      </c>
      <c r="I71" s="1094">
        <v>9.8000000000000004E-2</v>
      </c>
      <c r="J71" s="972">
        <f t="shared" ref="J71" si="21">ROUND(+H71*I71,4)</f>
        <v>4.7500000000000001E-2</v>
      </c>
      <c r="K71" s="188"/>
    </row>
    <row r="72" spans="6:12" ht="12.75">
      <c r="G72" s="1095" t="s">
        <v>615</v>
      </c>
      <c r="H72" s="1096">
        <v>1</v>
      </c>
      <c r="I72" s="992"/>
      <c r="J72" s="973">
        <f>SUM(J69:J71)</f>
        <v>7.7399999999999997E-2</v>
      </c>
      <c r="K72" s="188"/>
    </row>
    <row r="73" spans="6:12">
      <c r="J73" s="188"/>
      <c r="K73" s="188"/>
    </row>
    <row r="74" spans="6:12">
      <c r="G74" s="987"/>
      <c r="H74" s="987"/>
    </row>
    <row r="75" spans="6:12">
      <c r="G75" s="987"/>
      <c r="H75" s="987"/>
    </row>
    <row r="76" spans="6:12">
      <c r="G76" s="987"/>
    </row>
  </sheetData>
  <mergeCells count="8">
    <mergeCell ref="G65:L67"/>
    <mergeCell ref="C1:N1"/>
    <mergeCell ref="C2:N2"/>
    <mergeCell ref="C3:N3"/>
    <mergeCell ref="D7:E7"/>
    <mergeCell ref="F7:G7"/>
    <mergeCell ref="M7:N7"/>
    <mergeCell ref="J7:K7"/>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sheetPr>
  <dimension ref="A1:P47"/>
  <sheetViews>
    <sheetView view="pageBreakPreview" zoomScale="60" zoomScaleNormal="77" workbookViewId="0">
      <selection activeCell="A4" sqref="A4:F4"/>
    </sheetView>
  </sheetViews>
  <sheetFormatPr defaultRowHeight="11.25"/>
  <cols>
    <col min="1" max="1" width="7.5" style="188" bestFit="1" customWidth="1"/>
    <col min="2" max="2" width="71.6640625" style="188" customWidth="1"/>
    <col min="3" max="3" width="27.6640625" style="188" customWidth="1"/>
    <col min="4" max="4" width="22.83203125" style="997" customWidth="1"/>
    <col min="5" max="5" width="31" style="188" customWidth="1"/>
    <col min="6" max="6" width="18.1640625" style="188" customWidth="1"/>
    <col min="7" max="9" width="9.33203125" style="188"/>
    <col min="10" max="10" width="31.1640625" style="188" customWidth="1"/>
    <col min="11" max="12" width="9.33203125" style="188"/>
    <col min="13" max="13" width="14.5" style="188" customWidth="1"/>
    <col min="14" max="256" width="9.33203125" style="188"/>
    <col min="257" max="257" width="7.5" style="188" bestFit="1" customWidth="1"/>
    <col min="258" max="258" width="71.6640625" style="188" customWidth="1"/>
    <col min="259" max="259" width="27.6640625" style="188" customWidth="1"/>
    <col min="260" max="260" width="22.83203125" style="188" customWidth="1"/>
    <col min="261" max="261" width="31" style="188" customWidth="1"/>
    <col min="262" max="262" width="18.1640625" style="188" customWidth="1"/>
    <col min="263" max="512" width="9.33203125" style="188"/>
    <col min="513" max="513" width="7.5" style="188" bestFit="1" customWidth="1"/>
    <col min="514" max="514" width="71.6640625" style="188" customWidth="1"/>
    <col min="515" max="515" width="27.6640625" style="188" customWidth="1"/>
    <col min="516" max="516" width="22.83203125" style="188" customWidth="1"/>
    <col min="517" max="517" width="31" style="188" customWidth="1"/>
    <col min="518" max="518" width="18.1640625" style="188" customWidth="1"/>
    <col min="519" max="768" width="9.33203125" style="188"/>
    <col min="769" max="769" width="7.5" style="188" bestFit="1" customWidth="1"/>
    <col min="770" max="770" width="71.6640625" style="188" customWidth="1"/>
    <col min="771" max="771" width="27.6640625" style="188" customWidth="1"/>
    <col min="772" max="772" width="22.83203125" style="188" customWidth="1"/>
    <col min="773" max="773" width="31" style="188" customWidth="1"/>
    <col min="774" max="774" width="18.1640625" style="188" customWidth="1"/>
    <col min="775" max="1024" width="9.33203125" style="188"/>
    <col min="1025" max="1025" width="7.5" style="188" bestFit="1" customWidth="1"/>
    <col min="1026" max="1026" width="71.6640625" style="188" customWidth="1"/>
    <col min="1027" max="1027" width="27.6640625" style="188" customWidth="1"/>
    <col min="1028" max="1028" width="22.83203125" style="188" customWidth="1"/>
    <col min="1029" max="1029" width="31" style="188" customWidth="1"/>
    <col min="1030" max="1030" width="18.1640625" style="188" customWidth="1"/>
    <col min="1031" max="1280" width="9.33203125" style="188"/>
    <col min="1281" max="1281" width="7.5" style="188" bestFit="1" customWidth="1"/>
    <col min="1282" max="1282" width="71.6640625" style="188" customWidth="1"/>
    <col min="1283" max="1283" width="27.6640625" style="188" customWidth="1"/>
    <col min="1284" max="1284" width="22.83203125" style="188" customWidth="1"/>
    <col min="1285" max="1285" width="31" style="188" customWidth="1"/>
    <col min="1286" max="1286" width="18.1640625" style="188" customWidth="1"/>
    <col min="1287" max="1536" width="9.33203125" style="188"/>
    <col min="1537" max="1537" width="7.5" style="188" bestFit="1" customWidth="1"/>
    <col min="1538" max="1538" width="71.6640625" style="188" customWidth="1"/>
    <col min="1539" max="1539" width="27.6640625" style="188" customWidth="1"/>
    <col min="1540" max="1540" width="22.83203125" style="188" customWidth="1"/>
    <col min="1541" max="1541" width="31" style="188" customWidth="1"/>
    <col min="1542" max="1542" width="18.1640625" style="188" customWidth="1"/>
    <col min="1543" max="1792" width="9.33203125" style="188"/>
    <col min="1793" max="1793" width="7.5" style="188" bestFit="1" customWidth="1"/>
    <col min="1794" max="1794" width="71.6640625" style="188" customWidth="1"/>
    <col min="1795" max="1795" width="27.6640625" style="188" customWidth="1"/>
    <col min="1796" max="1796" width="22.83203125" style="188" customWidth="1"/>
    <col min="1797" max="1797" width="31" style="188" customWidth="1"/>
    <col min="1798" max="1798" width="18.1640625" style="188" customWidth="1"/>
    <col min="1799" max="2048" width="9.33203125" style="188"/>
    <col min="2049" max="2049" width="7.5" style="188" bestFit="1" customWidth="1"/>
    <col min="2050" max="2050" width="71.6640625" style="188" customWidth="1"/>
    <col min="2051" max="2051" width="27.6640625" style="188" customWidth="1"/>
    <col min="2052" max="2052" width="22.83203125" style="188" customWidth="1"/>
    <col min="2053" max="2053" width="31" style="188" customWidth="1"/>
    <col min="2054" max="2054" width="18.1640625" style="188" customWidth="1"/>
    <col min="2055" max="2304" width="9.33203125" style="188"/>
    <col min="2305" max="2305" width="7.5" style="188" bestFit="1" customWidth="1"/>
    <col min="2306" max="2306" width="71.6640625" style="188" customWidth="1"/>
    <col min="2307" max="2307" width="27.6640625" style="188" customWidth="1"/>
    <col min="2308" max="2308" width="22.83203125" style="188" customWidth="1"/>
    <col min="2309" max="2309" width="31" style="188" customWidth="1"/>
    <col min="2310" max="2310" width="18.1640625" style="188" customWidth="1"/>
    <col min="2311" max="2560" width="9.33203125" style="188"/>
    <col min="2561" max="2561" width="7.5" style="188" bestFit="1" customWidth="1"/>
    <col min="2562" max="2562" width="71.6640625" style="188" customWidth="1"/>
    <col min="2563" max="2563" width="27.6640625" style="188" customWidth="1"/>
    <col min="2564" max="2564" width="22.83203125" style="188" customWidth="1"/>
    <col min="2565" max="2565" width="31" style="188" customWidth="1"/>
    <col min="2566" max="2566" width="18.1640625" style="188" customWidth="1"/>
    <col min="2567" max="2816" width="9.33203125" style="188"/>
    <col min="2817" max="2817" width="7.5" style="188" bestFit="1" customWidth="1"/>
    <col min="2818" max="2818" width="71.6640625" style="188" customWidth="1"/>
    <col min="2819" max="2819" width="27.6640625" style="188" customWidth="1"/>
    <col min="2820" max="2820" width="22.83203125" style="188" customWidth="1"/>
    <col min="2821" max="2821" width="31" style="188" customWidth="1"/>
    <col min="2822" max="2822" width="18.1640625" style="188" customWidth="1"/>
    <col min="2823" max="3072" width="9.33203125" style="188"/>
    <col min="3073" max="3073" width="7.5" style="188" bestFit="1" customWidth="1"/>
    <col min="3074" max="3074" width="71.6640625" style="188" customWidth="1"/>
    <col min="3075" max="3075" width="27.6640625" style="188" customWidth="1"/>
    <col min="3076" max="3076" width="22.83203125" style="188" customWidth="1"/>
    <col min="3077" max="3077" width="31" style="188" customWidth="1"/>
    <col min="3078" max="3078" width="18.1640625" style="188" customWidth="1"/>
    <col min="3079" max="3328" width="9.33203125" style="188"/>
    <col min="3329" max="3329" width="7.5" style="188" bestFit="1" customWidth="1"/>
    <col min="3330" max="3330" width="71.6640625" style="188" customWidth="1"/>
    <col min="3331" max="3331" width="27.6640625" style="188" customWidth="1"/>
    <col min="3332" max="3332" width="22.83203125" style="188" customWidth="1"/>
    <col min="3333" max="3333" width="31" style="188" customWidth="1"/>
    <col min="3334" max="3334" width="18.1640625" style="188" customWidth="1"/>
    <col min="3335" max="3584" width="9.33203125" style="188"/>
    <col min="3585" max="3585" width="7.5" style="188" bestFit="1" customWidth="1"/>
    <col min="3586" max="3586" width="71.6640625" style="188" customWidth="1"/>
    <col min="3587" max="3587" width="27.6640625" style="188" customWidth="1"/>
    <col min="3588" max="3588" width="22.83203125" style="188" customWidth="1"/>
    <col min="3589" max="3589" width="31" style="188" customWidth="1"/>
    <col min="3590" max="3590" width="18.1640625" style="188" customWidth="1"/>
    <col min="3591" max="3840" width="9.33203125" style="188"/>
    <col min="3841" max="3841" width="7.5" style="188" bestFit="1" customWidth="1"/>
    <col min="3842" max="3842" width="71.6640625" style="188" customWidth="1"/>
    <col min="3843" max="3843" width="27.6640625" style="188" customWidth="1"/>
    <col min="3844" max="3844" width="22.83203125" style="188" customWidth="1"/>
    <col min="3845" max="3845" width="31" style="188" customWidth="1"/>
    <col min="3846" max="3846" width="18.1640625" style="188" customWidth="1"/>
    <col min="3847" max="4096" width="9.33203125" style="188"/>
    <col min="4097" max="4097" width="7.5" style="188" bestFit="1" customWidth="1"/>
    <col min="4098" max="4098" width="71.6640625" style="188" customWidth="1"/>
    <col min="4099" max="4099" width="27.6640625" style="188" customWidth="1"/>
    <col min="4100" max="4100" width="22.83203125" style="188" customWidth="1"/>
    <col min="4101" max="4101" width="31" style="188" customWidth="1"/>
    <col min="4102" max="4102" width="18.1640625" style="188" customWidth="1"/>
    <col min="4103" max="4352" width="9.33203125" style="188"/>
    <col min="4353" max="4353" width="7.5" style="188" bestFit="1" customWidth="1"/>
    <col min="4354" max="4354" width="71.6640625" style="188" customWidth="1"/>
    <col min="4355" max="4355" width="27.6640625" style="188" customWidth="1"/>
    <col min="4356" max="4356" width="22.83203125" style="188" customWidth="1"/>
    <col min="4357" max="4357" width="31" style="188" customWidth="1"/>
    <col min="4358" max="4358" width="18.1640625" style="188" customWidth="1"/>
    <col min="4359" max="4608" width="9.33203125" style="188"/>
    <col min="4609" max="4609" width="7.5" style="188" bestFit="1" customWidth="1"/>
    <col min="4610" max="4610" width="71.6640625" style="188" customWidth="1"/>
    <col min="4611" max="4611" width="27.6640625" style="188" customWidth="1"/>
    <col min="4612" max="4612" width="22.83203125" style="188" customWidth="1"/>
    <col min="4613" max="4613" width="31" style="188" customWidth="1"/>
    <col min="4614" max="4614" width="18.1640625" style="188" customWidth="1"/>
    <col min="4615" max="4864" width="9.33203125" style="188"/>
    <col min="4865" max="4865" width="7.5" style="188" bestFit="1" customWidth="1"/>
    <col min="4866" max="4866" width="71.6640625" style="188" customWidth="1"/>
    <col min="4867" max="4867" width="27.6640625" style="188" customWidth="1"/>
    <col min="4868" max="4868" width="22.83203125" style="188" customWidth="1"/>
    <col min="4869" max="4869" width="31" style="188" customWidth="1"/>
    <col min="4870" max="4870" width="18.1640625" style="188" customWidth="1"/>
    <col min="4871" max="5120" width="9.33203125" style="188"/>
    <col min="5121" max="5121" width="7.5" style="188" bestFit="1" customWidth="1"/>
    <col min="5122" max="5122" width="71.6640625" style="188" customWidth="1"/>
    <col min="5123" max="5123" width="27.6640625" style="188" customWidth="1"/>
    <col min="5124" max="5124" width="22.83203125" style="188" customWidth="1"/>
    <col min="5125" max="5125" width="31" style="188" customWidth="1"/>
    <col min="5126" max="5126" width="18.1640625" style="188" customWidth="1"/>
    <col min="5127" max="5376" width="9.33203125" style="188"/>
    <col min="5377" max="5377" width="7.5" style="188" bestFit="1" customWidth="1"/>
    <col min="5378" max="5378" width="71.6640625" style="188" customWidth="1"/>
    <col min="5379" max="5379" width="27.6640625" style="188" customWidth="1"/>
    <col min="5380" max="5380" width="22.83203125" style="188" customWidth="1"/>
    <col min="5381" max="5381" width="31" style="188" customWidth="1"/>
    <col min="5382" max="5382" width="18.1640625" style="188" customWidth="1"/>
    <col min="5383" max="5632" width="9.33203125" style="188"/>
    <col min="5633" max="5633" width="7.5" style="188" bestFit="1" customWidth="1"/>
    <col min="5634" max="5634" width="71.6640625" style="188" customWidth="1"/>
    <col min="5635" max="5635" width="27.6640625" style="188" customWidth="1"/>
    <col min="5636" max="5636" width="22.83203125" style="188" customWidth="1"/>
    <col min="5637" max="5637" width="31" style="188" customWidth="1"/>
    <col min="5638" max="5638" width="18.1640625" style="188" customWidth="1"/>
    <col min="5639" max="5888" width="9.33203125" style="188"/>
    <col min="5889" max="5889" width="7.5" style="188" bestFit="1" customWidth="1"/>
    <col min="5890" max="5890" width="71.6640625" style="188" customWidth="1"/>
    <col min="5891" max="5891" width="27.6640625" style="188" customWidth="1"/>
    <col min="5892" max="5892" width="22.83203125" style="188" customWidth="1"/>
    <col min="5893" max="5893" width="31" style="188" customWidth="1"/>
    <col min="5894" max="5894" width="18.1640625" style="188" customWidth="1"/>
    <col min="5895" max="6144" width="9.33203125" style="188"/>
    <col min="6145" max="6145" width="7.5" style="188" bestFit="1" customWidth="1"/>
    <col min="6146" max="6146" width="71.6640625" style="188" customWidth="1"/>
    <col min="6147" max="6147" width="27.6640625" style="188" customWidth="1"/>
    <col min="6148" max="6148" width="22.83203125" style="188" customWidth="1"/>
    <col min="6149" max="6149" width="31" style="188" customWidth="1"/>
    <col min="6150" max="6150" width="18.1640625" style="188" customWidth="1"/>
    <col min="6151" max="6400" width="9.33203125" style="188"/>
    <col min="6401" max="6401" width="7.5" style="188" bestFit="1" customWidth="1"/>
    <col min="6402" max="6402" width="71.6640625" style="188" customWidth="1"/>
    <col min="6403" max="6403" width="27.6640625" style="188" customWidth="1"/>
    <col min="6404" max="6404" width="22.83203125" style="188" customWidth="1"/>
    <col min="6405" max="6405" width="31" style="188" customWidth="1"/>
    <col min="6406" max="6406" width="18.1640625" style="188" customWidth="1"/>
    <col min="6407" max="6656" width="9.33203125" style="188"/>
    <col min="6657" max="6657" width="7.5" style="188" bestFit="1" customWidth="1"/>
    <col min="6658" max="6658" width="71.6640625" style="188" customWidth="1"/>
    <col min="6659" max="6659" width="27.6640625" style="188" customWidth="1"/>
    <col min="6660" max="6660" width="22.83203125" style="188" customWidth="1"/>
    <col min="6661" max="6661" width="31" style="188" customWidth="1"/>
    <col min="6662" max="6662" width="18.1640625" style="188" customWidth="1"/>
    <col min="6663" max="6912" width="9.33203125" style="188"/>
    <col min="6913" max="6913" width="7.5" style="188" bestFit="1" customWidth="1"/>
    <col min="6914" max="6914" width="71.6640625" style="188" customWidth="1"/>
    <col min="6915" max="6915" width="27.6640625" style="188" customWidth="1"/>
    <col min="6916" max="6916" width="22.83203125" style="188" customWidth="1"/>
    <col min="6917" max="6917" width="31" style="188" customWidth="1"/>
    <col min="6918" max="6918" width="18.1640625" style="188" customWidth="1"/>
    <col min="6919" max="7168" width="9.33203125" style="188"/>
    <col min="7169" max="7169" width="7.5" style="188" bestFit="1" customWidth="1"/>
    <col min="7170" max="7170" width="71.6640625" style="188" customWidth="1"/>
    <col min="7171" max="7171" width="27.6640625" style="188" customWidth="1"/>
    <col min="7172" max="7172" width="22.83203125" style="188" customWidth="1"/>
    <col min="7173" max="7173" width="31" style="188" customWidth="1"/>
    <col min="7174" max="7174" width="18.1640625" style="188" customWidth="1"/>
    <col min="7175" max="7424" width="9.33203125" style="188"/>
    <col min="7425" max="7425" width="7.5" style="188" bestFit="1" customWidth="1"/>
    <col min="7426" max="7426" width="71.6640625" style="188" customWidth="1"/>
    <col min="7427" max="7427" width="27.6640625" style="188" customWidth="1"/>
    <col min="7428" max="7428" width="22.83203125" style="188" customWidth="1"/>
    <col min="7429" max="7429" width="31" style="188" customWidth="1"/>
    <col min="7430" max="7430" width="18.1640625" style="188" customWidth="1"/>
    <col min="7431" max="7680" width="9.33203125" style="188"/>
    <col min="7681" max="7681" width="7.5" style="188" bestFit="1" customWidth="1"/>
    <col min="7682" max="7682" width="71.6640625" style="188" customWidth="1"/>
    <col min="7683" max="7683" width="27.6640625" style="188" customWidth="1"/>
    <col min="7684" max="7684" width="22.83203125" style="188" customWidth="1"/>
    <col min="7685" max="7685" width="31" style="188" customWidth="1"/>
    <col min="7686" max="7686" width="18.1640625" style="188" customWidth="1"/>
    <col min="7687" max="7936" width="9.33203125" style="188"/>
    <col min="7937" max="7937" width="7.5" style="188" bestFit="1" customWidth="1"/>
    <col min="7938" max="7938" width="71.6640625" style="188" customWidth="1"/>
    <col min="7939" max="7939" width="27.6640625" style="188" customWidth="1"/>
    <col min="7940" max="7940" width="22.83203125" style="188" customWidth="1"/>
    <col min="7941" max="7941" width="31" style="188" customWidth="1"/>
    <col min="7942" max="7942" width="18.1640625" style="188" customWidth="1"/>
    <col min="7943" max="8192" width="9.33203125" style="188"/>
    <col min="8193" max="8193" width="7.5" style="188" bestFit="1" customWidth="1"/>
    <col min="8194" max="8194" width="71.6640625" style="188" customWidth="1"/>
    <col min="8195" max="8195" width="27.6640625" style="188" customWidth="1"/>
    <col min="8196" max="8196" width="22.83203125" style="188" customWidth="1"/>
    <col min="8197" max="8197" width="31" style="188" customWidth="1"/>
    <col min="8198" max="8198" width="18.1640625" style="188" customWidth="1"/>
    <col min="8199" max="8448" width="9.33203125" style="188"/>
    <col min="8449" max="8449" width="7.5" style="188" bestFit="1" customWidth="1"/>
    <col min="8450" max="8450" width="71.6640625" style="188" customWidth="1"/>
    <col min="8451" max="8451" width="27.6640625" style="188" customWidth="1"/>
    <col min="8452" max="8452" width="22.83203125" style="188" customWidth="1"/>
    <col min="8453" max="8453" width="31" style="188" customWidth="1"/>
    <col min="8454" max="8454" width="18.1640625" style="188" customWidth="1"/>
    <col min="8455" max="8704" width="9.33203125" style="188"/>
    <col min="8705" max="8705" width="7.5" style="188" bestFit="1" customWidth="1"/>
    <col min="8706" max="8706" width="71.6640625" style="188" customWidth="1"/>
    <col min="8707" max="8707" width="27.6640625" style="188" customWidth="1"/>
    <col min="8708" max="8708" width="22.83203125" style="188" customWidth="1"/>
    <col min="8709" max="8709" width="31" style="188" customWidth="1"/>
    <col min="8710" max="8710" width="18.1640625" style="188" customWidth="1"/>
    <col min="8711" max="8960" width="9.33203125" style="188"/>
    <col min="8961" max="8961" width="7.5" style="188" bestFit="1" customWidth="1"/>
    <col min="8962" max="8962" width="71.6640625" style="188" customWidth="1"/>
    <col min="8963" max="8963" width="27.6640625" style="188" customWidth="1"/>
    <col min="8964" max="8964" width="22.83203125" style="188" customWidth="1"/>
    <col min="8965" max="8965" width="31" style="188" customWidth="1"/>
    <col min="8966" max="8966" width="18.1640625" style="188" customWidth="1"/>
    <col min="8967" max="9216" width="9.33203125" style="188"/>
    <col min="9217" max="9217" width="7.5" style="188" bestFit="1" customWidth="1"/>
    <col min="9218" max="9218" width="71.6640625" style="188" customWidth="1"/>
    <col min="9219" max="9219" width="27.6640625" style="188" customWidth="1"/>
    <col min="9220" max="9220" width="22.83203125" style="188" customWidth="1"/>
    <col min="9221" max="9221" width="31" style="188" customWidth="1"/>
    <col min="9222" max="9222" width="18.1640625" style="188" customWidth="1"/>
    <col min="9223" max="9472" width="9.33203125" style="188"/>
    <col min="9473" max="9473" width="7.5" style="188" bestFit="1" customWidth="1"/>
    <col min="9474" max="9474" width="71.6640625" style="188" customWidth="1"/>
    <col min="9475" max="9475" width="27.6640625" style="188" customWidth="1"/>
    <col min="9476" max="9476" width="22.83203125" style="188" customWidth="1"/>
    <col min="9477" max="9477" width="31" style="188" customWidth="1"/>
    <col min="9478" max="9478" width="18.1640625" style="188" customWidth="1"/>
    <col min="9479" max="9728" width="9.33203125" style="188"/>
    <col min="9729" max="9729" width="7.5" style="188" bestFit="1" customWidth="1"/>
    <col min="9730" max="9730" width="71.6640625" style="188" customWidth="1"/>
    <col min="9731" max="9731" width="27.6640625" style="188" customWidth="1"/>
    <col min="9732" max="9732" width="22.83203125" style="188" customWidth="1"/>
    <col min="9733" max="9733" width="31" style="188" customWidth="1"/>
    <col min="9734" max="9734" width="18.1640625" style="188" customWidth="1"/>
    <col min="9735" max="9984" width="9.33203125" style="188"/>
    <col min="9985" max="9985" width="7.5" style="188" bestFit="1" customWidth="1"/>
    <col min="9986" max="9986" width="71.6640625" style="188" customWidth="1"/>
    <col min="9987" max="9987" width="27.6640625" style="188" customWidth="1"/>
    <col min="9988" max="9988" width="22.83203125" style="188" customWidth="1"/>
    <col min="9989" max="9989" width="31" style="188" customWidth="1"/>
    <col min="9990" max="9990" width="18.1640625" style="188" customWidth="1"/>
    <col min="9991" max="10240" width="9.33203125" style="188"/>
    <col min="10241" max="10241" width="7.5" style="188" bestFit="1" customWidth="1"/>
    <col min="10242" max="10242" width="71.6640625" style="188" customWidth="1"/>
    <col min="10243" max="10243" width="27.6640625" style="188" customWidth="1"/>
    <col min="10244" max="10244" width="22.83203125" style="188" customWidth="1"/>
    <col min="10245" max="10245" width="31" style="188" customWidth="1"/>
    <col min="10246" max="10246" width="18.1640625" style="188" customWidth="1"/>
    <col min="10247" max="10496" width="9.33203125" style="188"/>
    <col min="10497" max="10497" width="7.5" style="188" bestFit="1" customWidth="1"/>
    <col min="10498" max="10498" width="71.6640625" style="188" customWidth="1"/>
    <col min="10499" max="10499" width="27.6640625" style="188" customWidth="1"/>
    <col min="10500" max="10500" width="22.83203125" style="188" customWidth="1"/>
    <col min="10501" max="10501" width="31" style="188" customWidth="1"/>
    <col min="10502" max="10502" width="18.1640625" style="188" customWidth="1"/>
    <col min="10503" max="10752" width="9.33203125" style="188"/>
    <col min="10753" max="10753" width="7.5" style="188" bestFit="1" customWidth="1"/>
    <col min="10754" max="10754" width="71.6640625" style="188" customWidth="1"/>
    <col min="10755" max="10755" width="27.6640625" style="188" customWidth="1"/>
    <col min="10756" max="10756" width="22.83203125" style="188" customWidth="1"/>
    <col min="10757" max="10757" width="31" style="188" customWidth="1"/>
    <col min="10758" max="10758" width="18.1640625" style="188" customWidth="1"/>
    <col min="10759" max="11008" width="9.33203125" style="188"/>
    <col min="11009" max="11009" width="7.5" style="188" bestFit="1" customWidth="1"/>
    <col min="11010" max="11010" width="71.6640625" style="188" customWidth="1"/>
    <col min="11011" max="11011" width="27.6640625" style="188" customWidth="1"/>
    <col min="11012" max="11012" width="22.83203125" style="188" customWidth="1"/>
    <col min="11013" max="11013" width="31" style="188" customWidth="1"/>
    <col min="11014" max="11014" width="18.1640625" style="188" customWidth="1"/>
    <col min="11015" max="11264" width="9.33203125" style="188"/>
    <col min="11265" max="11265" width="7.5" style="188" bestFit="1" customWidth="1"/>
    <col min="11266" max="11266" width="71.6640625" style="188" customWidth="1"/>
    <col min="11267" max="11267" width="27.6640625" style="188" customWidth="1"/>
    <col min="11268" max="11268" width="22.83203125" style="188" customWidth="1"/>
    <col min="11269" max="11269" width="31" style="188" customWidth="1"/>
    <col min="11270" max="11270" width="18.1640625" style="188" customWidth="1"/>
    <col min="11271" max="11520" width="9.33203125" style="188"/>
    <col min="11521" max="11521" width="7.5" style="188" bestFit="1" customWidth="1"/>
    <col min="11522" max="11522" width="71.6640625" style="188" customWidth="1"/>
    <col min="11523" max="11523" width="27.6640625" style="188" customWidth="1"/>
    <col min="11524" max="11524" width="22.83203125" style="188" customWidth="1"/>
    <col min="11525" max="11525" width="31" style="188" customWidth="1"/>
    <col min="11526" max="11526" width="18.1640625" style="188" customWidth="1"/>
    <col min="11527" max="11776" width="9.33203125" style="188"/>
    <col min="11777" max="11777" width="7.5" style="188" bestFit="1" customWidth="1"/>
    <col min="11778" max="11778" width="71.6640625" style="188" customWidth="1"/>
    <col min="11779" max="11779" width="27.6640625" style="188" customWidth="1"/>
    <col min="11780" max="11780" width="22.83203125" style="188" customWidth="1"/>
    <col min="11781" max="11781" width="31" style="188" customWidth="1"/>
    <col min="11782" max="11782" width="18.1640625" style="188" customWidth="1"/>
    <col min="11783" max="12032" width="9.33203125" style="188"/>
    <col min="12033" max="12033" width="7.5" style="188" bestFit="1" customWidth="1"/>
    <col min="12034" max="12034" width="71.6640625" style="188" customWidth="1"/>
    <col min="12035" max="12035" width="27.6640625" style="188" customWidth="1"/>
    <col min="12036" max="12036" width="22.83203125" style="188" customWidth="1"/>
    <col min="12037" max="12037" width="31" style="188" customWidth="1"/>
    <col min="12038" max="12038" width="18.1640625" style="188" customWidth="1"/>
    <col min="12039" max="12288" width="9.33203125" style="188"/>
    <col min="12289" max="12289" width="7.5" style="188" bestFit="1" customWidth="1"/>
    <col min="12290" max="12290" width="71.6640625" style="188" customWidth="1"/>
    <col min="12291" max="12291" width="27.6640625" style="188" customWidth="1"/>
    <col min="12292" max="12292" width="22.83203125" style="188" customWidth="1"/>
    <col min="12293" max="12293" width="31" style="188" customWidth="1"/>
    <col min="12294" max="12294" width="18.1640625" style="188" customWidth="1"/>
    <col min="12295" max="12544" width="9.33203125" style="188"/>
    <col min="12545" max="12545" width="7.5" style="188" bestFit="1" customWidth="1"/>
    <col min="12546" max="12546" width="71.6640625" style="188" customWidth="1"/>
    <col min="12547" max="12547" width="27.6640625" style="188" customWidth="1"/>
    <col min="12548" max="12548" width="22.83203125" style="188" customWidth="1"/>
    <col min="12549" max="12549" width="31" style="188" customWidth="1"/>
    <col min="12550" max="12550" width="18.1640625" style="188" customWidth="1"/>
    <col min="12551" max="12800" width="9.33203125" style="188"/>
    <col min="12801" max="12801" width="7.5" style="188" bestFit="1" customWidth="1"/>
    <col min="12802" max="12802" width="71.6640625" style="188" customWidth="1"/>
    <col min="12803" max="12803" width="27.6640625" style="188" customWidth="1"/>
    <col min="12804" max="12804" width="22.83203125" style="188" customWidth="1"/>
    <col min="12805" max="12805" width="31" style="188" customWidth="1"/>
    <col min="12806" max="12806" width="18.1640625" style="188" customWidth="1"/>
    <col min="12807" max="13056" width="9.33203125" style="188"/>
    <col min="13057" max="13057" width="7.5" style="188" bestFit="1" customWidth="1"/>
    <col min="13058" max="13058" width="71.6640625" style="188" customWidth="1"/>
    <col min="13059" max="13059" width="27.6640625" style="188" customWidth="1"/>
    <col min="13060" max="13060" width="22.83203125" style="188" customWidth="1"/>
    <col min="13061" max="13061" width="31" style="188" customWidth="1"/>
    <col min="13062" max="13062" width="18.1640625" style="188" customWidth="1"/>
    <col min="13063" max="13312" width="9.33203125" style="188"/>
    <col min="13313" max="13313" width="7.5" style="188" bestFit="1" customWidth="1"/>
    <col min="13314" max="13314" width="71.6640625" style="188" customWidth="1"/>
    <col min="13315" max="13315" width="27.6640625" style="188" customWidth="1"/>
    <col min="13316" max="13316" width="22.83203125" style="188" customWidth="1"/>
    <col min="13317" max="13317" width="31" style="188" customWidth="1"/>
    <col min="13318" max="13318" width="18.1640625" style="188" customWidth="1"/>
    <col min="13319" max="13568" width="9.33203125" style="188"/>
    <col min="13569" max="13569" width="7.5" style="188" bestFit="1" customWidth="1"/>
    <col min="13570" max="13570" width="71.6640625" style="188" customWidth="1"/>
    <col min="13571" max="13571" width="27.6640625" style="188" customWidth="1"/>
    <col min="13572" max="13572" width="22.83203125" style="188" customWidth="1"/>
    <col min="13573" max="13573" width="31" style="188" customWidth="1"/>
    <col min="13574" max="13574" width="18.1640625" style="188" customWidth="1"/>
    <col min="13575" max="13824" width="9.33203125" style="188"/>
    <col min="13825" max="13825" width="7.5" style="188" bestFit="1" customWidth="1"/>
    <col min="13826" max="13826" width="71.6640625" style="188" customWidth="1"/>
    <col min="13827" max="13827" width="27.6640625" style="188" customWidth="1"/>
    <col min="13828" max="13828" width="22.83203125" style="188" customWidth="1"/>
    <col min="13829" max="13829" width="31" style="188" customWidth="1"/>
    <col min="13830" max="13830" width="18.1640625" style="188" customWidth="1"/>
    <col min="13831" max="14080" width="9.33203125" style="188"/>
    <col min="14081" max="14081" width="7.5" style="188" bestFit="1" customWidth="1"/>
    <col min="14082" max="14082" width="71.6640625" style="188" customWidth="1"/>
    <col min="14083" max="14083" width="27.6640625" style="188" customWidth="1"/>
    <col min="14084" max="14084" width="22.83203125" style="188" customWidth="1"/>
    <col min="14085" max="14085" width="31" style="188" customWidth="1"/>
    <col min="14086" max="14086" width="18.1640625" style="188" customWidth="1"/>
    <col min="14087" max="14336" width="9.33203125" style="188"/>
    <col min="14337" max="14337" width="7.5" style="188" bestFit="1" customWidth="1"/>
    <col min="14338" max="14338" width="71.6640625" style="188" customWidth="1"/>
    <col min="14339" max="14339" width="27.6640625" style="188" customWidth="1"/>
    <col min="14340" max="14340" width="22.83203125" style="188" customWidth="1"/>
    <col min="14341" max="14341" width="31" style="188" customWidth="1"/>
    <col min="14342" max="14342" width="18.1640625" style="188" customWidth="1"/>
    <col min="14343" max="14592" width="9.33203125" style="188"/>
    <col min="14593" max="14593" width="7.5" style="188" bestFit="1" customWidth="1"/>
    <col min="14594" max="14594" width="71.6640625" style="188" customWidth="1"/>
    <col min="14595" max="14595" width="27.6640625" style="188" customWidth="1"/>
    <col min="14596" max="14596" width="22.83203125" style="188" customWidth="1"/>
    <col min="14597" max="14597" width="31" style="188" customWidth="1"/>
    <col min="14598" max="14598" width="18.1640625" style="188" customWidth="1"/>
    <col min="14599" max="14848" width="9.33203125" style="188"/>
    <col min="14849" max="14849" width="7.5" style="188" bestFit="1" customWidth="1"/>
    <col min="14850" max="14850" width="71.6640625" style="188" customWidth="1"/>
    <col min="14851" max="14851" width="27.6640625" style="188" customWidth="1"/>
    <col min="14852" max="14852" width="22.83203125" style="188" customWidth="1"/>
    <col min="14853" max="14853" width="31" style="188" customWidth="1"/>
    <col min="14854" max="14854" width="18.1640625" style="188" customWidth="1"/>
    <col min="14855" max="15104" width="9.33203125" style="188"/>
    <col min="15105" max="15105" width="7.5" style="188" bestFit="1" customWidth="1"/>
    <col min="15106" max="15106" width="71.6640625" style="188" customWidth="1"/>
    <col min="15107" max="15107" width="27.6640625" style="188" customWidth="1"/>
    <col min="15108" max="15108" width="22.83203125" style="188" customWidth="1"/>
    <col min="15109" max="15109" width="31" style="188" customWidth="1"/>
    <col min="15110" max="15110" width="18.1640625" style="188" customWidth="1"/>
    <col min="15111" max="15360" width="9.33203125" style="188"/>
    <col min="15361" max="15361" width="7.5" style="188" bestFit="1" customWidth="1"/>
    <col min="15362" max="15362" width="71.6640625" style="188" customWidth="1"/>
    <col min="15363" max="15363" width="27.6640625" style="188" customWidth="1"/>
    <col min="15364" max="15364" width="22.83203125" style="188" customWidth="1"/>
    <col min="15365" max="15365" width="31" style="188" customWidth="1"/>
    <col min="15366" max="15366" width="18.1640625" style="188" customWidth="1"/>
    <col min="15367" max="15616" width="9.33203125" style="188"/>
    <col min="15617" max="15617" width="7.5" style="188" bestFit="1" customWidth="1"/>
    <col min="15618" max="15618" width="71.6640625" style="188" customWidth="1"/>
    <col min="15619" max="15619" width="27.6640625" style="188" customWidth="1"/>
    <col min="15620" max="15620" width="22.83203125" style="188" customWidth="1"/>
    <col min="15621" max="15621" width="31" style="188" customWidth="1"/>
    <col min="15622" max="15622" width="18.1640625" style="188" customWidth="1"/>
    <col min="15623" max="15872" width="9.33203125" style="188"/>
    <col min="15873" max="15873" width="7.5" style="188" bestFit="1" customWidth="1"/>
    <col min="15874" max="15874" width="71.6640625" style="188" customWidth="1"/>
    <col min="15875" max="15875" width="27.6640625" style="188" customWidth="1"/>
    <col min="15876" max="15876" width="22.83203125" style="188" customWidth="1"/>
    <col min="15877" max="15877" width="31" style="188" customWidth="1"/>
    <col min="15878" max="15878" width="18.1640625" style="188" customWidth="1"/>
    <col min="15879" max="16128" width="9.33203125" style="188"/>
    <col min="16129" max="16129" width="7.5" style="188" bestFit="1" customWidth="1"/>
    <col min="16130" max="16130" width="71.6640625" style="188" customWidth="1"/>
    <col min="16131" max="16131" width="27.6640625" style="188" customWidth="1"/>
    <col min="16132" max="16132" width="22.83203125" style="188" customWidth="1"/>
    <col min="16133" max="16133" width="31" style="188" customWidth="1"/>
    <col min="16134" max="16134" width="18.1640625" style="188" customWidth="1"/>
    <col min="16135" max="16384" width="9.33203125" style="188"/>
  </cols>
  <sheetData>
    <row r="1" spans="1:10" ht="15.75">
      <c r="A1" s="652"/>
      <c r="B1" s="653"/>
      <c r="C1" s="654"/>
      <c r="D1" s="684"/>
      <c r="E1" s="654"/>
      <c r="F1" s="655" t="s">
        <v>1095</v>
      </c>
    </row>
    <row r="2" spans="1:10" ht="15.75">
      <c r="A2" s="654"/>
      <c r="B2" s="654"/>
      <c r="C2" s="654"/>
      <c r="D2" s="684"/>
      <c r="E2" s="654"/>
      <c r="F2" s="655" t="str">
        <f>'MCC-2 page 1-6'!BB2</f>
        <v>Dockets UE-170033/UG-170034</v>
      </c>
    </row>
    <row r="3" spans="1:10" ht="15.75">
      <c r="A3" s="652"/>
      <c r="B3" s="1294" t="s">
        <v>1228</v>
      </c>
      <c r="C3" s="1294"/>
      <c r="D3" s="1294"/>
      <c r="E3" s="1294"/>
      <c r="F3" s="655" t="s">
        <v>1200</v>
      </c>
    </row>
    <row r="4" spans="1:10" ht="15.75">
      <c r="A4" s="1309" t="s">
        <v>930</v>
      </c>
      <c r="B4" s="1309"/>
      <c r="C4" s="1309"/>
      <c r="D4" s="1309"/>
      <c r="E4" s="1309"/>
      <c r="F4" s="1309"/>
    </row>
    <row r="5" spans="1:10" ht="15.75">
      <c r="A5" s="1309" t="s">
        <v>1059</v>
      </c>
      <c r="B5" s="1309"/>
      <c r="C5" s="1309"/>
      <c r="D5" s="1309"/>
      <c r="E5" s="1309"/>
      <c r="F5" s="1309"/>
    </row>
    <row r="6" spans="1:10" ht="15.75">
      <c r="A6" s="1309" t="s">
        <v>945</v>
      </c>
      <c r="B6" s="1309"/>
      <c r="C6" s="1309"/>
      <c r="D6" s="1309"/>
      <c r="E6" s="1309"/>
      <c r="F6" s="1309"/>
    </row>
    <row r="7" spans="1:10" ht="16.5" thickBot="1">
      <c r="A7" s="1309"/>
      <c r="B7" s="1309"/>
      <c r="C7" s="1309"/>
      <c r="D7" s="1309"/>
      <c r="E7" s="1309"/>
      <c r="F7" s="1309"/>
    </row>
    <row r="8" spans="1:10" ht="33.75" customHeight="1" thickBot="1">
      <c r="A8" s="962"/>
      <c r="B8" s="962"/>
      <c r="C8" s="962"/>
      <c r="D8" s="962"/>
      <c r="E8" s="963" t="s">
        <v>1090</v>
      </c>
      <c r="F8" s="962"/>
    </row>
    <row r="9" spans="1:10" ht="47.25">
      <c r="A9" s="652"/>
      <c r="B9" s="652"/>
      <c r="C9" s="657" t="s">
        <v>946</v>
      </c>
      <c r="D9" s="685" t="s">
        <v>931</v>
      </c>
      <c r="E9" s="657" t="s">
        <v>932</v>
      </c>
    </row>
    <row r="10" spans="1:10" ht="15.75">
      <c r="A10" s="656" t="s">
        <v>284</v>
      </c>
      <c r="B10" s="659" t="s">
        <v>856</v>
      </c>
      <c r="C10" s="657" t="s">
        <v>857</v>
      </c>
      <c r="D10" s="685" t="s">
        <v>1091</v>
      </c>
      <c r="E10" s="657" t="s">
        <v>859</v>
      </c>
      <c r="F10" s="658" t="s">
        <v>911</v>
      </c>
    </row>
    <row r="11" spans="1:10" ht="15.75">
      <c r="A11" s="660" t="s">
        <v>301</v>
      </c>
      <c r="B11" s="661" t="s">
        <v>333</v>
      </c>
      <c r="C11" s="662" t="s">
        <v>933</v>
      </c>
      <c r="D11" s="686" t="s">
        <v>933</v>
      </c>
      <c r="E11" s="663" t="s">
        <v>933</v>
      </c>
      <c r="F11" s="658" t="s">
        <v>911</v>
      </c>
    </row>
    <row r="12" spans="1:10" ht="19.5" customHeight="1">
      <c r="A12" s="665">
        <v>1</v>
      </c>
      <c r="B12" s="752" t="s">
        <v>955</v>
      </c>
      <c r="C12" s="666"/>
      <c r="D12" s="682"/>
      <c r="E12" s="666"/>
      <c r="F12" s="664" t="s">
        <v>934</v>
      </c>
    </row>
    <row r="13" spans="1:10" ht="15.75">
      <c r="A13" s="665">
        <v>2</v>
      </c>
      <c r="B13" s="668" t="s">
        <v>935</v>
      </c>
      <c r="C13" s="666">
        <v>7389220147</v>
      </c>
      <c r="D13" s="1231">
        <f>E13-C13</f>
        <v>-3.7508010864257813E-3</v>
      </c>
      <c r="E13" s="1232">
        <f>'[52]Exh. BAE-2 Compare'!$E$20</f>
        <v>7389220146.9962492</v>
      </c>
      <c r="F13" s="667"/>
      <c r="J13" s="991"/>
    </row>
    <row r="14" spans="1:10" ht="15.75">
      <c r="A14" s="665">
        <v>3</v>
      </c>
      <c r="B14" s="668"/>
      <c r="C14" s="670"/>
      <c r="D14" s="687"/>
      <c r="E14" s="670"/>
      <c r="F14" s="667"/>
      <c r="J14" s="991"/>
    </row>
    <row r="15" spans="1:10" ht="18.75">
      <c r="A15" s="665">
        <v>4</v>
      </c>
      <c r="B15" s="752" t="s">
        <v>956</v>
      </c>
      <c r="C15" s="667"/>
      <c r="D15" s="688"/>
      <c r="E15" s="667"/>
      <c r="F15" s="667"/>
      <c r="J15" s="991"/>
    </row>
    <row r="16" spans="1:10" ht="15.75">
      <c r="A16" s="665">
        <v>5</v>
      </c>
      <c r="B16" s="675"/>
      <c r="C16" s="667"/>
      <c r="D16" s="688"/>
      <c r="E16" s="667"/>
      <c r="F16" s="667"/>
      <c r="J16" s="991"/>
    </row>
    <row r="17" spans="1:10" ht="15.75">
      <c r="A17" s="665">
        <v>6</v>
      </c>
      <c r="B17" s="661" t="s">
        <v>950</v>
      </c>
      <c r="C17" s="666"/>
      <c r="D17" s="682"/>
      <c r="E17" s="666"/>
      <c r="F17" s="667"/>
      <c r="J17" s="991"/>
    </row>
    <row r="18" spans="1:10" ht="15.75">
      <c r="A18" s="665">
        <v>7</v>
      </c>
      <c r="B18" s="668"/>
      <c r="C18" s="666"/>
      <c r="D18" s="682"/>
      <c r="E18" s="666"/>
      <c r="F18" s="667"/>
      <c r="J18" s="991"/>
    </row>
    <row r="19" spans="1:10" ht="15.75">
      <c r="A19" s="665">
        <v>8</v>
      </c>
      <c r="B19" s="672" t="s">
        <v>951</v>
      </c>
      <c r="C19" s="667">
        <v>4961861442.2393255</v>
      </c>
      <c r="D19" s="1231">
        <f>E19-C19</f>
        <v>-35662222.355732918</v>
      </c>
      <c r="E19" s="1233">
        <f>'[52]Exh. BAE-2 Compare'!$E$24</f>
        <v>4926199219.8835926</v>
      </c>
      <c r="F19" s="667"/>
      <c r="J19" s="991"/>
    </row>
    <row r="20" spans="1:10" ht="15.75">
      <c r="A20" s="665">
        <v>9</v>
      </c>
      <c r="B20" s="672"/>
      <c r="C20" s="670"/>
      <c r="D20" s="687"/>
      <c r="E20" s="670"/>
      <c r="F20" s="667"/>
    </row>
    <row r="21" spans="1:10" ht="15.75">
      <c r="A21" s="665">
        <v>10</v>
      </c>
      <c r="B21" s="661" t="s">
        <v>952</v>
      </c>
      <c r="C21" s="666"/>
      <c r="D21" s="682"/>
      <c r="E21" s="666"/>
      <c r="F21" s="667"/>
    </row>
    <row r="22" spans="1:10" ht="15.75">
      <c r="A22" s="665">
        <v>11</v>
      </c>
      <c r="B22" s="668"/>
      <c r="C22" s="666"/>
      <c r="D22" s="682"/>
      <c r="E22" s="666"/>
      <c r="F22" s="667"/>
    </row>
    <row r="23" spans="1:10" ht="15.75">
      <c r="A23" s="665">
        <v>12</v>
      </c>
      <c r="B23" s="672" t="s">
        <v>953</v>
      </c>
      <c r="C23" s="667">
        <v>1697061852.0560913</v>
      </c>
      <c r="D23" s="952">
        <f>E23-C23</f>
        <v>-47382699.081768513</v>
      </c>
      <c r="E23" s="667">
        <f>'[53]Exh. BAE-2 Compare'!$E$26</f>
        <v>1649679152.9743228</v>
      </c>
      <c r="F23" s="667"/>
      <c r="J23" s="991"/>
    </row>
    <row r="24" spans="1:10" ht="15.75">
      <c r="A24" s="665">
        <v>13</v>
      </c>
      <c r="B24" s="668"/>
      <c r="C24" s="673"/>
      <c r="D24" s="683"/>
      <c r="E24" s="673"/>
      <c r="F24" s="667"/>
      <c r="J24" s="991"/>
    </row>
    <row r="25" spans="1:10" ht="15.75">
      <c r="A25" s="665">
        <v>14</v>
      </c>
      <c r="B25" s="668" t="s">
        <v>954</v>
      </c>
      <c r="C25" s="755">
        <v>6658923294.2954168</v>
      </c>
      <c r="D25" s="1234">
        <f>E25-C25</f>
        <v>-83044921.437500954</v>
      </c>
      <c r="E25" s="1235">
        <f>E19+E23</f>
        <v>6575878372.8579159</v>
      </c>
      <c r="F25" s="667"/>
      <c r="J25" s="991"/>
    </row>
    <row r="26" spans="1:10" ht="15.75">
      <c r="A26" s="665">
        <v>15</v>
      </c>
      <c r="B26" s="668"/>
      <c r="C26" s="674"/>
      <c r="D26" s="683"/>
      <c r="E26" s="674"/>
      <c r="F26" s="669"/>
    </row>
    <row r="27" spans="1:10" ht="15.75">
      <c r="A27" s="665">
        <v>16</v>
      </c>
      <c r="B27" s="668"/>
      <c r="C27" s="674"/>
      <c r="D27" s="683"/>
      <c r="E27" s="674"/>
      <c r="F27" s="667"/>
    </row>
    <row r="28" spans="1:10" ht="15.75">
      <c r="A28" s="665">
        <v>17</v>
      </c>
      <c r="B28" s="661" t="s">
        <v>958</v>
      </c>
      <c r="C28" s="668"/>
      <c r="D28" s="684"/>
      <c r="E28" s="668"/>
      <c r="F28" s="667"/>
    </row>
    <row r="29" spans="1:10" ht="15.75">
      <c r="A29" s="665">
        <v>18</v>
      </c>
      <c r="B29" s="675"/>
      <c r="C29" s="666"/>
      <c r="D29" s="682"/>
      <c r="E29" s="666"/>
    </row>
    <row r="30" spans="1:10" ht="15.75">
      <c r="A30" s="665">
        <v>19</v>
      </c>
      <c r="B30" s="672" t="s">
        <v>937</v>
      </c>
      <c r="C30" s="753">
        <v>425115043</v>
      </c>
      <c r="D30" s="1234">
        <f>E30-C30</f>
        <v>40870494.282916307</v>
      </c>
      <c r="E30" s="1236">
        <f>'[52]Exh. BAE-2 Compare'!$E$31</f>
        <v>465985537.28291631</v>
      </c>
      <c r="F30" s="667"/>
      <c r="J30" s="991"/>
    </row>
    <row r="31" spans="1:10" ht="15.75">
      <c r="A31" s="665">
        <v>20</v>
      </c>
      <c r="B31" s="672"/>
      <c r="C31" s="670"/>
      <c r="D31" s="687"/>
      <c r="E31" s="670"/>
      <c r="F31" s="671" t="s">
        <v>936</v>
      </c>
    </row>
    <row r="32" spans="1:10" ht="15.75">
      <c r="A32" s="665">
        <v>21</v>
      </c>
      <c r="B32" s="672" t="s">
        <v>938</v>
      </c>
      <c r="C32" s="667">
        <v>7084038337.2954168</v>
      </c>
      <c r="D32" s="1237">
        <f>E32-C32</f>
        <v>-42174427.154584885</v>
      </c>
      <c r="E32" s="1233">
        <f>'[52]Exh. BAE-2 Compare'!$E$33</f>
        <v>7041863910.1408319</v>
      </c>
      <c r="F32" s="667"/>
      <c r="J32" s="991"/>
    </row>
    <row r="33" spans="1:16" ht="15.75">
      <c r="A33" s="665">
        <v>22</v>
      </c>
      <c r="B33" s="672" t="s">
        <v>939</v>
      </c>
      <c r="C33" s="677"/>
      <c r="D33" s="689"/>
      <c r="E33" s="677"/>
      <c r="F33" s="676"/>
    </row>
    <row r="34" spans="1:16" ht="16.5" thickBot="1">
      <c r="A34" s="665">
        <v>23</v>
      </c>
      <c r="B34" s="672" t="s">
        <v>940</v>
      </c>
      <c r="C34" s="678">
        <v>305181809.70458317</v>
      </c>
      <c r="D34" s="1238">
        <f>E34-C34</f>
        <v>42174427.150834084</v>
      </c>
      <c r="E34" s="1238">
        <f>'[52]Exh. BAE-2 Compare'!$E$35</f>
        <v>347356236.85541725</v>
      </c>
      <c r="F34" s="667"/>
      <c r="J34" s="1097"/>
    </row>
    <row r="35" spans="1:16" ht="16.5" thickTop="1">
      <c r="A35" s="665">
        <v>24</v>
      </c>
      <c r="B35" s="672"/>
      <c r="C35" s="679"/>
      <c r="D35" s="683"/>
      <c r="E35" s="679"/>
      <c r="F35" s="676"/>
    </row>
    <row r="36" spans="1:16" ht="15.75">
      <c r="A36" s="665">
        <v>25</v>
      </c>
      <c r="B36" s="672"/>
      <c r="C36" s="679"/>
      <c r="D36" s="683"/>
      <c r="E36" s="679"/>
      <c r="F36" s="679"/>
    </row>
    <row r="37" spans="1:16" ht="18.75">
      <c r="A37" s="665">
        <v>26</v>
      </c>
      <c r="B37" s="752" t="s">
        <v>957</v>
      </c>
      <c r="C37" s="667"/>
      <c r="D37" s="688"/>
      <c r="E37" s="667"/>
      <c r="F37" s="679"/>
    </row>
    <row r="38" spans="1:16" ht="15.75">
      <c r="A38" s="665">
        <v>27</v>
      </c>
      <c r="B38" s="668"/>
      <c r="C38" s="668"/>
      <c r="D38" s="684"/>
      <c r="E38" s="668"/>
      <c r="F38" s="667"/>
    </row>
    <row r="39" spans="1:16" ht="15.75">
      <c r="A39" s="665">
        <v>28</v>
      </c>
      <c r="B39" s="659" t="s">
        <v>941</v>
      </c>
      <c r="C39" s="831">
        <v>227005241.70228952</v>
      </c>
      <c r="D39" s="1234">
        <f>E39-C39</f>
        <v>15990937.271673262</v>
      </c>
      <c r="E39" s="1239">
        <f>'[52]Exh. BAE-2 Compare'!$E$40</f>
        <v>242996178.97396278</v>
      </c>
      <c r="F39" s="667"/>
      <c r="J39" s="991"/>
      <c r="M39" s="991"/>
    </row>
    <row r="40" spans="1:16" ht="15.75">
      <c r="A40" s="665">
        <v>29</v>
      </c>
      <c r="B40" s="668" t="s">
        <v>1092</v>
      </c>
      <c r="C40" s="953">
        <f>C39/$C$34</f>
        <v>0.74383608224235653</v>
      </c>
      <c r="D40" s="688"/>
      <c r="E40" s="1241">
        <f>E39/$E$34</f>
        <v>0.69955899215682416</v>
      </c>
      <c r="F40" s="667"/>
    </row>
    <row r="41" spans="1:16" ht="15.75">
      <c r="A41" s="665">
        <v>30</v>
      </c>
      <c r="B41" s="659" t="s">
        <v>942</v>
      </c>
      <c r="C41" s="754">
        <v>77640607.339463621</v>
      </c>
      <c r="D41" s="1234">
        <f>E41-C41</f>
        <v>3733635.3196135014</v>
      </c>
      <c r="E41" s="1239">
        <f>'[52]Exh. BAE-2 Compare'!$E$43</f>
        <v>81374242.659077123</v>
      </c>
      <c r="F41" s="680"/>
      <c r="J41" s="991"/>
      <c r="M41" s="991"/>
    </row>
    <row r="42" spans="1:16" ht="15.75">
      <c r="A42" s="665">
        <v>31</v>
      </c>
      <c r="B42" s="668" t="s">
        <v>1093</v>
      </c>
      <c r="C42" s="953">
        <f>C41/$C$34</f>
        <v>0.25440771654975092</v>
      </c>
      <c r="D42" s="682"/>
      <c r="E42" s="1241">
        <f>E41/$E$34</f>
        <v>0.23426740051006525</v>
      </c>
      <c r="F42" s="667"/>
    </row>
    <row r="43" spans="1:16" ht="15.75">
      <c r="A43" s="665">
        <v>32</v>
      </c>
      <c r="B43" s="659" t="s">
        <v>943</v>
      </c>
      <c r="C43" s="754">
        <v>535960.66283002496</v>
      </c>
      <c r="D43" s="1234">
        <f>E43-C43</f>
        <v>22449854.559550174</v>
      </c>
      <c r="E43" s="1240">
        <f>'[52]Exh. BAE-2 Compare'!$E$46</f>
        <v>22985815.222380199</v>
      </c>
      <c r="F43" s="672"/>
      <c r="H43" s="70"/>
      <c r="I43" s="70"/>
      <c r="J43" s="1098"/>
      <c r="K43" s="70"/>
      <c r="L43" s="70"/>
      <c r="M43" s="70"/>
      <c r="N43" s="70"/>
      <c r="O43" s="70"/>
      <c r="P43" s="70"/>
    </row>
    <row r="44" spans="1:16" s="70" customFormat="1" ht="15.75">
      <c r="A44" s="665">
        <v>33</v>
      </c>
      <c r="B44" s="668" t="s">
        <v>1094</v>
      </c>
      <c r="C44" s="953">
        <f>C43/$C$34</f>
        <v>1.7562012078925554E-3</v>
      </c>
      <c r="D44" s="684"/>
      <c r="E44" s="1241">
        <f>E43/$E$34</f>
        <v>6.617360733311882E-2</v>
      </c>
      <c r="F44" s="667"/>
      <c r="H44" s="188"/>
      <c r="I44" s="188"/>
      <c r="J44" s="188"/>
      <c r="K44" s="188"/>
      <c r="L44" s="188"/>
      <c r="M44" s="188"/>
      <c r="N44" s="188"/>
      <c r="O44" s="188"/>
      <c r="P44" s="188"/>
    </row>
    <row r="45" spans="1:16" ht="16.5" thickBot="1">
      <c r="A45" s="665">
        <v>34</v>
      </c>
      <c r="B45" s="681" t="s">
        <v>944</v>
      </c>
      <c r="C45" s="668"/>
      <c r="D45" s="684"/>
      <c r="E45" s="668"/>
      <c r="F45" s="672"/>
    </row>
    <row r="46" spans="1:16" ht="48" customHeight="1" thickBot="1">
      <c r="A46" s="665">
        <v>35</v>
      </c>
      <c r="B46" s="1310" t="s">
        <v>1220</v>
      </c>
      <c r="C46" s="1311"/>
      <c r="D46" s="1311"/>
      <c r="E46" s="1312"/>
      <c r="F46" s="668"/>
    </row>
    <row r="47" spans="1:16" ht="33" customHeight="1">
      <c r="F47" s="1187"/>
    </row>
  </sheetData>
  <mergeCells count="6">
    <mergeCell ref="B46:E46"/>
    <mergeCell ref="B3:E3"/>
    <mergeCell ref="A4:F4"/>
    <mergeCell ref="A5:F5"/>
    <mergeCell ref="A6:F6"/>
    <mergeCell ref="A7:F7"/>
  </mergeCells>
  <pageMargins left="1" right="0.7" top="0.75" bottom="0.75" header="0.3" footer="0.3"/>
  <pageSetup scale="61"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CFF"/>
  </sheetPr>
  <dimension ref="A1:AX96"/>
  <sheetViews>
    <sheetView view="pageBreakPreview" zoomScale="70" zoomScaleNormal="85" zoomScaleSheetLayoutView="70" workbookViewId="0">
      <pane xSplit="3" ySplit="17" topLeftCell="AK18" activePane="bottomRight" state="frozen"/>
      <selection activeCell="BB16" sqref="BB16"/>
      <selection pane="topRight" activeCell="BB16" sqref="BB16"/>
      <selection pane="bottomLeft" activeCell="BB16" sqref="BB16"/>
      <selection pane="bottomRight" activeCell="BB16" sqref="BB16"/>
    </sheetView>
  </sheetViews>
  <sheetFormatPr defaultColWidth="10.6640625" defaultRowHeight="12.75" outlineLevelCol="1"/>
  <cols>
    <col min="1" max="1" width="7.33203125" style="858" customWidth="1"/>
    <col min="2" max="2" width="52.33203125" style="859" customWidth="1"/>
    <col min="3" max="3" width="20" style="859" customWidth="1"/>
    <col min="4" max="4" width="15.5" style="859" customWidth="1"/>
    <col min="5" max="5" width="27.1640625" style="859" customWidth="1"/>
    <col min="6" max="6" width="20.5" style="859" customWidth="1"/>
    <col min="7" max="7" width="17.83203125" style="859" customWidth="1"/>
    <col min="8" max="8" width="28" style="859" customWidth="1"/>
    <col min="9" max="9" width="20" style="859" customWidth="1"/>
    <col min="10" max="10" width="15.1640625" style="859" customWidth="1"/>
    <col min="11" max="16" width="20.6640625" style="859" customWidth="1"/>
    <col min="17" max="17" width="19.1640625" style="859" customWidth="1"/>
    <col min="18" max="18" width="19.5" style="859" customWidth="1"/>
    <col min="19" max="19" width="20.6640625" style="859" customWidth="1"/>
    <col min="20" max="20" width="19" style="859" customWidth="1"/>
    <col min="21" max="21" width="18" style="859" customWidth="1"/>
    <col min="22" max="22" width="19" style="859" customWidth="1"/>
    <col min="23" max="23" width="25.5" style="859" bestFit="1" customWidth="1"/>
    <col min="24" max="24" width="20.6640625" style="859" customWidth="1"/>
    <col min="25" max="25" width="20" style="859" customWidth="1"/>
    <col min="26" max="26" width="16.5" style="859" customWidth="1"/>
    <col min="27" max="27" width="20.6640625" style="859" customWidth="1"/>
    <col min="28" max="28" width="18.83203125" style="859" customWidth="1"/>
    <col min="29" max="29" width="20.6640625" style="859" customWidth="1"/>
    <col min="30" max="30" width="17.5" style="859" customWidth="1"/>
    <col min="31" max="31" width="19.1640625" style="859" customWidth="1"/>
    <col min="32" max="32" width="18.5" style="859" customWidth="1"/>
    <col min="33" max="33" width="15.6640625" style="859" customWidth="1"/>
    <col min="34" max="35" width="26.33203125" style="859" bestFit="1" customWidth="1"/>
    <col min="36" max="36" width="14.5" style="859" customWidth="1"/>
    <col min="37" max="37" width="25.83203125" style="859" bestFit="1" customWidth="1"/>
    <col min="38" max="38" width="18.33203125" style="859" customWidth="1"/>
    <col min="39" max="40" width="20.6640625" style="859" customWidth="1"/>
    <col min="41" max="41" width="23" style="859" bestFit="1" customWidth="1"/>
    <col min="42" max="44" width="20.6640625" style="859" customWidth="1"/>
    <col min="45" max="45" width="20.6640625" style="860" customWidth="1"/>
    <col min="46" max="46" width="2.83203125" style="859" customWidth="1" outlineLevel="1"/>
    <col min="47" max="47" width="13.83203125" style="861" customWidth="1" outlineLevel="1"/>
    <col min="48" max="49" width="21.5" style="863" customWidth="1"/>
    <col min="50" max="50" width="13.83203125" style="863" customWidth="1"/>
    <col min="51" max="16384" width="10.6640625" style="863"/>
  </cols>
  <sheetData>
    <row r="1" spans="1:50" ht="24" customHeight="1">
      <c r="A1" s="871" t="s">
        <v>1138</v>
      </c>
      <c r="I1" s="865" t="str">
        <f>Q1</f>
        <v>Exh. MCC-6</v>
      </c>
      <c r="Q1" s="865" t="str">
        <f>Y1</f>
        <v>Exh. MCC-6</v>
      </c>
      <c r="Y1" s="865" t="str">
        <f>AG1</f>
        <v>Exh. MCC-6</v>
      </c>
      <c r="AG1" s="865" t="str">
        <f>AN1</f>
        <v>Exh. MCC-6</v>
      </c>
      <c r="AN1" s="865" t="str">
        <f>AX1</f>
        <v>Exh. MCC-6</v>
      </c>
      <c r="AX1" s="862" t="s">
        <v>1030</v>
      </c>
    </row>
    <row r="2" spans="1:50" ht="39.75" customHeight="1">
      <c r="A2" s="1313" t="s">
        <v>1136</v>
      </c>
      <c r="B2" s="1313"/>
      <c r="C2" s="1195"/>
      <c r="I2" s="865" t="str">
        <f>Q2</f>
        <v>Dockets UE-170033/UG-170034</v>
      </c>
      <c r="Q2" s="865" t="str">
        <f>Y2</f>
        <v>Dockets UE-170033/UG-170034</v>
      </c>
      <c r="Y2" s="865" t="str">
        <f>AG2</f>
        <v>Dockets UE-170033/UG-170034</v>
      </c>
      <c r="AG2" s="865" t="str">
        <f>AN2</f>
        <v>Dockets UE-170033/UG-170034</v>
      </c>
      <c r="AN2" s="865" t="str">
        <f>AX2</f>
        <v>Dockets UE-170033/UG-170034</v>
      </c>
      <c r="AX2" s="862" t="str">
        <f>'MCC-2 page 1-6'!BB2</f>
        <v>Dockets UE-170033/UG-170034</v>
      </c>
    </row>
    <row r="3" spans="1:50" ht="27" customHeight="1">
      <c r="A3" s="1314" t="s">
        <v>1137</v>
      </c>
      <c r="B3" s="1314"/>
      <c r="C3" s="1196"/>
      <c r="H3" s="865"/>
      <c r="I3" s="865" t="s">
        <v>1032</v>
      </c>
      <c r="P3" s="865"/>
      <c r="Q3" s="865" t="s">
        <v>1033</v>
      </c>
      <c r="Y3" s="865" t="s">
        <v>1034</v>
      </c>
      <c r="AG3" s="865" t="s">
        <v>1035</v>
      </c>
      <c r="AL3" s="865"/>
      <c r="AM3" s="866"/>
      <c r="AN3" s="865" t="s">
        <v>1036</v>
      </c>
      <c r="AS3" s="865" t="s">
        <v>1031</v>
      </c>
      <c r="AW3" s="865"/>
      <c r="AX3" s="865" t="s">
        <v>1037</v>
      </c>
    </row>
    <row r="4" spans="1:50" ht="13.5" thickBot="1">
      <c r="A4" s="864"/>
      <c r="D4" s="867"/>
      <c r="F4" s="867"/>
      <c r="G4" s="867"/>
      <c r="H4" s="865"/>
      <c r="L4" s="867"/>
      <c r="M4" s="867"/>
      <c r="P4" s="865"/>
      <c r="Z4" s="867"/>
      <c r="AL4" s="865"/>
      <c r="AM4" s="867"/>
      <c r="AW4" s="865"/>
    </row>
    <row r="5" spans="1:50" ht="22.5" customHeight="1" thickBot="1">
      <c r="A5" s="864"/>
      <c r="B5" s="861"/>
      <c r="C5" s="864"/>
      <c r="D5" s="864"/>
      <c r="F5" s="864"/>
      <c r="G5" s="864"/>
      <c r="H5" s="862"/>
      <c r="I5" s="865" t="str">
        <f>AS3</f>
        <v>Exh. KJB-12</v>
      </c>
      <c r="L5" s="864"/>
      <c r="M5" s="864"/>
      <c r="P5" s="868"/>
      <c r="Q5" s="865" t="str">
        <f>AS3</f>
        <v>Exh. KJB-12</v>
      </c>
      <c r="T5" s="864"/>
      <c r="Y5" s="865" t="str">
        <f>AS3</f>
        <v>Exh. KJB-12</v>
      </c>
      <c r="Z5" s="864"/>
      <c r="AB5" s="864"/>
      <c r="AG5" s="865" t="str">
        <f>AS3</f>
        <v>Exh. KJB-12</v>
      </c>
      <c r="AL5" s="869"/>
      <c r="AN5" s="865" t="str">
        <f>AS3</f>
        <v>Exh. KJB-12</v>
      </c>
      <c r="AO5" s="864"/>
      <c r="AP5" s="864"/>
      <c r="AQ5" s="864"/>
      <c r="AR5" s="869"/>
      <c r="AS5" s="974"/>
      <c r="AT5" s="864"/>
      <c r="AV5" s="1316" t="s">
        <v>1027</v>
      </c>
      <c r="AW5" s="1317"/>
      <c r="AX5" s="1318"/>
    </row>
    <row r="6" spans="1:50" s="870" customFormat="1">
      <c r="E6" s="971" t="s">
        <v>312</v>
      </c>
      <c r="J6" s="1315" t="s">
        <v>312</v>
      </c>
      <c r="K6" s="1315"/>
      <c r="L6" s="1315"/>
      <c r="M6" s="1315"/>
      <c r="N6" s="1315"/>
      <c r="O6" s="1315"/>
      <c r="P6" s="1315"/>
      <c r="Q6" s="1315"/>
      <c r="R6" s="1315" t="s">
        <v>312</v>
      </c>
      <c r="S6" s="1315"/>
      <c r="T6" s="1315"/>
      <c r="U6" s="1315"/>
      <c r="V6" s="1315"/>
      <c r="W6" s="1315"/>
      <c r="X6" s="1315"/>
      <c r="Y6" s="1315"/>
      <c r="Z6" s="1315" t="s">
        <v>312</v>
      </c>
      <c r="AA6" s="1315"/>
      <c r="AB6" s="1315"/>
      <c r="AC6" s="1315"/>
      <c r="AD6" s="1315"/>
      <c r="AE6" s="1315"/>
      <c r="AF6" s="1315"/>
      <c r="AG6" s="1315"/>
      <c r="AH6" s="1315" t="s">
        <v>312</v>
      </c>
      <c r="AI6" s="1315"/>
      <c r="AJ6" s="1315"/>
      <c r="AK6" s="1315"/>
      <c r="AL6" s="1315"/>
      <c r="AM6" s="1315"/>
      <c r="AN6" s="1315"/>
      <c r="AQ6" s="971" t="s">
        <v>312</v>
      </c>
    </row>
    <row r="7" spans="1:50" s="870" customFormat="1">
      <c r="E7" s="971" t="s">
        <v>803</v>
      </c>
      <c r="J7" s="1315" t="s">
        <v>803</v>
      </c>
      <c r="K7" s="1315"/>
      <c r="L7" s="1315"/>
      <c r="M7" s="1315"/>
      <c r="N7" s="1315"/>
      <c r="O7" s="1315"/>
      <c r="P7" s="1315"/>
      <c r="Q7" s="1315"/>
      <c r="R7" s="1315" t="s">
        <v>803</v>
      </c>
      <c r="S7" s="1315"/>
      <c r="T7" s="1315"/>
      <c r="U7" s="1315"/>
      <c r="V7" s="1315"/>
      <c r="W7" s="1315"/>
      <c r="X7" s="1315"/>
      <c r="Y7" s="1315"/>
      <c r="Z7" s="1315" t="s">
        <v>803</v>
      </c>
      <c r="AA7" s="1315"/>
      <c r="AB7" s="1315"/>
      <c r="AC7" s="1315"/>
      <c r="AD7" s="1315"/>
      <c r="AE7" s="1315"/>
      <c r="AF7" s="1315"/>
      <c r="AG7" s="1315"/>
      <c r="AH7" s="1315" t="s">
        <v>803</v>
      </c>
      <c r="AI7" s="1315"/>
      <c r="AJ7" s="1315"/>
      <c r="AK7" s="1315"/>
      <c r="AL7" s="1315"/>
      <c r="AM7" s="1315"/>
      <c r="AN7" s="1315"/>
      <c r="AQ7" s="971" t="s">
        <v>803</v>
      </c>
    </row>
    <row r="8" spans="1:50" s="870" customFormat="1">
      <c r="E8" s="971" t="str">
        <f>keep_TESTYEAR</f>
        <v>FOR THE TWELVE MONTHS ENDED SEPTEMBER 30, 2016</v>
      </c>
      <c r="J8" s="1315" t="str">
        <f>keep_TESTYEAR</f>
        <v>FOR THE TWELVE MONTHS ENDED SEPTEMBER 30, 2016</v>
      </c>
      <c r="K8" s="1315"/>
      <c r="L8" s="1315"/>
      <c r="M8" s="1315"/>
      <c r="N8" s="1315"/>
      <c r="O8" s="1315"/>
      <c r="P8" s="1315"/>
      <c r="Q8" s="1315"/>
      <c r="R8" s="1315" t="str">
        <f>keep_TESTYEAR</f>
        <v>FOR THE TWELVE MONTHS ENDED SEPTEMBER 30, 2016</v>
      </c>
      <c r="S8" s="1315"/>
      <c r="T8" s="1315"/>
      <c r="U8" s="1315"/>
      <c r="V8" s="1315"/>
      <c r="W8" s="1315"/>
      <c r="X8" s="1315"/>
      <c r="Y8" s="1315"/>
      <c r="Z8" s="1315" t="str">
        <f>keep_TESTYEAR</f>
        <v>FOR THE TWELVE MONTHS ENDED SEPTEMBER 30, 2016</v>
      </c>
      <c r="AA8" s="1315"/>
      <c r="AB8" s="1315"/>
      <c r="AC8" s="1315"/>
      <c r="AD8" s="1315"/>
      <c r="AE8" s="1315"/>
      <c r="AF8" s="1315"/>
      <c r="AG8" s="1315"/>
      <c r="AH8" s="1315" t="str">
        <f>keep_TESTYEAR</f>
        <v>FOR THE TWELVE MONTHS ENDED SEPTEMBER 30, 2016</v>
      </c>
      <c r="AI8" s="1315"/>
      <c r="AJ8" s="1315"/>
      <c r="AK8" s="1315"/>
      <c r="AL8" s="1315"/>
      <c r="AM8" s="1315"/>
      <c r="AN8" s="1315"/>
      <c r="AQ8" s="971" t="str">
        <f>keep_TESTYEAR</f>
        <v>FOR THE TWELVE MONTHS ENDED SEPTEMBER 30, 2016</v>
      </c>
    </row>
    <row r="9" spans="1:50">
      <c r="A9" s="871"/>
      <c r="B9" s="861"/>
      <c r="C9" s="863"/>
      <c r="D9" s="870"/>
      <c r="E9" s="971" t="s">
        <v>136</v>
      </c>
      <c r="F9" s="870"/>
      <c r="G9" s="870"/>
      <c r="H9" s="870"/>
      <c r="I9" s="870"/>
      <c r="J9" s="1315" t="s">
        <v>137</v>
      </c>
      <c r="K9" s="1315"/>
      <c r="L9" s="1315"/>
      <c r="M9" s="1315"/>
      <c r="N9" s="1315"/>
      <c r="O9" s="1315"/>
      <c r="P9" s="1315"/>
      <c r="Q9" s="1315"/>
      <c r="R9" s="1315" t="s">
        <v>501</v>
      </c>
      <c r="S9" s="1315"/>
      <c r="T9" s="1315"/>
      <c r="U9" s="1315"/>
      <c r="V9" s="1315"/>
      <c r="W9" s="1315"/>
      <c r="X9" s="1315"/>
      <c r="Y9" s="1315"/>
      <c r="Z9" s="1315" t="s">
        <v>804</v>
      </c>
      <c r="AA9" s="1315"/>
      <c r="AB9" s="1315"/>
      <c r="AC9" s="1315"/>
      <c r="AD9" s="1315"/>
      <c r="AE9" s="1315"/>
      <c r="AF9" s="1315"/>
      <c r="AG9" s="1315"/>
      <c r="AH9" s="1315" t="s">
        <v>805</v>
      </c>
      <c r="AI9" s="1315"/>
      <c r="AJ9" s="1315"/>
      <c r="AK9" s="1315"/>
      <c r="AL9" s="1315"/>
      <c r="AM9" s="1315"/>
      <c r="AN9" s="1315"/>
      <c r="AO9" s="872" t="s">
        <v>34</v>
      </c>
      <c r="AP9" s="870"/>
      <c r="AQ9" s="870"/>
      <c r="AR9" s="870"/>
      <c r="AS9" s="870"/>
      <c r="AT9" s="864"/>
    </row>
    <row r="10" spans="1:50">
      <c r="A10" s="871"/>
      <c r="B10" s="861"/>
      <c r="C10" s="873"/>
      <c r="D10" s="873"/>
      <c r="E10" s="873"/>
      <c r="F10" s="873"/>
      <c r="G10" s="873"/>
      <c r="H10" s="873"/>
      <c r="I10" s="873"/>
      <c r="J10" s="874"/>
      <c r="K10" s="873"/>
      <c r="L10" s="873"/>
      <c r="M10" s="873"/>
      <c r="N10" s="873"/>
      <c r="O10" s="874"/>
      <c r="P10" s="873"/>
      <c r="Q10" s="873"/>
      <c r="R10" s="873"/>
      <c r="S10" s="873"/>
      <c r="T10" s="873"/>
      <c r="U10" s="873"/>
      <c r="V10" s="873"/>
      <c r="W10" s="873"/>
      <c r="X10" s="873"/>
      <c r="Y10" s="863"/>
      <c r="Z10" s="863"/>
      <c r="AA10" s="873"/>
      <c r="AB10" s="874"/>
      <c r="AC10" s="873"/>
      <c r="AD10" s="873"/>
      <c r="AE10" s="873"/>
      <c r="AF10" s="873"/>
      <c r="AG10" s="873"/>
      <c r="AH10" s="873"/>
      <c r="AI10" s="873"/>
      <c r="AJ10" s="873"/>
      <c r="AK10" s="873"/>
      <c r="AL10" s="873"/>
      <c r="AM10" s="873"/>
      <c r="AN10" s="873"/>
      <c r="AO10" s="864"/>
      <c r="AP10" s="864"/>
      <c r="AQ10" s="864"/>
      <c r="AR10" s="864"/>
      <c r="AS10" s="864"/>
      <c r="AT10" s="864"/>
    </row>
    <row r="11" spans="1:50" ht="13.5">
      <c r="A11" s="871"/>
      <c r="B11" s="861"/>
      <c r="C11" s="873"/>
      <c r="D11" s="873"/>
      <c r="E11" s="873"/>
      <c r="F11" s="873"/>
      <c r="G11" s="873"/>
      <c r="H11" s="873"/>
      <c r="I11" s="971"/>
      <c r="J11" s="874"/>
      <c r="K11" s="873"/>
      <c r="L11" s="873"/>
      <c r="M11" s="873"/>
      <c r="N11" s="873"/>
      <c r="O11" s="874"/>
      <c r="P11" s="873"/>
      <c r="Q11" s="873"/>
      <c r="R11" s="873"/>
      <c r="S11" s="873"/>
      <c r="T11" s="873"/>
      <c r="U11" s="873"/>
      <c r="V11" s="873"/>
      <c r="W11" s="873"/>
      <c r="X11" s="873"/>
      <c r="Y11" s="873"/>
      <c r="Z11" s="873"/>
      <c r="AA11" s="873"/>
      <c r="AB11" s="874"/>
      <c r="AC11" s="873"/>
      <c r="AD11" s="873"/>
      <c r="AE11" s="873"/>
      <c r="AF11" s="873"/>
      <c r="AG11" s="873"/>
      <c r="AH11" s="873"/>
      <c r="AI11" s="873"/>
      <c r="AJ11" s="873"/>
      <c r="AK11" s="873"/>
      <c r="AL11" s="873"/>
      <c r="AM11" s="873"/>
      <c r="AN11" s="873"/>
      <c r="AO11" s="864"/>
      <c r="AP11" s="864"/>
      <c r="AQ11" s="864"/>
      <c r="AR11" s="864"/>
      <c r="AS11" s="864"/>
      <c r="AT11" s="864"/>
      <c r="AV11" s="1099" t="s">
        <v>334</v>
      </c>
      <c r="AW11" s="1099" t="s">
        <v>334</v>
      </c>
    </row>
    <row r="12" spans="1:50" ht="13.5">
      <c r="A12" s="871"/>
      <c r="B12" s="875"/>
      <c r="C12" s="873"/>
      <c r="D12" s="971"/>
      <c r="E12" s="971"/>
      <c r="F12" s="971" t="s">
        <v>253</v>
      </c>
      <c r="G12" s="971"/>
      <c r="H12" s="876" t="s">
        <v>851</v>
      </c>
      <c r="I12" s="877"/>
      <c r="J12" s="971"/>
      <c r="K12" s="876" t="s">
        <v>851</v>
      </c>
      <c r="L12" s="876" t="s">
        <v>851</v>
      </c>
      <c r="M12" s="971"/>
      <c r="N12" s="876" t="s">
        <v>851</v>
      </c>
      <c r="O12" s="971"/>
      <c r="P12" s="971"/>
      <c r="Q12" s="971"/>
      <c r="R12" s="971"/>
      <c r="S12" s="876" t="s">
        <v>851</v>
      </c>
      <c r="T12" s="876" t="s">
        <v>851</v>
      </c>
      <c r="U12" s="971"/>
      <c r="V12" s="971"/>
      <c r="W12" s="971"/>
      <c r="X12" s="878"/>
      <c r="Y12" s="971"/>
      <c r="Z12" s="876" t="s">
        <v>851</v>
      </c>
      <c r="AA12" s="876" t="s">
        <v>851</v>
      </c>
      <c r="AB12" s="878"/>
      <c r="AC12" s="971"/>
      <c r="AD12" s="876" t="s">
        <v>851</v>
      </c>
      <c r="AE12" s="971"/>
      <c r="AF12" s="878"/>
      <c r="AG12" s="971"/>
      <c r="AH12" s="878"/>
      <c r="AI12" s="878"/>
      <c r="AJ12" s="876" t="s">
        <v>851</v>
      </c>
      <c r="AK12" s="971"/>
      <c r="AL12" s="876" t="s">
        <v>851</v>
      </c>
      <c r="AM12" s="876" t="s">
        <v>851</v>
      </c>
      <c r="AN12" s="876" t="s">
        <v>851</v>
      </c>
      <c r="AO12" s="971"/>
      <c r="AP12" s="876" t="s">
        <v>851</v>
      </c>
      <c r="AQ12" s="876" t="s">
        <v>851</v>
      </c>
      <c r="AR12" s="876" t="s">
        <v>851</v>
      </c>
      <c r="AS12" s="876" t="s">
        <v>851</v>
      </c>
      <c r="AT12" s="864"/>
      <c r="AU12" s="879"/>
    </row>
    <row r="13" spans="1:50" ht="18.75" customHeight="1">
      <c r="A13" s="871"/>
      <c r="B13" s="864"/>
      <c r="C13" s="971" t="s">
        <v>300</v>
      </c>
      <c r="D13" s="971" t="s">
        <v>80</v>
      </c>
      <c r="E13" s="971" t="s">
        <v>145</v>
      </c>
      <c r="F13" s="971" t="s">
        <v>207</v>
      </c>
      <c r="G13" s="971" t="s">
        <v>291</v>
      </c>
      <c r="H13" s="971" t="s">
        <v>845</v>
      </c>
      <c r="I13" s="971" t="s">
        <v>332</v>
      </c>
      <c r="J13" s="971" t="s">
        <v>197</v>
      </c>
      <c r="K13" s="971" t="s">
        <v>292</v>
      </c>
      <c r="L13" s="971" t="s">
        <v>51</v>
      </c>
      <c r="M13" s="971" t="s">
        <v>170</v>
      </c>
      <c r="N13" s="971" t="s">
        <v>293</v>
      </c>
      <c r="O13" s="971" t="s">
        <v>299</v>
      </c>
      <c r="P13" s="971" t="s">
        <v>237</v>
      </c>
      <c r="Q13" s="971" t="s">
        <v>320</v>
      </c>
      <c r="R13" s="971" t="s">
        <v>325</v>
      </c>
      <c r="S13" s="971" t="s">
        <v>324</v>
      </c>
      <c r="T13" s="971" t="s">
        <v>295</v>
      </c>
      <c r="U13" s="971" t="s">
        <v>294</v>
      </c>
      <c r="V13" s="971" t="s">
        <v>497</v>
      </c>
      <c r="W13" s="971" t="s">
        <v>800</v>
      </c>
      <c r="X13" s="971" t="s">
        <v>656</v>
      </c>
      <c r="Y13" s="971" t="s">
        <v>758</v>
      </c>
      <c r="Z13" s="971" t="s">
        <v>290</v>
      </c>
      <c r="AA13" s="971" t="s">
        <v>173</v>
      </c>
      <c r="AB13" s="971" t="s">
        <v>118</v>
      </c>
      <c r="AC13" s="971" t="s">
        <v>70</v>
      </c>
      <c r="AD13" s="971" t="s">
        <v>298</v>
      </c>
      <c r="AE13" s="971" t="s">
        <v>209</v>
      </c>
      <c r="AF13" s="971" t="s">
        <v>454</v>
      </c>
      <c r="AG13" s="971" t="s">
        <v>499</v>
      </c>
      <c r="AH13" s="971" t="s">
        <v>616</v>
      </c>
      <c r="AI13" s="971" t="s">
        <v>624</v>
      </c>
      <c r="AJ13" s="971" t="s">
        <v>653</v>
      </c>
      <c r="AK13" s="971" t="s">
        <v>693</v>
      </c>
      <c r="AL13" s="971" t="s">
        <v>296</v>
      </c>
      <c r="AM13" s="971" t="s">
        <v>84</v>
      </c>
      <c r="AN13" s="971" t="s">
        <v>309</v>
      </c>
      <c r="AO13" s="971"/>
      <c r="AP13" s="971"/>
      <c r="AQ13" s="971" t="s">
        <v>309</v>
      </c>
      <c r="AR13" s="971" t="s">
        <v>124</v>
      </c>
      <c r="AS13" s="971" t="s">
        <v>311</v>
      </c>
      <c r="AT13" s="864"/>
      <c r="AV13" s="880" t="s">
        <v>998</v>
      </c>
      <c r="AW13" s="880" t="s">
        <v>1028</v>
      </c>
    </row>
    <row r="14" spans="1:50" ht="25.5">
      <c r="A14" s="881" t="s">
        <v>284</v>
      </c>
      <c r="B14" s="864"/>
      <c r="C14" s="971" t="s">
        <v>97</v>
      </c>
      <c r="D14" s="971" t="s">
        <v>202</v>
      </c>
      <c r="E14" s="971" t="s">
        <v>158</v>
      </c>
      <c r="F14" s="971" t="s">
        <v>208</v>
      </c>
      <c r="G14" s="882" t="s">
        <v>87</v>
      </c>
      <c r="H14" s="882" t="s">
        <v>846</v>
      </c>
      <c r="I14" s="971" t="s">
        <v>456</v>
      </c>
      <c r="J14" s="971" t="s">
        <v>198</v>
      </c>
      <c r="K14" s="882" t="s">
        <v>89</v>
      </c>
      <c r="L14" s="882" t="s">
        <v>50</v>
      </c>
      <c r="M14" s="882" t="s">
        <v>88</v>
      </c>
      <c r="N14" s="882" t="s">
        <v>91</v>
      </c>
      <c r="O14" s="971" t="s">
        <v>96</v>
      </c>
      <c r="P14" s="971" t="s">
        <v>323</v>
      </c>
      <c r="Q14" s="883" t="s">
        <v>321</v>
      </c>
      <c r="R14" s="883" t="s">
        <v>94</v>
      </c>
      <c r="S14" s="882" t="s">
        <v>285</v>
      </c>
      <c r="T14" s="882" t="s">
        <v>94</v>
      </c>
      <c r="U14" s="971" t="s">
        <v>88</v>
      </c>
      <c r="V14" s="971" t="s">
        <v>498</v>
      </c>
      <c r="W14" s="971" t="s">
        <v>801</v>
      </c>
      <c r="X14" s="971" t="s">
        <v>657</v>
      </c>
      <c r="Y14" s="971" t="s">
        <v>752</v>
      </c>
      <c r="Z14" s="882" t="s">
        <v>86</v>
      </c>
      <c r="AA14" s="882" t="s">
        <v>92</v>
      </c>
      <c r="AB14" s="971" t="s">
        <v>119</v>
      </c>
      <c r="AC14" s="971" t="s">
        <v>68</v>
      </c>
      <c r="AD14" s="882" t="s">
        <v>95</v>
      </c>
      <c r="AE14" s="971" t="s">
        <v>193</v>
      </c>
      <c r="AF14" s="971" t="s">
        <v>455</v>
      </c>
      <c r="AG14" s="971" t="s">
        <v>500</v>
      </c>
      <c r="AH14" s="971" t="s">
        <v>617</v>
      </c>
      <c r="AI14" s="971" t="s">
        <v>617</v>
      </c>
      <c r="AJ14" s="882" t="s">
        <v>654</v>
      </c>
      <c r="AK14" s="971" t="s">
        <v>685</v>
      </c>
      <c r="AL14" s="882" t="s">
        <v>77</v>
      </c>
      <c r="AM14" s="869" t="s">
        <v>139</v>
      </c>
      <c r="AN14" s="971" t="s">
        <v>97</v>
      </c>
      <c r="AO14" s="971" t="s">
        <v>305</v>
      </c>
      <c r="AP14" s="971" t="s">
        <v>84</v>
      </c>
      <c r="AQ14" s="971" t="s">
        <v>97</v>
      </c>
      <c r="AR14" s="971" t="s">
        <v>310</v>
      </c>
      <c r="AS14" s="971" t="s">
        <v>99</v>
      </c>
      <c r="AT14" s="971"/>
      <c r="AV14" s="880" t="s">
        <v>1029</v>
      </c>
      <c r="AW14" s="971" t="s">
        <v>310</v>
      </c>
    </row>
    <row r="15" spans="1:50" s="859" customFormat="1">
      <c r="A15" s="881" t="s">
        <v>301</v>
      </c>
      <c r="B15" s="864"/>
      <c r="C15" s="971" t="s">
        <v>3</v>
      </c>
      <c r="D15" s="884">
        <v>13.01</v>
      </c>
      <c r="E15" s="884">
        <v>13.02</v>
      </c>
      <c r="F15" s="884">
        <v>13.03</v>
      </c>
      <c r="G15" s="884">
        <v>13.04</v>
      </c>
      <c r="H15" s="884">
        <v>13.05</v>
      </c>
      <c r="I15" s="884">
        <v>13.06</v>
      </c>
      <c r="J15" s="884">
        <v>13.07</v>
      </c>
      <c r="K15" s="884">
        <v>13.08</v>
      </c>
      <c r="L15" s="884">
        <v>13.09</v>
      </c>
      <c r="M15" s="884">
        <v>13.1</v>
      </c>
      <c r="N15" s="884">
        <v>13.11</v>
      </c>
      <c r="O15" s="884">
        <v>13.12</v>
      </c>
      <c r="P15" s="884">
        <v>13.13</v>
      </c>
      <c r="Q15" s="884">
        <v>13.14</v>
      </c>
      <c r="R15" s="884">
        <v>13.15</v>
      </c>
      <c r="S15" s="884">
        <v>13.16</v>
      </c>
      <c r="T15" s="884">
        <v>13.17</v>
      </c>
      <c r="U15" s="884">
        <v>13.18</v>
      </c>
      <c r="V15" s="884">
        <v>13.19</v>
      </c>
      <c r="W15" s="884">
        <v>13.2</v>
      </c>
      <c r="X15" s="884">
        <v>13.21</v>
      </c>
      <c r="Y15" s="884">
        <v>13.22</v>
      </c>
      <c r="Z15" s="884">
        <v>14.01</v>
      </c>
      <c r="AA15" s="884">
        <v>14.02</v>
      </c>
      <c r="AB15" s="884">
        <v>14.03</v>
      </c>
      <c r="AC15" s="884">
        <v>14.04</v>
      </c>
      <c r="AD15" s="884">
        <v>14.05</v>
      </c>
      <c r="AE15" s="884">
        <v>14.06</v>
      </c>
      <c r="AF15" s="884">
        <v>14.07</v>
      </c>
      <c r="AG15" s="884">
        <v>14.08</v>
      </c>
      <c r="AH15" s="884">
        <v>14.09</v>
      </c>
      <c r="AI15" s="884">
        <v>14.1</v>
      </c>
      <c r="AJ15" s="884">
        <v>14.11</v>
      </c>
      <c r="AK15" s="884">
        <v>14.12</v>
      </c>
      <c r="AL15" s="884">
        <v>14.13</v>
      </c>
      <c r="AM15" s="869"/>
      <c r="AN15" s="869" t="s">
        <v>98</v>
      </c>
      <c r="AO15" s="869" t="s">
        <v>306</v>
      </c>
      <c r="AP15" s="869" t="s">
        <v>139</v>
      </c>
      <c r="AQ15" s="869" t="s">
        <v>98</v>
      </c>
      <c r="AR15" s="869" t="str">
        <f>IF(AR22&lt;0,"SURPLUS","DEFICIENCY")</f>
        <v>DEFICIENCY</v>
      </c>
      <c r="AS15" s="869" t="str">
        <f>IF(AR22&lt;0,"DECREASE","INCREASE")</f>
        <v>INCREASE</v>
      </c>
      <c r="AT15" s="971"/>
      <c r="AU15" s="867"/>
      <c r="AV15" s="869" t="s">
        <v>124</v>
      </c>
      <c r="AW15" s="869" t="str">
        <f>IF(AW22&lt;0,"SURPLUS","DEFICIENCY")</f>
        <v>DEFICIENCY</v>
      </c>
    </row>
    <row r="16" spans="1:50">
      <c r="A16" s="885" t="s">
        <v>101</v>
      </c>
      <c r="B16" s="886"/>
      <c r="C16" s="887"/>
      <c r="D16" s="886"/>
      <c r="E16" s="886"/>
      <c r="F16" s="886"/>
      <c r="G16" s="886"/>
      <c r="H16" s="886"/>
      <c r="I16" s="886"/>
      <c r="J16" s="886"/>
      <c r="K16" s="886"/>
      <c r="L16" s="886"/>
      <c r="M16" s="886"/>
      <c r="N16" s="886"/>
      <c r="O16" s="886"/>
      <c r="P16" s="886"/>
      <c r="Q16" s="886"/>
      <c r="R16" s="886"/>
      <c r="S16" s="886"/>
      <c r="T16" s="886"/>
      <c r="U16" s="886"/>
      <c r="V16" s="886"/>
      <c r="W16" s="886"/>
      <c r="X16" s="886"/>
      <c r="Y16" s="886"/>
      <c r="Z16" s="886"/>
      <c r="AA16" s="886"/>
      <c r="AB16" s="886"/>
      <c r="AC16" s="886"/>
      <c r="AD16" s="886"/>
      <c r="AE16" s="886"/>
      <c r="AF16" s="886"/>
      <c r="AG16" s="886"/>
      <c r="AH16" s="886"/>
      <c r="AI16" s="886"/>
      <c r="AJ16" s="886"/>
      <c r="AK16" s="886"/>
      <c r="AL16" s="886"/>
      <c r="AM16" s="886"/>
      <c r="AN16" s="886"/>
      <c r="AO16" s="886"/>
      <c r="AP16" s="886"/>
      <c r="AQ16" s="886"/>
      <c r="AR16" s="886"/>
      <c r="AS16" s="886"/>
      <c r="AT16" s="886"/>
      <c r="AU16" s="886"/>
      <c r="AV16" s="886"/>
      <c r="AW16" s="886"/>
      <c r="AX16" s="886"/>
    </row>
    <row r="17" spans="1:50">
      <c r="A17" s="888">
        <v>1</v>
      </c>
      <c r="B17" s="889" t="s">
        <v>104</v>
      </c>
      <c r="C17" s="890"/>
      <c r="D17" s="891"/>
      <c r="E17" s="891"/>
      <c r="F17" s="891"/>
      <c r="G17" s="891"/>
      <c r="H17" s="891"/>
      <c r="I17" s="891"/>
      <c r="K17" s="892"/>
      <c r="L17" s="891"/>
      <c r="M17" s="891"/>
      <c r="N17" s="891"/>
      <c r="P17" s="891"/>
      <c r="S17" s="891"/>
      <c r="Z17" s="891"/>
      <c r="AC17" s="889"/>
      <c r="AD17" s="891"/>
      <c r="AE17" s="891"/>
      <c r="AF17" s="891"/>
      <c r="AG17" s="891"/>
      <c r="AH17" s="891"/>
      <c r="AI17" s="891"/>
      <c r="AJ17" s="891"/>
      <c r="AK17" s="891"/>
      <c r="AL17" s="891"/>
      <c r="AN17" s="891"/>
      <c r="AS17" s="859"/>
      <c r="AU17" s="1194" t="s">
        <v>1225</v>
      </c>
      <c r="AX17" s="1194" t="s">
        <v>1225</v>
      </c>
    </row>
    <row r="18" spans="1:50" ht="13.5">
      <c r="A18" s="888">
        <f t="shared" ref="A18:A63" si="0">A17+1</f>
        <v>2</v>
      </c>
      <c r="B18" s="889" t="s">
        <v>265</v>
      </c>
      <c r="C18" s="893">
        <v>2146048308.1900001</v>
      </c>
      <c r="D18" s="893">
        <v>-18636297.520117842</v>
      </c>
      <c r="E18" s="893">
        <v>28308135</v>
      </c>
      <c r="F18" s="893">
        <v>-192533060.51000002</v>
      </c>
      <c r="G18" s="893">
        <v>0</v>
      </c>
      <c r="H18" s="893">
        <v>0</v>
      </c>
      <c r="I18" s="893">
        <v>0</v>
      </c>
      <c r="J18" s="893"/>
      <c r="K18" s="893">
        <v>0</v>
      </c>
      <c r="L18" s="893"/>
      <c r="M18" s="893">
        <v>0</v>
      </c>
      <c r="N18" s="893">
        <v>0</v>
      </c>
      <c r="O18" s="893">
        <v>0</v>
      </c>
      <c r="P18" s="893">
        <v>0</v>
      </c>
      <c r="Q18" s="893">
        <v>0</v>
      </c>
      <c r="R18" s="893">
        <v>0</v>
      </c>
      <c r="S18" s="893">
        <v>0</v>
      </c>
      <c r="T18" s="893">
        <v>0</v>
      </c>
      <c r="U18" s="893">
        <v>0</v>
      </c>
      <c r="V18" s="893">
        <v>0</v>
      </c>
      <c r="W18" s="893">
        <v>0</v>
      </c>
      <c r="X18" s="893">
        <v>0</v>
      </c>
      <c r="Y18" s="893">
        <v>0</v>
      </c>
      <c r="Z18" s="893"/>
      <c r="AA18" s="893">
        <v>0</v>
      </c>
      <c r="AB18" s="893"/>
      <c r="AC18" s="893">
        <v>0</v>
      </c>
      <c r="AD18" s="893">
        <v>0</v>
      </c>
      <c r="AE18" s="893">
        <v>0</v>
      </c>
      <c r="AF18" s="893"/>
      <c r="AG18" s="893"/>
      <c r="AH18" s="893"/>
      <c r="AI18" s="893"/>
      <c r="AJ18" s="893"/>
      <c r="AK18" s="893"/>
      <c r="AL18" s="893"/>
      <c r="AM18" s="893">
        <f>SUM(D18:AL18)</f>
        <v>-182861223.03011787</v>
      </c>
      <c r="AN18" s="893">
        <f>AM18+C18</f>
        <v>1963187085.1598821</v>
      </c>
      <c r="AO18" s="893">
        <f>C18</f>
        <v>2146048308.1900001</v>
      </c>
      <c r="AP18" s="893">
        <f>+AM18</f>
        <v>-182861223.03011787</v>
      </c>
      <c r="AQ18" s="893">
        <f>SUM(AO18:AP18)</f>
        <v>1963187085.1598821</v>
      </c>
      <c r="AR18" s="894">
        <v>143626923.1907548</v>
      </c>
      <c r="AS18" s="894">
        <f>SUM(AQ18:AR18)</f>
        <v>2106814008.350637</v>
      </c>
      <c r="AU18" s="1192">
        <f>AR18/AQ18</f>
        <v>7.3160079483233664E-2</v>
      </c>
      <c r="AV18" s="895">
        <f>-'EXHIBIT MCC-12'!C28</f>
        <v>75751222</v>
      </c>
      <c r="AW18" s="895">
        <f>AR18-AV18</f>
        <v>67875701.190754801</v>
      </c>
      <c r="AX18" s="1193">
        <f>AW18/AQ18</f>
        <v>3.4574239869363747E-2</v>
      </c>
    </row>
    <row r="19" spans="1:50" ht="13.5">
      <c r="A19" s="888">
        <f t="shared" si="0"/>
        <v>3</v>
      </c>
      <c r="B19" s="889" t="s">
        <v>54</v>
      </c>
      <c r="C19" s="896">
        <v>324382.2</v>
      </c>
      <c r="D19" s="896">
        <v>146.57999999999811</v>
      </c>
      <c r="E19" s="896">
        <v>5118</v>
      </c>
      <c r="F19" s="896">
        <v>-13257.679999999998</v>
      </c>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896">
        <f>SUM(D19:AL19)</f>
        <v>-7993.1</v>
      </c>
      <c r="AN19" s="896">
        <f>AM19+C19</f>
        <v>316389.10000000003</v>
      </c>
      <c r="AO19" s="897">
        <f>C19</f>
        <v>324382.2</v>
      </c>
      <c r="AP19" s="896">
        <f>+AM19</f>
        <v>-7993.1</v>
      </c>
      <c r="AQ19" s="896">
        <f>SUM(AO19:AP19)</f>
        <v>316389.10000000003</v>
      </c>
      <c r="AR19" s="898">
        <v>405142.80924519908</v>
      </c>
      <c r="AS19" s="898">
        <f>SUM(AQ19:AR19)</f>
        <v>721531.90924519906</v>
      </c>
      <c r="AV19" s="899">
        <f>-'EXHIBIT MCC-12'!D28</f>
        <v>-22000</v>
      </c>
      <c r="AW19" s="900">
        <f>AR19-AV19</f>
        <v>427142.80924519908</v>
      </c>
    </row>
    <row r="20" spans="1:50" ht="13.5">
      <c r="A20" s="888">
        <f t="shared" si="0"/>
        <v>4</v>
      </c>
      <c r="B20" s="889" t="s">
        <v>267</v>
      </c>
      <c r="C20" s="896">
        <v>201125741.739999</v>
      </c>
      <c r="D20" s="896"/>
      <c r="E20" s="896"/>
      <c r="F20" s="896"/>
      <c r="G20" s="896"/>
      <c r="H20" s="896"/>
      <c r="I20" s="896"/>
      <c r="J20" s="896"/>
      <c r="K20" s="896"/>
      <c r="L20" s="896"/>
      <c r="M20" s="896"/>
      <c r="N20" s="896"/>
      <c r="O20" s="896"/>
      <c r="P20" s="896"/>
      <c r="Q20" s="896"/>
      <c r="R20" s="896"/>
      <c r="S20" s="896"/>
      <c r="T20" s="896"/>
      <c r="U20" s="896"/>
      <c r="V20" s="896"/>
      <c r="W20" s="896"/>
      <c r="X20" s="896"/>
      <c r="Y20" s="896"/>
      <c r="Z20" s="898">
        <v>-170981384.21897274</v>
      </c>
      <c r="AA20" s="896"/>
      <c r="AB20" s="896"/>
      <c r="AC20" s="896"/>
      <c r="AD20" s="896"/>
      <c r="AE20" s="896"/>
      <c r="AF20" s="896"/>
      <c r="AG20" s="896"/>
      <c r="AH20" s="896"/>
      <c r="AI20" s="896"/>
      <c r="AJ20" s="896"/>
      <c r="AK20" s="896"/>
      <c r="AL20" s="896"/>
      <c r="AM20" s="898">
        <f>SUM(D20:AL20)</f>
        <v>-170981384.21897274</v>
      </c>
      <c r="AN20" s="898">
        <f>AM20+C20</f>
        <v>30144357.521026254</v>
      </c>
      <c r="AO20" s="897">
        <f>C20</f>
        <v>201125741.739999</v>
      </c>
      <c r="AP20" s="898">
        <f>+AM20</f>
        <v>-170981384.21897274</v>
      </c>
      <c r="AQ20" s="898">
        <f>SUM(AO20:AP20)</f>
        <v>30144357.521026254</v>
      </c>
      <c r="AR20" s="897"/>
      <c r="AS20" s="901">
        <f>SUM(AQ20:AR20)</f>
        <v>30144357.521026254</v>
      </c>
      <c r="AT20" s="896"/>
      <c r="AV20" s="899"/>
      <c r="AW20" s="900">
        <f>AR20-AV20</f>
        <v>0</v>
      </c>
    </row>
    <row r="21" spans="1:50" ht="14.25" thickBot="1">
      <c r="A21" s="888">
        <f t="shared" si="0"/>
        <v>5</v>
      </c>
      <c r="B21" s="889" t="s">
        <v>268</v>
      </c>
      <c r="C21" s="896">
        <v>47841338.950000003</v>
      </c>
      <c r="D21" s="902">
        <v>-10225162.969999999</v>
      </c>
      <c r="E21" s="893"/>
      <c r="F21" s="902">
        <v>-278052.84999999986</v>
      </c>
      <c r="G21" s="902"/>
      <c r="H21" s="902" t="s">
        <v>253</v>
      </c>
      <c r="I21" s="902"/>
      <c r="J21" s="902"/>
      <c r="K21" s="902"/>
      <c r="L21" s="902"/>
      <c r="M21" s="902"/>
      <c r="N21" s="902"/>
      <c r="O21" s="902"/>
      <c r="P21" s="902"/>
      <c r="Q21" s="902"/>
      <c r="R21" s="902"/>
      <c r="S21" s="902"/>
      <c r="T21" s="902"/>
      <c r="U21" s="902"/>
      <c r="V21" s="902"/>
      <c r="W21" s="902"/>
      <c r="X21" s="902"/>
      <c r="Y21" s="902"/>
      <c r="Z21" s="903">
        <v>36348495.210696146</v>
      </c>
      <c r="AA21" s="902"/>
      <c r="AB21" s="902"/>
      <c r="AC21" s="902"/>
      <c r="AD21" s="902"/>
      <c r="AE21" s="902"/>
      <c r="AF21" s="902"/>
      <c r="AG21" s="902"/>
      <c r="AH21" s="902"/>
      <c r="AI21" s="902"/>
      <c r="AJ21" s="902"/>
      <c r="AK21" s="902"/>
      <c r="AL21" s="902"/>
      <c r="AM21" s="903">
        <f>SUM(D21:AL21)</f>
        <v>25845279.390696146</v>
      </c>
      <c r="AN21" s="903">
        <f>AM21+C21</f>
        <v>73686618.340696156</v>
      </c>
      <c r="AO21" s="904">
        <f>C21</f>
        <v>47841338.950000003</v>
      </c>
      <c r="AP21" s="903">
        <f>+AM21</f>
        <v>25845279.390696146</v>
      </c>
      <c r="AQ21" s="903">
        <f>SUM(AO21:AP21)</f>
        <v>73686618.340696156</v>
      </c>
      <c r="AR21" s="904"/>
      <c r="AS21" s="905">
        <f>SUM(AQ21:AR21)</f>
        <v>73686618.340696156</v>
      </c>
      <c r="AT21" s="896"/>
      <c r="AV21" s="906"/>
      <c r="AW21" s="900">
        <f>AR21-AV21</f>
        <v>0</v>
      </c>
    </row>
    <row r="22" spans="1:50" ht="20.25" customHeight="1" thickBot="1">
      <c r="A22" s="888">
        <f t="shared" si="0"/>
        <v>6</v>
      </c>
      <c r="B22" s="889" t="s">
        <v>269</v>
      </c>
      <c r="C22" s="907">
        <f t="shared" ref="C22:I22" si="1">SUM(C18:C21)</f>
        <v>2395339771.079999</v>
      </c>
      <c r="D22" s="907">
        <f t="shared" si="1"/>
        <v>-28861313.910117842</v>
      </c>
      <c r="E22" s="907">
        <f t="shared" si="1"/>
        <v>28313253</v>
      </c>
      <c r="F22" s="907">
        <f t="shared" si="1"/>
        <v>-192824371.04000002</v>
      </c>
      <c r="G22" s="907">
        <f t="shared" si="1"/>
        <v>0</v>
      </c>
      <c r="H22" s="907">
        <f t="shared" si="1"/>
        <v>0</v>
      </c>
      <c r="I22" s="907">
        <f t="shared" si="1"/>
        <v>0</v>
      </c>
      <c r="J22" s="907"/>
      <c r="K22" s="907">
        <f t="shared" ref="K22:AA22" si="2">SUM(K18:K21)</f>
        <v>0</v>
      </c>
      <c r="L22" s="907">
        <f t="shared" si="2"/>
        <v>0</v>
      </c>
      <c r="M22" s="907">
        <f t="shared" si="2"/>
        <v>0</v>
      </c>
      <c r="N22" s="907">
        <f t="shared" si="2"/>
        <v>0</v>
      </c>
      <c r="O22" s="907">
        <f t="shared" si="2"/>
        <v>0</v>
      </c>
      <c r="P22" s="907">
        <f t="shared" si="2"/>
        <v>0</v>
      </c>
      <c r="Q22" s="907">
        <f t="shared" si="2"/>
        <v>0</v>
      </c>
      <c r="R22" s="907">
        <f t="shared" si="2"/>
        <v>0</v>
      </c>
      <c r="S22" s="907">
        <f t="shared" si="2"/>
        <v>0</v>
      </c>
      <c r="T22" s="907">
        <f t="shared" si="2"/>
        <v>0</v>
      </c>
      <c r="U22" s="907">
        <f t="shared" si="2"/>
        <v>0</v>
      </c>
      <c r="V22" s="907">
        <f t="shared" si="2"/>
        <v>0</v>
      </c>
      <c r="W22" s="907">
        <f t="shared" si="2"/>
        <v>0</v>
      </c>
      <c r="X22" s="907">
        <f t="shared" si="2"/>
        <v>0</v>
      </c>
      <c r="Y22" s="907">
        <f t="shared" si="2"/>
        <v>0</v>
      </c>
      <c r="Z22" s="908">
        <f t="shared" si="2"/>
        <v>-134632889.00827658</v>
      </c>
      <c r="AA22" s="907">
        <f t="shared" si="2"/>
        <v>0</v>
      </c>
      <c r="AB22" s="907"/>
      <c r="AC22" s="907">
        <f t="shared" ref="AC22:AL22" si="3">SUM(AC18:AC21)</f>
        <v>0</v>
      </c>
      <c r="AD22" s="907">
        <f t="shared" si="3"/>
        <v>0</v>
      </c>
      <c r="AE22" s="907">
        <f t="shared" si="3"/>
        <v>0</v>
      </c>
      <c r="AF22" s="907">
        <f t="shared" si="3"/>
        <v>0</v>
      </c>
      <c r="AG22" s="907">
        <f t="shared" si="3"/>
        <v>0</v>
      </c>
      <c r="AH22" s="907">
        <f t="shared" si="3"/>
        <v>0</v>
      </c>
      <c r="AI22" s="907">
        <f t="shared" si="3"/>
        <v>0</v>
      </c>
      <c r="AJ22" s="907">
        <f t="shared" si="3"/>
        <v>0</v>
      </c>
      <c r="AK22" s="907">
        <f t="shared" si="3"/>
        <v>0</v>
      </c>
      <c r="AL22" s="907">
        <f t="shared" si="3"/>
        <v>0</v>
      </c>
      <c r="AM22" s="908">
        <f>SUM(D22:AL22)</f>
        <v>-328005320.95839441</v>
      </c>
      <c r="AN22" s="908">
        <f>AM22+C22</f>
        <v>2067334450.1216044</v>
      </c>
      <c r="AO22" s="909">
        <f>SUM(AO18:AO21)</f>
        <v>2395339771.079999</v>
      </c>
      <c r="AP22" s="908">
        <f>SUM(AP18:AP21)</f>
        <v>-328005320.95839441</v>
      </c>
      <c r="AQ22" s="908">
        <f>SUM(AQ18:AQ21)</f>
        <v>2067334450.1216042</v>
      </c>
      <c r="AR22" s="910">
        <f>SUM(AR18:AR21)</f>
        <v>144032066</v>
      </c>
      <c r="AS22" s="908">
        <f>SUM(AS18:AS21)</f>
        <v>2211366516.1216049</v>
      </c>
      <c r="AT22" s="902"/>
      <c r="AU22" s="1189">
        <f>AR22/AQ22</f>
        <v>6.9670423182629101E-2</v>
      </c>
      <c r="AV22" s="911">
        <f>SUM(AV18:AV21)</f>
        <v>75729222</v>
      </c>
      <c r="AW22" s="1188">
        <f>SUM(AW18:AW21)</f>
        <v>68302844</v>
      </c>
      <c r="AX22" s="1190">
        <f>AW22/AQ22</f>
        <v>3.3039087601903168E-2</v>
      </c>
    </row>
    <row r="23" spans="1:50">
      <c r="A23" s="888">
        <f t="shared" si="0"/>
        <v>7</v>
      </c>
      <c r="C23" s="896"/>
      <c r="D23" s="890" t="s">
        <v>253</v>
      </c>
      <c r="E23" s="890" t="s">
        <v>253</v>
      </c>
      <c r="F23" s="890"/>
      <c r="G23" s="890" t="s">
        <v>253</v>
      </c>
      <c r="H23" s="890" t="s">
        <v>253</v>
      </c>
      <c r="I23" s="890"/>
      <c r="J23" s="890"/>
      <c r="K23" s="890" t="s">
        <v>253</v>
      </c>
      <c r="L23" s="890"/>
      <c r="M23" s="890" t="s">
        <v>253</v>
      </c>
      <c r="N23" s="890" t="s">
        <v>253</v>
      </c>
      <c r="O23" s="890"/>
      <c r="P23" s="890" t="s">
        <v>253</v>
      </c>
      <c r="Q23" s="890"/>
      <c r="R23" s="890"/>
      <c r="S23" s="890" t="s">
        <v>253</v>
      </c>
      <c r="T23" s="890" t="s">
        <v>253</v>
      </c>
      <c r="U23" s="890" t="s">
        <v>253</v>
      </c>
      <c r="V23" s="890"/>
      <c r="W23" s="890"/>
      <c r="X23" s="890"/>
      <c r="Y23" s="890"/>
      <c r="Z23" s="890"/>
      <c r="AA23" s="890" t="s">
        <v>253</v>
      </c>
      <c r="AB23" s="890"/>
      <c r="AC23" s="890"/>
      <c r="AD23" s="890"/>
      <c r="AE23" s="890"/>
      <c r="AF23" s="890"/>
      <c r="AG23" s="890"/>
      <c r="AH23" s="890"/>
      <c r="AI23" s="890"/>
      <c r="AJ23" s="890"/>
      <c r="AK23" s="890"/>
      <c r="AL23" s="890" t="s">
        <v>253</v>
      </c>
      <c r="AM23" s="890"/>
      <c r="AN23" s="890"/>
      <c r="AO23" s="897"/>
      <c r="AP23" s="890"/>
      <c r="AQ23" s="890"/>
      <c r="AR23" s="897"/>
      <c r="AS23" s="897"/>
      <c r="AT23" s="902"/>
      <c r="AV23" s="897"/>
      <c r="AW23" s="897"/>
    </row>
    <row r="24" spans="1:50">
      <c r="A24" s="888">
        <f t="shared" si="0"/>
        <v>8</v>
      </c>
      <c r="B24" s="889" t="s">
        <v>270</v>
      </c>
      <c r="C24" s="896"/>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7"/>
      <c r="AP24" s="890"/>
      <c r="AQ24" s="890"/>
      <c r="AR24" s="897"/>
      <c r="AS24" s="897"/>
      <c r="AT24" s="890"/>
      <c r="AV24" s="897"/>
      <c r="AW24" s="897"/>
    </row>
    <row r="25" spans="1:50">
      <c r="A25" s="888">
        <f t="shared" si="0"/>
        <v>9</v>
      </c>
      <c r="C25" s="912"/>
      <c r="AO25" s="897"/>
      <c r="AR25" s="897"/>
      <c r="AS25" s="897"/>
      <c r="AT25" s="890"/>
      <c r="AV25" s="897"/>
      <c r="AW25" s="897"/>
    </row>
    <row r="26" spans="1:50">
      <c r="A26" s="888">
        <f t="shared" si="0"/>
        <v>10</v>
      </c>
      <c r="B26" s="889" t="s">
        <v>271</v>
      </c>
      <c r="C26" s="896"/>
      <c r="D26" s="890"/>
      <c r="E26" s="890"/>
      <c r="F26" s="890"/>
      <c r="G26" s="890"/>
      <c r="H26" s="890"/>
      <c r="I26" s="890"/>
      <c r="J26" s="890"/>
      <c r="K26" s="890"/>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890"/>
      <c r="AI26" s="890"/>
      <c r="AJ26" s="890"/>
      <c r="AK26" s="890"/>
      <c r="AL26" s="890"/>
      <c r="AM26" s="890"/>
      <c r="AN26" s="890"/>
      <c r="AO26" s="897"/>
      <c r="AP26" s="890"/>
      <c r="AQ26" s="890"/>
      <c r="AR26" s="897"/>
      <c r="AS26" s="897"/>
      <c r="AV26" s="897"/>
      <c r="AW26" s="897"/>
    </row>
    <row r="27" spans="1:50" ht="13.5">
      <c r="A27" s="888">
        <f t="shared" si="0"/>
        <v>11</v>
      </c>
      <c r="B27" s="889" t="s">
        <v>272</v>
      </c>
      <c r="C27" s="896">
        <v>235002886.5</v>
      </c>
      <c r="D27" s="896">
        <v>0</v>
      </c>
      <c r="E27" s="896"/>
      <c r="F27" s="896"/>
      <c r="G27" s="896">
        <v>0</v>
      </c>
      <c r="H27" s="896">
        <v>0</v>
      </c>
      <c r="I27" s="896">
        <v>0</v>
      </c>
      <c r="J27" s="896"/>
      <c r="K27" s="896">
        <v>0</v>
      </c>
      <c r="L27" s="896"/>
      <c r="M27" s="896">
        <v>0</v>
      </c>
      <c r="N27" s="896">
        <v>0</v>
      </c>
      <c r="O27" s="896">
        <v>0</v>
      </c>
      <c r="P27" s="896">
        <v>0</v>
      </c>
      <c r="Q27" s="896">
        <v>0</v>
      </c>
      <c r="R27" s="896">
        <v>0</v>
      </c>
      <c r="S27" s="896">
        <v>0</v>
      </c>
      <c r="T27" s="896">
        <v>0</v>
      </c>
      <c r="U27" s="896">
        <v>0</v>
      </c>
      <c r="V27" s="896"/>
      <c r="W27" s="896"/>
      <c r="X27" s="896"/>
      <c r="Y27" s="896"/>
      <c r="Z27" s="898">
        <v>-30426197.167161167</v>
      </c>
      <c r="AA27" s="896">
        <v>0</v>
      </c>
      <c r="AB27" s="896"/>
      <c r="AC27" s="896">
        <v>0</v>
      </c>
      <c r="AD27" s="896">
        <v>0</v>
      </c>
      <c r="AE27" s="896"/>
      <c r="AF27" s="896"/>
      <c r="AG27" s="896"/>
      <c r="AH27" s="896"/>
      <c r="AI27" s="896"/>
      <c r="AJ27" s="896"/>
      <c r="AK27" s="896"/>
      <c r="AL27" s="896"/>
      <c r="AM27" s="898">
        <f>SUM(D27:AL27)</f>
        <v>-30426197.167161167</v>
      </c>
      <c r="AN27" s="898">
        <f>AM27+C27</f>
        <v>204576689.33283883</v>
      </c>
      <c r="AO27" s="897">
        <f>C27</f>
        <v>235002886.5</v>
      </c>
      <c r="AP27" s="898">
        <f>+AM27</f>
        <v>-30426197.167161167</v>
      </c>
      <c r="AQ27" s="898">
        <f>SUM(AO27:AP27)</f>
        <v>204576689.33283883</v>
      </c>
      <c r="AR27" s="897">
        <v>0</v>
      </c>
      <c r="AS27" s="901">
        <f>SUM(AQ27:AR27)</f>
        <v>204576689.33283883</v>
      </c>
      <c r="AT27" s="890"/>
      <c r="AV27" s="899"/>
      <c r="AW27" s="900">
        <f>AR27-AV27</f>
        <v>0</v>
      </c>
    </row>
    <row r="28" spans="1:50" ht="13.5">
      <c r="A28" s="888">
        <f t="shared" si="0"/>
        <v>12</v>
      </c>
      <c r="B28" s="889" t="s">
        <v>273</v>
      </c>
      <c r="C28" s="896">
        <v>532346459.37</v>
      </c>
      <c r="D28" s="896"/>
      <c r="E28" s="896"/>
      <c r="F28" s="896"/>
      <c r="G28" s="896"/>
      <c r="H28" s="896"/>
      <c r="I28" s="896"/>
      <c r="J28" s="896"/>
      <c r="K28" s="896"/>
      <c r="L28" s="898">
        <v>10379.814252257231</v>
      </c>
      <c r="M28" s="896"/>
      <c r="N28" s="896"/>
      <c r="O28" s="896"/>
      <c r="P28" s="896"/>
      <c r="Q28" s="896"/>
      <c r="R28" s="896"/>
      <c r="S28" s="898">
        <v>130546.64316428918</v>
      </c>
      <c r="T28" s="896"/>
      <c r="U28" s="896"/>
      <c r="V28" s="896"/>
      <c r="W28" s="896"/>
      <c r="X28" s="896"/>
      <c r="Y28" s="896"/>
      <c r="Z28" s="898">
        <v>-85865130.718824834</v>
      </c>
      <c r="AA28" s="896"/>
      <c r="AB28" s="896"/>
      <c r="AC28" s="896"/>
      <c r="AD28" s="896"/>
      <c r="AE28" s="896"/>
      <c r="AF28" s="896"/>
      <c r="AG28" s="896"/>
      <c r="AH28" s="896"/>
      <c r="AI28" s="896"/>
      <c r="AJ28" s="896"/>
      <c r="AK28" s="896"/>
      <c r="AL28" s="898">
        <v>-3572.0629161372021</v>
      </c>
      <c r="AM28" s="898">
        <f>SUM(D28:AL28)</f>
        <v>-85727776.324324414</v>
      </c>
      <c r="AN28" s="898">
        <f>AM28+C28</f>
        <v>446618683.04567558</v>
      </c>
      <c r="AO28" s="897">
        <f>C28</f>
        <v>532346459.37</v>
      </c>
      <c r="AP28" s="898">
        <f>+AM28</f>
        <v>-85727776.324324414</v>
      </c>
      <c r="AQ28" s="898">
        <f>SUM(AO28:AP28)</f>
        <v>446618683.04567558</v>
      </c>
      <c r="AR28" s="897"/>
      <c r="AS28" s="901">
        <f>SUM(AQ28:AR28)</f>
        <v>446618683.04567558</v>
      </c>
      <c r="AT28" s="893"/>
      <c r="AV28" s="899"/>
      <c r="AW28" s="900">
        <f>AR28-AV28</f>
        <v>0</v>
      </c>
    </row>
    <row r="29" spans="1:50" ht="13.5">
      <c r="A29" s="888">
        <f t="shared" si="0"/>
        <v>13</v>
      </c>
      <c r="B29" s="889" t="s">
        <v>274</v>
      </c>
      <c r="C29" s="896">
        <v>113800193.219999</v>
      </c>
      <c r="D29" s="896"/>
      <c r="E29" s="896"/>
      <c r="F29" s="896"/>
      <c r="G29" s="896"/>
      <c r="H29" s="896"/>
      <c r="I29" s="896"/>
      <c r="J29" s="896"/>
      <c r="K29" s="896"/>
      <c r="L29" s="896"/>
      <c r="M29" s="896"/>
      <c r="N29" s="896"/>
      <c r="O29" s="896"/>
      <c r="P29" s="896"/>
      <c r="Q29" s="896"/>
      <c r="R29" s="896"/>
      <c r="S29" s="896"/>
      <c r="T29" s="896"/>
      <c r="U29" s="896"/>
      <c r="V29" s="896"/>
      <c r="W29" s="896"/>
      <c r="X29" s="896"/>
      <c r="Y29" s="896"/>
      <c r="Z29" s="898">
        <v>-5239435.2907644957</v>
      </c>
      <c r="AA29" s="896"/>
      <c r="AB29" s="896"/>
      <c r="AC29" s="896"/>
      <c r="AD29" s="896"/>
      <c r="AE29" s="896">
        <v>0</v>
      </c>
      <c r="AF29" s="896"/>
      <c r="AG29" s="896"/>
      <c r="AH29" s="896"/>
      <c r="AI29" s="896"/>
      <c r="AJ29" s="896"/>
      <c r="AK29" s="896"/>
      <c r="AL29" s="896"/>
      <c r="AM29" s="898">
        <f>SUM(D29:AL29)</f>
        <v>-5239435.2907644957</v>
      </c>
      <c r="AN29" s="898">
        <f>AM29+C29</f>
        <v>108560757.9292345</v>
      </c>
      <c r="AO29" s="897">
        <f>C29</f>
        <v>113800193.219999</v>
      </c>
      <c r="AP29" s="898">
        <f>+AM29</f>
        <v>-5239435.2907644957</v>
      </c>
      <c r="AQ29" s="898">
        <f>SUM(AO29:AP29)</f>
        <v>108560757.9292345</v>
      </c>
      <c r="AR29" s="897"/>
      <c r="AS29" s="901">
        <f>SUM(AQ29:AR29)</f>
        <v>108560757.9292345</v>
      </c>
      <c r="AT29" s="896"/>
      <c r="AV29" s="899"/>
      <c r="AW29" s="900">
        <f>AR29-AV29</f>
        <v>0</v>
      </c>
    </row>
    <row r="30" spans="1:50" ht="13.5">
      <c r="A30" s="888">
        <f t="shared" si="0"/>
        <v>14</v>
      </c>
      <c r="B30" s="859" t="s">
        <v>115</v>
      </c>
      <c r="C30" s="913">
        <v>-69268219.669999897</v>
      </c>
      <c r="D30" s="913"/>
      <c r="E30" s="913"/>
      <c r="F30" s="913">
        <v>69268219.670000002</v>
      </c>
      <c r="G30" s="913"/>
      <c r="H30" s="913"/>
      <c r="I30" s="913"/>
      <c r="J30" s="913"/>
      <c r="K30" s="913"/>
      <c r="L30" s="913"/>
      <c r="M30" s="913"/>
      <c r="N30" s="913"/>
      <c r="O30" s="913"/>
      <c r="P30" s="913"/>
      <c r="Q30" s="913"/>
      <c r="R30" s="913"/>
      <c r="S30" s="913"/>
      <c r="T30" s="913"/>
      <c r="U30" s="913"/>
      <c r="V30" s="913"/>
      <c r="W30" s="913"/>
      <c r="X30" s="913"/>
      <c r="Y30" s="913"/>
      <c r="Z30" s="914"/>
      <c r="AA30" s="913"/>
      <c r="AB30" s="913"/>
      <c r="AC30" s="913"/>
      <c r="AD30" s="913"/>
      <c r="AE30" s="913"/>
      <c r="AF30" s="913"/>
      <c r="AG30" s="913"/>
      <c r="AH30" s="913"/>
      <c r="AI30" s="913"/>
      <c r="AJ30" s="913"/>
      <c r="AK30" s="913"/>
      <c r="AL30" s="913"/>
      <c r="AM30" s="913">
        <f>SUM(D30:AL30)</f>
        <v>69268219.670000002</v>
      </c>
      <c r="AN30" s="913">
        <f>AM30+C30</f>
        <v>0</v>
      </c>
      <c r="AO30" s="915">
        <f>C30</f>
        <v>-69268219.669999897</v>
      </c>
      <c r="AP30" s="913">
        <f>+AM30</f>
        <v>69268219.670000002</v>
      </c>
      <c r="AQ30" s="913">
        <f>SUM(AO30:AP30)</f>
        <v>0</v>
      </c>
      <c r="AR30" s="915"/>
      <c r="AS30" s="915">
        <f>SUM(AQ30:AR30)</f>
        <v>0</v>
      </c>
      <c r="AT30" s="896"/>
      <c r="AV30" s="915"/>
      <c r="AW30" s="900">
        <f>AR30-AV30</f>
        <v>0</v>
      </c>
    </row>
    <row r="31" spans="1:50" ht="15" customHeight="1">
      <c r="A31" s="888">
        <f t="shared" si="0"/>
        <v>15</v>
      </c>
      <c r="B31" s="889" t="s">
        <v>275</v>
      </c>
      <c r="C31" s="907">
        <f>SUM(C27:C30)</f>
        <v>811881319.41999912</v>
      </c>
      <c r="D31" s="907">
        <f>SUM(D27:D30)</f>
        <v>0</v>
      </c>
      <c r="E31" s="907">
        <f>SUM(E27:E30)</f>
        <v>0</v>
      </c>
      <c r="F31" s="907">
        <f>SUM(F26:F30)</f>
        <v>69268219.670000002</v>
      </c>
      <c r="G31" s="907">
        <f>SUM(G27:G30)</f>
        <v>0</v>
      </c>
      <c r="H31" s="907">
        <f>SUM(H27:H30)</f>
        <v>0</v>
      </c>
      <c r="I31" s="907">
        <f>SUM(I27:I30)</f>
        <v>0</v>
      </c>
      <c r="J31" s="907">
        <f>SUM(J26:J30)</f>
        <v>0</v>
      </c>
      <c r="K31" s="907">
        <f>SUM(K27:K30)</f>
        <v>0</v>
      </c>
      <c r="L31" s="908">
        <f t="shared" ref="L31:Y31" si="4">SUM(L26:L30)</f>
        <v>10379.814252257231</v>
      </c>
      <c r="M31" s="907">
        <f t="shared" si="4"/>
        <v>0</v>
      </c>
      <c r="N31" s="907">
        <f t="shared" si="4"/>
        <v>0</v>
      </c>
      <c r="O31" s="907">
        <f t="shared" si="4"/>
        <v>0</v>
      </c>
      <c r="P31" s="907">
        <f t="shared" si="4"/>
        <v>0</v>
      </c>
      <c r="Q31" s="907">
        <f t="shared" si="4"/>
        <v>0</v>
      </c>
      <c r="R31" s="907">
        <f t="shared" si="4"/>
        <v>0</v>
      </c>
      <c r="S31" s="908">
        <f t="shared" si="4"/>
        <v>130546.64316428918</v>
      </c>
      <c r="T31" s="907">
        <f t="shared" si="4"/>
        <v>0</v>
      </c>
      <c r="U31" s="907">
        <f t="shared" si="4"/>
        <v>0</v>
      </c>
      <c r="V31" s="907">
        <f t="shared" si="4"/>
        <v>0</v>
      </c>
      <c r="W31" s="907">
        <f t="shared" si="4"/>
        <v>0</v>
      </c>
      <c r="X31" s="907">
        <f t="shared" si="4"/>
        <v>0</v>
      </c>
      <c r="Y31" s="907">
        <f t="shared" si="4"/>
        <v>0</v>
      </c>
      <c r="Z31" s="908">
        <f>SUM(Z27:Z30)</f>
        <v>-121530763.1767505</v>
      </c>
      <c r="AA31" s="907">
        <f>SUM(AA26:AA30)</f>
        <v>0</v>
      </c>
      <c r="AB31" s="907">
        <f>SUM(AB26:AB30)</f>
        <v>0</v>
      </c>
      <c r="AC31" s="907">
        <f>SUM(AC26:AC30)</f>
        <v>0</v>
      </c>
      <c r="AD31" s="907">
        <f>SUM(AD27:AD30)</f>
        <v>0</v>
      </c>
      <c r="AE31" s="907">
        <f t="shared" ref="AE31:AL31" si="5">SUM(AE26:AE30)</f>
        <v>0</v>
      </c>
      <c r="AF31" s="907">
        <f t="shared" si="5"/>
        <v>0</v>
      </c>
      <c r="AG31" s="907">
        <f t="shared" si="5"/>
        <v>0</v>
      </c>
      <c r="AH31" s="907">
        <f t="shared" si="5"/>
        <v>0</v>
      </c>
      <c r="AI31" s="907">
        <f t="shared" si="5"/>
        <v>0</v>
      </c>
      <c r="AJ31" s="907">
        <f t="shared" si="5"/>
        <v>0</v>
      </c>
      <c r="AK31" s="907">
        <f t="shared" si="5"/>
        <v>0</v>
      </c>
      <c r="AL31" s="908">
        <f t="shared" si="5"/>
        <v>-3572.0629161372021</v>
      </c>
      <c r="AM31" s="908">
        <f>SUM(D31:AL31)</f>
        <v>-52125189.112250082</v>
      </c>
      <c r="AN31" s="908">
        <f>AM31+C31</f>
        <v>759756130.30774903</v>
      </c>
      <c r="AO31" s="909">
        <f>SUM(AO27:AO30)</f>
        <v>811881319.41999912</v>
      </c>
      <c r="AP31" s="908">
        <f>SUM(AP27:AP30)</f>
        <v>-52125189.112250075</v>
      </c>
      <c r="AQ31" s="908">
        <f>SUM(AQ27:AQ30)</f>
        <v>759756130.30774891</v>
      </c>
      <c r="AR31" s="909">
        <f>SUM(AR27:AR30)</f>
        <v>0</v>
      </c>
      <c r="AS31" s="908">
        <f>SUM(AS27:AS30)</f>
        <v>759756130.30774891</v>
      </c>
      <c r="AT31" s="902"/>
      <c r="AV31" s="911"/>
      <c r="AW31" s="911">
        <f>SUM(AW27:AW30)</f>
        <v>0</v>
      </c>
    </row>
    <row r="32" spans="1:50">
      <c r="A32" s="888">
        <f t="shared" si="0"/>
        <v>16</v>
      </c>
      <c r="B32" s="889"/>
      <c r="C32" s="891"/>
      <c r="D32" s="891"/>
      <c r="E32" s="891"/>
      <c r="F32" s="891"/>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891"/>
      <c r="AJ32" s="891"/>
      <c r="AK32" s="891"/>
      <c r="AL32" s="891"/>
      <c r="AM32" s="891"/>
      <c r="AN32" s="891"/>
      <c r="AO32" s="897"/>
      <c r="AP32" s="891"/>
      <c r="AQ32" s="891"/>
      <c r="AR32" s="897"/>
      <c r="AS32" s="897"/>
      <c r="AT32" s="902"/>
      <c r="AV32" s="897"/>
      <c r="AW32" s="897"/>
    </row>
    <row r="33" spans="1:49" ht="13.5">
      <c r="A33" s="888">
        <f t="shared" si="0"/>
        <v>17</v>
      </c>
      <c r="B33" s="916" t="s">
        <v>230</v>
      </c>
      <c r="C33" s="896">
        <v>125897437.02</v>
      </c>
      <c r="D33" s="896">
        <v>0</v>
      </c>
      <c r="E33" s="896"/>
      <c r="F33" s="896">
        <v>0</v>
      </c>
      <c r="G33" s="896">
        <v>0</v>
      </c>
      <c r="H33" s="896">
        <v>0</v>
      </c>
      <c r="I33" s="896">
        <v>0</v>
      </c>
      <c r="J33" s="896">
        <v>0</v>
      </c>
      <c r="K33" s="896">
        <v>0</v>
      </c>
      <c r="L33" s="898">
        <v>25958.659866420552</v>
      </c>
      <c r="M33" s="896">
        <v>0</v>
      </c>
      <c r="N33" s="896">
        <v>0</v>
      </c>
      <c r="O33" s="896">
        <v>0</v>
      </c>
      <c r="P33" s="896">
        <v>0</v>
      </c>
      <c r="Q33" s="896">
        <v>0</v>
      </c>
      <c r="R33" s="896">
        <v>0</v>
      </c>
      <c r="S33" s="898">
        <v>311867.36638930067</v>
      </c>
      <c r="T33" s="896">
        <v>0</v>
      </c>
      <c r="U33" s="896">
        <v>0</v>
      </c>
      <c r="V33" s="896"/>
      <c r="W33" s="896"/>
      <c r="X33" s="896"/>
      <c r="Y33" s="896"/>
      <c r="Z33" s="896">
        <v>9584908.9536754489</v>
      </c>
      <c r="AA33" s="896">
        <v>0</v>
      </c>
      <c r="AB33" s="896">
        <v>0</v>
      </c>
      <c r="AC33" s="896">
        <v>0</v>
      </c>
      <c r="AD33" s="896">
        <v>0</v>
      </c>
      <c r="AE33" s="896"/>
      <c r="AF33" s="896">
        <v>0</v>
      </c>
      <c r="AG33" s="896">
        <v>0</v>
      </c>
      <c r="AH33" s="896">
        <v>0</v>
      </c>
      <c r="AI33" s="896">
        <v>0</v>
      </c>
      <c r="AJ33" s="896">
        <v>0</v>
      </c>
      <c r="AK33" s="896"/>
      <c r="AL33" s="898">
        <v>-8562.8762875037664</v>
      </c>
      <c r="AM33" s="898">
        <f t="shared" ref="AM33:AM47" si="6">SUM(D33:AL33)</f>
        <v>9914172.103643667</v>
      </c>
      <c r="AN33" s="898">
        <f t="shared" ref="AN33:AN47" si="7">AM33+C33</f>
        <v>135811609.12364367</v>
      </c>
      <c r="AO33" s="897">
        <f t="shared" ref="AO33:AO47" si="8">C33</f>
        <v>125897437.02</v>
      </c>
      <c r="AP33" s="898">
        <f t="shared" ref="AP33:AP47" si="9">+AM33</f>
        <v>9914172.103643667</v>
      </c>
      <c r="AQ33" s="898">
        <f t="shared" ref="AQ33:AQ47" si="10">SUM(AO33:AP33)</f>
        <v>135811609.12364367</v>
      </c>
      <c r="AR33" s="897">
        <v>0</v>
      </c>
      <c r="AS33" s="901">
        <f t="shared" ref="AS33:AS47" si="11">SUM(AQ33:AR33)</f>
        <v>135811609.12364367</v>
      </c>
      <c r="AT33" s="891"/>
      <c r="AV33" s="899"/>
      <c r="AW33" s="900">
        <f t="shared" ref="AW33:AW47" si="12">AR33-AV33</f>
        <v>0</v>
      </c>
    </row>
    <row r="34" spans="1:49" s="859" customFormat="1" ht="13.5">
      <c r="A34" s="888">
        <f t="shared" si="0"/>
        <v>18</v>
      </c>
      <c r="B34" s="889" t="s">
        <v>276</v>
      </c>
      <c r="C34" s="896">
        <v>20270050.379999898</v>
      </c>
      <c r="D34" s="896"/>
      <c r="E34" s="896"/>
      <c r="F34" s="896"/>
      <c r="G34" s="896"/>
      <c r="H34" s="896"/>
      <c r="I34" s="896"/>
      <c r="J34" s="896"/>
      <c r="K34" s="896">
        <v>0</v>
      </c>
      <c r="L34" s="898">
        <v>17172.273207784747</v>
      </c>
      <c r="M34" s="896"/>
      <c r="N34" s="896"/>
      <c r="O34" s="896"/>
      <c r="P34" s="896"/>
      <c r="Q34" s="896"/>
      <c r="R34" s="896"/>
      <c r="S34" s="898">
        <v>213679.20856288634</v>
      </c>
      <c r="T34" s="896"/>
      <c r="U34" s="896"/>
      <c r="V34" s="896"/>
      <c r="W34" s="896"/>
      <c r="X34" s="896"/>
      <c r="Y34" s="896"/>
      <c r="Z34" s="896">
        <v>-16783.132549889968</v>
      </c>
      <c r="AA34" s="896"/>
      <c r="AB34" s="896"/>
      <c r="AC34" s="896"/>
      <c r="AD34" s="917">
        <v>-131868.25166666671</v>
      </c>
      <c r="AE34" s="896"/>
      <c r="AF34" s="917"/>
      <c r="AG34" s="917"/>
      <c r="AH34" s="917"/>
      <c r="AI34" s="917"/>
      <c r="AJ34" s="917"/>
      <c r="AK34" s="917"/>
      <c r="AL34" s="896"/>
      <c r="AM34" s="898">
        <f t="shared" si="6"/>
        <v>82200.097554114414</v>
      </c>
      <c r="AN34" s="898">
        <f t="shared" si="7"/>
        <v>20352250.477554012</v>
      </c>
      <c r="AO34" s="897">
        <f t="shared" si="8"/>
        <v>20270050.379999898</v>
      </c>
      <c r="AP34" s="903">
        <f t="shared" si="9"/>
        <v>82200.097554114414</v>
      </c>
      <c r="AQ34" s="903">
        <f t="shared" si="10"/>
        <v>20352250.477554012</v>
      </c>
      <c r="AR34" s="897"/>
      <c r="AS34" s="903">
        <f t="shared" si="11"/>
        <v>20352250.477554012</v>
      </c>
      <c r="AT34" s="893"/>
      <c r="AU34" s="867"/>
      <c r="AV34" s="918"/>
      <c r="AW34" s="900">
        <f t="shared" si="12"/>
        <v>0</v>
      </c>
    </row>
    <row r="35" spans="1:49" s="859" customFormat="1" ht="13.5">
      <c r="A35" s="888">
        <f t="shared" si="0"/>
        <v>19</v>
      </c>
      <c r="B35" s="889" t="s">
        <v>277</v>
      </c>
      <c r="C35" s="896">
        <v>83356029.179999903</v>
      </c>
      <c r="D35" s="896"/>
      <c r="E35" s="896"/>
      <c r="F35" s="896"/>
      <c r="G35" s="896"/>
      <c r="H35" s="896"/>
      <c r="I35" s="896"/>
      <c r="J35" s="896"/>
      <c r="K35" s="896">
        <v>0</v>
      </c>
      <c r="L35" s="898">
        <v>28486.544004048221</v>
      </c>
      <c r="M35" s="896"/>
      <c r="N35" s="896"/>
      <c r="O35" s="896"/>
      <c r="P35" s="896"/>
      <c r="Q35" s="896"/>
      <c r="R35" s="896"/>
      <c r="S35" s="898">
        <v>340008.31331337243</v>
      </c>
      <c r="T35" s="896"/>
      <c r="U35" s="896"/>
      <c r="V35" s="896"/>
      <c r="W35" s="896"/>
      <c r="X35" s="896"/>
      <c r="Y35" s="896"/>
      <c r="Z35" s="896"/>
      <c r="AA35" s="896"/>
      <c r="AB35" s="896"/>
      <c r="AC35" s="896"/>
      <c r="AD35" s="896">
        <v>-271443.23000000231</v>
      </c>
      <c r="AE35" s="896"/>
      <c r="AF35" s="896"/>
      <c r="AG35" s="896"/>
      <c r="AH35" s="896"/>
      <c r="AI35" s="896"/>
      <c r="AJ35" s="896"/>
      <c r="AK35" s="896"/>
      <c r="AL35" s="896"/>
      <c r="AM35" s="898">
        <f t="shared" si="6"/>
        <v>97051.627317418344</v>
      </c>
      <c r="AN35" s="898">
        <f t="shared" si="7"/>
        <v>83453080.807317317</v>
      </c>
      <c r="AO35" s="897">
        <f t="shared" si="8"/>
        <v>83356029.179999903</v>
      </c>
      <c r="AP35" s="903">
        <f t="shared" si="9"/>
        <v>97051.627317418344</v>
      </c>
      <c r="AQ35" s="903">
        <f t="shared" si="10"/>
        <v>83453080.807317317</v>
      </c>
      <c r="AR35" s="897"/>
      <c r="AS35" s="903">
        <f t="shared" si="11"/>
        <v>83453080.807317317</v>
      </c>
      <c r="AT35" s="896"/>
      <c r="AU35" s="867"/>
      <c r="AV35" s="918"/>
      <c r="AW35" s="900">
        <f t="shared" si="12"/>
        <v>0</v>
      </c>
    </row>
    <row r="36" spans="1:49" ht="13.5">
      <c r="A36" s="888">
        <f t="shared" si="0"/>
        <v>20</v>
      </c>
      <c r="B36" s="889" t="s">
        <v>55</v>
      </c>
      <c r="C36" s="896">
        <v>47600166.421824999</v>
      </c>
      <c r="D36" s="896">
        <v>-206560.42365471341</v>
      </c>
      <c r="E36" s="893">
        <v>202638</v>
      </c>
      <c r="F36" s="896">
        <v>-1378053.9992858302</v>
      </c>
      <c r="G36" s="896"/>
      <c r="H36" s="896"/>
      <c r="I36" s="896"/>
      <c r="J36" s="896"/>
      <c r="K36" s="898">
        <v>-1047792</v>
      </c>
      <c r="L36" s="898">
        <v>10494.29780534911</v>
      </c>
      <c r="M36" s="896"/>
      <c r="N36" s="898">
        <v>176605.63064400846</v>
      </c>
      <c r="O36" s="896"/>
      <c r="P36" s="896"/>
      <c r="Q36" s="896"/>
      <c r="R36" s="896"/>
      <c r="S36" s="898">
        <v>122230.25261568837</v>
      </c>
      <c r="T36" s="896"/>
      <c r="U36" s="896"/>
      <c r="V36" s="896"/>
      <c r="W36" s="896">
        <v>4750001.9585469235</v>
      </c>
      <c r="X36" s="896"/>
      <c r="Y36" s="896"/>
      <c r="Z36" s="896"/>
      <c r="AA36" s="896"/>
      <c r="AB36" s="896"/>
      <c r="AC36" s="896"/>
      <c r="AD36" s="896"/>
      <c r="AE36" s="896"/>
      <c r="AF36" s="896"/>
      <c r="AG36" s="896"/>
      <c r="AH36" s="896"/>
      <c r="AI36" s="896"/>
      <c r="AJ36" s="896"/>
      <c r="AK36" s="896"/>
      <c r="AL36" s="896"/>
      <c r="AM36" s="898">
        <f t="shared" si="6"/>
        <v>2629563.7166714258</v>
      </c>
      <c r="AN36" s="898">
        <f t="shared" si="7"/>
        <v>50229730.138496429</v>
      </c>
      <c r="AO36" s="897">
        <f t="shared" si="8"/>
        <v>47600166.421824999</v>
      </c>
      <c r="AP36" s="903">
        <f t="shared" si="9"/>
        <v>2629563.7166714258</v>
      </c>
      <c r="AQ36" s="903">
        <f t="shared" si="10"/>
        <v>50229730.138496429</v>
      </c>
      <c r="AR36" s="901">
        <v>1030837.496362</v>
      </c>
      <c r="AS36" s="903">
        <f t="shared" si="11"/>
        <v>51260567.634858429</v>
      </c>
      <c r="AT36" s="896"/>
      <c r="AV36" s="919">
        <v>541994.04185400007</v>
      </c>
      <c r="AW36" s="900">
        <f t="shared" si="12"/>
        <v>488843.45450799994</v>
      </c>
    </row>
    <row r="37" spans="1:49" ht="13.5">
      <c r="A37" s="888">
        <f t="shared" si="0"/>
        <v>21</v>
      </c>
      <c r="B37" s="889" t="s">
        <v>238</v>
      </c>
      <c r="C37" s="896">
        <v>19829127.240927998</v>
      </c>
      <c r="D37" s="896"/>
      <c r="E37" s="896"/>
      <c r="F37" s="896">
        <v>-17275568.259999998</v>
      </c>
      <c r="G37" s="896"/>
      <c r="H37" s="896"/>
      <c r="I37" s="896"/>
      <c r="J37" s="896"/>
      <c r="K37" s="896"/>
      <c r="L37" s="898">
        <v>3372.6260396867092</v>
      </c>
      <c r="M37" s="896"/>
      <c r="N37" s="896"/>
      <c r="O37" s="896"/>
      <c r="P37" s="896"/>
      <c r="Q37" s="896"/>
      <c r="R37" s="896"/>
      <c r="S37" s="898">
        <v>41683.28304620026</v>
      </c>
      <c r="T37" s="896"/>
      <c r="U37" s="896"/>
      <c r="V37" s="896"/>
      <c r="W37" s="896"/>
      <c r="X37" s="896"/>
      <c r="Y37" s="896"/>
      <c r="Z37" s="896"/>
      <c r="AA37" s="896"/>
      <c r="AB37" s="896"/>
      <c r="AC37" s="896"/>
      <c r="AD37" s="896"/>
      <c r="AE37" s="896"/>
      <c r="AF37" s="896"/>
      <c r="AG37" s="896"/>
      <c r="AH37" s="896"/>
      <c r="AI37" s="896"/>
      <c r="AJ37" s="896"/>
      <c r="AK37" s="896"/>
      <c r="AL37" s="896"/>
      <c r="AM37" s="898">
        <f t="shared" si="6"/>
        <v>-17230512.350914109</v>
      </c>
      <c r="AN37" s="898">
        <f t="shared" si="7"/>
        <v>2598614.8900138885</v>
      </c>
      <c r="AO37" s="897">
        <f t="shared" si="8"/>
        <v>19829127.240927998</v>
      </c>
      <c r="AP37" s="903">
        <f t="shared" si="9"/>
        <v>-17230512.350914109</v>
      </c>
      <c r="AQ37" s="903">
        <f t="shared" si="10"/>
        <v>2598614.8900138885</v>
      </c>
      <c r="AR37" s="897"/>
      <c r="AS37" s="903">
        <f t="shared" si="11"/>
        <v>2598614.8900138885</v>
      </c>
      <c r="AT37" s="896"/>
      <c r="AV37" s="919"/>
      <c r="AW37" s="900">
        <f t="shared" si="12"/>
        <v>0</v>
      </c>
    </row>
    <row r="38" spans="1:49" ht="13.5">
      <c r="A38" s="888">
        <f t="shared" si="0"/>
        <v>22</v>
      </c>
      <c r="B38" s="889" t="s">
        <v>244</v>
      </c>
      <c r="C38" s="896">
        <v>97566974.959999993</v>
      </c>
      <c r="D38" s="896"/>
      <c r="E38" s="896"/>
      <c r="F38" s="896">
        <v>-97540765.159999996</v>
      </c>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f t="shared" si="6"/>
        <v>-97540765.159999996</v>
      </c>
      <c r="AN38" s="896">
        <f t="shared" si="7"/>
        <v>26209.79999999702</v>
      </c>
      <c r="AO38" s="897">
        <f t="shared" si="8"/>
        <v>97566974.959999993</v>
      </c>
      <c r="AP38" s="902">
        <f t="shared" si="9"/>
        <v>-97540765.159999996</v>
      </c>
      <c r="AQ38" s="902">
        <f t="shared" si="10"/>
        <v>26209.79999999702</v>
      </c>
      <c r="AR38" s="897"/>
      <c r="AS38" s="897">
        <f t="shared" si="11"/>
        <v>26209.79999999702</v>
      </c>
      <c r="AT38" s="896"/>
      <c r="AV38" s="897"/>
      <c r="AW38" s="900">
        <f t="shared" si="12"/>
        <v>0</v>
      </c>
    </row>
    <row r="39" spans="1:49" ht="13.5">
      <c r="A39" s="888">
        <f t="shared" si="0"/>
        <v>23</v>
      </c>
      <c r="B39" s="889" t="s">
        <v>245</v>
      </c>
      <c r="C39" s="896">
        <v>114599758.581515</v>
      </c>
      <c r="D39" s="896">
        <v>-57722.627820235684</v>
      </c>
      <c r="E39" s="896">
        <v>56627</v>
      </c>
      <c r="F39" s="896">
        <v>-426522.21638000006</v>
      </c>
      <c r="G39" s="896"/>
      <c r="H39" s="896"/>
      <c r="I39" s="896" t="s">
        <v>253</v>
      </c>
      <c r="J39" s="896">
        <v>-106750.2786706667</v>
      </c>
      <c r="K39" s="896"/>
      <c r="L39" s="898">
        <v>63226.904854136286</v>
      </c>
      <c r="M39" s="896">
        <v>-24832.496714436435</v>
      </c>
      <c r="N39" s="896"/>
      <c r="O39" s="920">
        <v>407545.487356</v>
      </c>
      <c r="P39" s="896"/>
      <c r="Q39" s="920">
        <v>-101764.80083986348</v>
      </c>
      <c r="R39" s="920">
        <v>1822992.9925739774</v>
      </c>
      <c r="S39" s="898">
        <v>795244.97081179544</v>
      </c>
      <c r="T39" s="898">
        <v>148775.67639789265</v>
      </c>
      <c r="U39" s="896">
        <v>187308.92923393101</v>
      </c>
      <c r="V39" s="896"/>
      <c r="W39" s="896"/>
      <c r="X39" s="896">
        <v>-363750.12810969783</v>
      </c>
      <c r="Y39" s="896">
        <v>-51913.275359999388</v>
      </c>
      <c r="Z39" s="896"/>
      <c r="AA39" s="896"/>
      <c r="AB39" s="896"/>
      <c r="AC39" s="896"/>
      <c r="AD39" s="896"/>
      <c r="AE39" s="896"/>
      <c r="AF39" s="896"/>
      <c r="AG39" s="896"/>
      <c r="AH39" s="896"/>
      <c r="AI39" s="896"/>
      <c r="AJ39" s="896"/>
      <c r="AK39" s="896"/>
      <c r="AL39" s="898">
        <v>-283478.56778138079</v>
      </c>
      <c r="AM39" s="898">
        <f t="shared" si="6"/>
        <v>2064987.5695514525</v>
      </c>
      <c r="AN39" s="898">
        <f t="shared" si="7"/>
        <v>116664746.15106645</v>
      </c>
      <c r="AO39" s="897">
        <f t="shared" si="8"/>
        <v>114599758.581515</v>
      </c>
      <c r="AP39" s="903">
        <f t="shared" si="9"/>
        <v>2064987.5695514525</v>
      </c>
      <c r="AQ39" s="903">
        <f t="shared" si="10"/>
        <v>116664746.15106645</v>
      </c>
      <c r="AR39" s="901">
        <v>288064.13199999998</v>
      </c>
      <c r="AS39" s="903">
        <f t="shared" si="11"/>
        <v>116952810.28306645</v>
      </c>
      <c r="AT39" s="896"/>
      <c r="AV39" s="919">
        <f>AV22*keep_WUTC_FILING_FEE</f>
        <v>151458.44400000002</v>
      </c>
      <c r="AW39" s="900">
        <f>AR39-AV39</f>
        <v>136605.68799999997</v>
      </c>
    </row>
    <row r="40" spans="1:49" ht="13.5">
      <c r="A40" s="888">
        <f t="shared" si="0"/>
        <v>24</v>
      </c>
      <c r="B40" s="889" t="s">
        <v>332</v>
      </c>
      <c r="C40" s="896">
        <v>268356984.80397999</v>
      </c>
      <c r="D40" s="896"/>
      <c r="E40" s="896"/>
      <c r="F40" s="896"/>
      <c r="G40" s="896"/>
      <c r="H40" s="896"/>
      <c r="I40" s="896">
        <v>53998972.749988943</v>
      </c>
      <c r="J40" s="896"/>
      <c r="K40" s="896"/>
      <c r="L40" s="896"/>
      <c r="M40" s="896"/>
      <c r="N40" s="896"/>
      <c r="O40" s="896"/>
      <c r="P40" s="896"/>
      <c r="Q40" s="896"/>
      <c r="R40" s="896"/>
      <c r="S40" s="896"/>
      <c r="T40" s="896"/>
      <c r="U40" s="896"/>
      <c r="V40" s="896"/>
      <c r="W40" s="896"/>
      <c r="X40" s="896">
        <v>-304013.62553715741</v>
      </c>
      <c r="Y40" s="896"/>
      <c r="Z40" s="896"/>
      <c r="AA40" s="896"/>
      <c r="AB40" s="896">
        <v>-212138.37865459672</v>
      </c>
      <c r="AC40" s="896"/>
      <c r="AD40" s="896"/>
      <c r="AE40" s="896"/>
      <c r="AF40" s="896">
        <v>223831.26558229775</v>
      </c>
      <c r="AG40" s="863"/>
      <c r="AH40" s="896">
        <v>-3317.0689883994637</v>
      </c>
      <c r="AI40" s="896">
        <v>0</v>
      </c>
      <c r="AJ40" s="896"/>
      <c r="AK40" s="896"/>
      <c r="AL40" s="896">
        <v>-3796102.255248819</v>
      </c>
      <c r="AM40" s="896">
        <f t="shared" si="6"/>
        <v>49907232.687142268</v>
      </c>
      <c r="AN40" s="896">
        <f t="shared" si="7"/>
        <v>318264217.49112225</v>
      </c>
      <c r="AO40" s="897">
        <f t="shared" si="8"/>
        <v>268356984.80397999</v>
      </c>
      <c r="AP40" s="902">
        <f t="shared" si="9"/>
        <v>49907232.687142268</v>
      </c>
      <c r="AQ40" s="902">
        <f t="shared" si="10"/>
        <v>318264217.49112225</v>
      </c>
      <c r="AR40" s="897"/>
      <c r="AS40" s="902">
        <f t="shared" si="11"/>
        <v>318264217.49112225</v>
      </c>
      <c r="AT40" s="896"/>
      <c r="AV40" s="921"/>
      <c r="AW40" s="900">
        <f t="shared" si="12"/>
        <v>0</v>
      </c>
    </row>
    <row r="41" spans="1:49" ht="13.5">
      <c r="A41" s="888">
        <f t="shared" si="0"/>
        <v>25</v>
      </c>
      <c r="B41" s="889" t="s">
        <v>90</v>
      </c>
      <c r="C41" s="896">
        <v>45684974.945897996</v>
      </c>
      <c r="D41" s="896"/>
      <c r="E41" s="896"/>
      <c r="F41" s="896"/>
      <c r="G41" s="896"/>
      <c r="H41" s="896"/>
      <c r="I41" s="896">
        <v>-751878.87284983043</v>
      </c>
      <c r="J41" s="896"/>
      <c r="K41" s="896"/>
      <c r="L41" s="896"/>
      <c r="M41" s="896"/>
      <c r="N41" s="896"/>
      <c r="O41" s="896"/>
      <c r="P41" s="896"/>
      <c r="Q41" s="896"/>
      <c r="R41" s="896"/>
      <c r="S41" s="896"/>
      <c r="T41" s="896"/>
      <c r="U41" s="896"/>
      <c r="V41" s="896"/>
      <c r="W41" s="896"/>
      <c r="X41" s="896"/>
      <c r="Y41" s="896"/>
      <c r="Z41" s="896"/>
      <c r="AA41" s="896"/>
      <c r="AB41" s="896"/>
      <c r="AC41" s="896"/>
      <c r="AE41" s="896"/>
      <c r="AG41" s="896">
        <v>5373410.6000000006</v>
      </c>
      <c r="AJ41" s="863"/>
      <c r="AK41" s="863"/>
      <c r="AL41" s="896">
        <v>-299559.51406567206</v>
      </c>
      <c r="AM41" s="896">
        <f t="shared" si="6"/>
        <v>4321972.2130844984</v>
      </c>
      <c r="AN41" s="896">
        <f t="shared" si="7"/>
        <v>50006947.158982493</v>
      </c>
      <c r="AO41" s="897">
        <f t="shared" si="8"/>
        <v>45684974.945897996</v>
      </c>
      <c r="AP41" s="902">
        <f t="shared" si="9"/>
        <v>4321972.2130844984</v>
      </c>
      <c r="AQ41" s="902">
        <f t="shared" si="10"/>
        <v>50006947.158982493</v>
      </c>
      <c r="AR41" s="897"/>
      <c r="AS41" s="902">
        <f t="shared" si="11"/>
        <v>50006947.158982493</v>
      </c>
      <c r="AT41" s="896"/>
      <c r="AV41" s="902"/>
      <c r="AW41" s="900">
        <f t="shared" si="12"/>
        <v>0</v>
      </c>
    </row>
    <row r="42" spans="1:49" ht="13.5">
      <c r="A42" s="888">
        <f t="shared" si="0"/>
        <v>26</v>
      </c>
      <c r="B42" s="916" t="s">
        <v>316</v>
      </c>
      <c r="C42" s="896">
        <v>20604866.16</v>
      </c>
      <c r="D42" s="896"/>
      <c r="E42" s="896"/>
      <c r="F42" s="896"/>
      <c r="G42" s="896"/>
      <c r="H42" s="896"/>
      <c r="I42" s="896"/>
      <c r="J42" s="896"/>
      <c r="K42" s="896"/>
      <c r="L42" s="896"/>
      <c r="M42" s="896"/>
      <c r="N42" s="896"/>
      <c r="O42" s="896"/>
      <c r="P42" s="896" t="s">
        <v>253</v>
      </c>
      <c r="Q42" s="896"/>
      <c r="R42" s="896"/>
      <c r="S42" s="896"/>
      <c r="T42" s="896"/>
      <c r="U42" s="896"/>
      <c r="V42" s="896"/>
      <c r="W42" s="896"/>
      <c r="X42" s="896"/>
      <c r="Y42" s="896"/>
      <c r="Z42" s="896"/>
      <c r="AA42" s="896"/>
      <c r="AB42" s="896"/>
      <c r="AC42" s="896"/>
      <c r="AD42" s="898">
        <v>13309492.535833333</v>
      </c>
      <c r="AE42" s="896">
        <v>-241268.10200000007</v>
      </c>
      <c r="AF42" s="896"/>
      <c r="AG42" s="896"/>
      <c r="AH42" s="896"/>
      <c r="AI42" s="896"/>
      <c r="AJ42" s="922">
        <v>5058938.8277102718</v>
      </c>
      <c r="AK42" s="863"/>
      <c r="AL42" s="898">
        <v>-262086.67183578649</v>
      </c>
      <c r="AM42" s="898">
        <f t="shared" si="6"/>
        <v>17865076.589707818</v>
      </c>
      <c r="AN42" s="898">
        <f t="shared" si="7"/>
        <v>38469942.749707818</v>
      </c>
      <c r="AO42" s="897">
        <f t="shared" si="8"/>
        <v>20604866.16</v>
      </c>
      <c r="AP42" s="903">
        <f t="shared" si="9"/>
        <v>17865076.589707818</v>
      </c>
      <c r="AQ42" s="903">
        <f t="shared" si="10"/>
        <v>38469942.749707818</v>
      </c>
      <c r="AR42" s="897"/>
      <c r="AS42" s="903">
        <f t="shared" si="11"/>
        <v>38469942.749707818</v>
      </c>
      <c r="AT42" s="896"/>
      <c r="AV42" s="918"/>
      <c r="AW42" s="900">
        <f t="shared" si="12"/>
        <v>0</v>
      </c>
    </row>
    <row r="43" spans="1:49" ht="13.5">
      <c r="A43" s="888">
        <f t="shared" si="0"/>
        <v>27</v>
      </c>
      <c r="B43" s="889" t="s">
        <v>246</v>
      </c>
      <c r="C43" s="896">
        <v>-9997193.5551139992</v>
      </c>
      <c r="D43" s="896">
        <v>17342294.120000005</v>
      </c>
      <c r="E43" s="896"/>
      <c r="F43" s="896">
        <v>365334.82</v>
      </c>
      <c r="G43" s="896"/>
      <c r="H43" s="896"/>
      <c r="I43" s="896"/>
      <c r="J43" s="896"/>
      <c r="K43" s="896"/>
      <c r="L43" s="896"/>
      <c r="M43" s="896"/>
      <c r="N43" s="896"/>
      <c r="O43" s="896"/>
      <c r="P43" s="896">
        <v>-263384.27666666743</v>
      </c>
      <c r="Q43" s="896"/>
      <c r="R43" s="896"/>
      <c r="S43" s="896"/>
      <c r="T43" s="896"/>
      <c r="U43" s="896"/>
      <c r="V43" s="896">
        <v>1422577.0493701622</v>
      </c>
      <c r="W43" s="896"/>
      <c r="X43" s="896"/>
      <c r="Y43" s="896"/>
      <c r="Z43" s="896"/>
      <c r="AA43" s="896"/>
      <c r="AB43" s="896"/>
      <c r="AC43" s="896"/>
      <c r="AD43" s="896"/>
      <c r="AE43" s="896">
        <v>-2429827.2079230589</v>
      </c>
      <c r="AF43" s="896"/>
      <c r="AG43" s="896"/>
      <c r="AH43" s="896"/>
      <c r="AI43" s="896"/>
      <c r="AJ43" s="896"/>
      <c r="AK43" s="923">
        <v>3279780</v>
      </c>
      <c r="AL43" s="896">
        <v>-230038.82166857479</v>
      </c>
      <c r="AM43" s="896">
        <f t="shared" si="6"/>
        <v>19486735.683111865</v>
      </c>
      <c r="AN43" s="896">
        <f t="shared" si="7"/>
        <v>9489542.1279978659</v>
      </c>
      <c r="AO43" s="897">
        <f t="shared" si="8"/>
        <v>-9997193.5551139992</v>
      </c>
      <c r="AP43" s="902">
        <f t="shared" si="9"/>
        <v>19486735.683111865</v>
      </c>
      <c r="AQ43" s="902">
        <f t="shared" si="10"/>
        <v>9489542.1279978659</v>
      </c>
      <c r="AR43" s="897"/>
      <c r="AS43" s="902">
        <f t="shared" si="11"/>
        <v>9489542.1279978659</v>
      </c>
      <c r="AT43" s="896"/>
      <c r="AV43" s="902"/>
      <c r="AW43" s="900">
        <f t="shared" si="12"/>
        <v>0</v>
      </c>
    </row>
    <row r="44" spans="1:49" ht="13.5">
      <c r="A44" s="888">
        <f t="shared" si="0"/>
        <v>28</v>
      </c>
      <c r="B44" s="859" t="s">
        <v>70</v>
      </c>
      <c r="C44" s="896">
        <v>-64111667.629999898</v>
      </c>
      <c r="Y44" s="912"/>
      <c r="AC44" s="923">
        <v>64111667.629999898</v>
      </c>
      <c r="AM44" s="896">
        <f t="shared" si="6"/>
        <v>64111667.629999898</v>
      </c>
      <c r="AN44" s="896">
        <f t="shared" si="7"/>
        <v>0</v>
      </c>
      <c r="AO44" s="897">
        <f t="shared" si="8"/>
        <v>-64111667.629999898</v>
      </c>
      <c r="AP44" s="902">
        <f t="shared" si="9"/>
        <v>64111667.629999898</v>
      </c>
      <c r="AQ44" s="902">
        <f t="shared" si="10"/>
        <v>0</v>
      </c>
      <c r="AR44" s="897"/>
      <c r="AS44" s="902">
        <f t="shared" si="11"/>
        <v>0</v>
      </c>
      <c r="AT44" s="896"/>
      <c r="AV44" s="902"/>
      <c r="AW44" s="900">
        <f t="shared" si="12"/>
        <v>0</v>
      </c>
    </row>
    <row r="45" spans="1:49" ht="13.5">
      <c r="A45" s="888">
        <f t="shared" si="0"/>
        <v>29</v>
      </c>
      <c r="B45" s="889" t="s">
        <v>263</v>
      </c>
      <c r="C45" s="896">
        <v>230800256.78218898</v>
      </c>
      <c r="D45" s="896">
        <v>-1109919.5490414018</v>
      </c>
      <c r="E45" s="896">
        <v>1088843</v>
      </c>
      <c r="F45" s="897">
        <v>-144297723.10863283</v>
      </c>
      <c r="G45" s="896"/>
      <c r="H45" s="896"/>
      <c r="I45" s="896"/>
      <c r="J45" s="896"/>
      <c r="K45" s="896"/>
      <c r="L45" s="901">
        <v>9990.7095914349775</v>
      </c>
      <c r="M45" s="896"/>
      <c r="N45" s="896"/>
      <c r="O45" s="896"/>
      <c r="P45" s="896"/>
      <c r="Q45" s="896"/>
      <c r="R45" s="896"/>
      <c r="S45" s="898">
        <v>133533.17603166337</v>
      </c>
      <c r="T45" s="896"/>
      <c r="U45" s="896"/>
      <c r="V45" s="896"/>
      <c r="W45" s="896"/>
      <c r="X45" s="896"/>
      <c r="Y45" s="912">
        <v>36124.958262011409</v>
      </c>
      <c r="Z45" s="896">
        <v>56686.323528445922</v>
      </c>
      <c r="AA45" s="898">
        <v>-94051.271335334284</v>
      </c>
      <c r="AB45" s="896"/>
      <c r="AC45" s="896"/>
      <c r="AD45" s="896"/>
      <c r="AE45" s="897"/>
      <c r="AF45" s="896"/>
      <c r="AG45" s="896"/>
      <c r="AH45" s="896"/>
      <c r="AI45" s="896"/>
      <c r="AJ45" s="896"/>
      <c r="AK45" s="896"/>
      <c r="AL45" s="901">
        <v>-53723.988076255606</v>
      </c>
      <c r="AM45" s="898">
        <f t="shared" si="6"/>
        <v>-144230239.74967229</v>
      </c>
      <c r="AN45" s="898">
        <f t="shared" si="7"/>
        <v>86570017.032516688</v>
      </c>
      <c r="AO45" s="897">
        <f t="shared" si="8"/>
        <v>230800256.78218898</v>
      </c>
      <c r="AP45" s="903">
        <f t="shared" si="9"/>
        <v>-144230239.74967229</v>
      </c>
      <c r="AQ45" s="903">
        <f t="shared" si="10"/>
        <v>86570017.032516688</v>
      </c>
      <c r="AR45" s="901">
        <v>5539041.1621619994</v>
      </c>
      <c r="AS45" s="903">
        <f t="shared" si="11"/>
        <v>92109058.194678694</v>
      </c>
      <c r="AT45" s="896"/>
      <c r="AV45" s="919">
        <f>AV22*keep_STATE_UTILITY_TAX</f>
        <v>2912318.6904539997</v>
      </c>
      <c r="AW45" s="900">
        <f t="shared" si="12"/>
        <v>2626722.4717079997</v>
      </c>
    </row>
    <row r="46" spans="1:49" ht="13.5">
      <c r="A46" s="888">
        <f t="shared" si="0"/>
        <v>30</v>
      </c>
      <c r="B46" s="889" t="s">
        <v>264</v>
      </c>
      <c r="C46" s="896">
        <v>800</v>
      </c>
      <c r="D46" s="896">
        <v>-15690291.900360523</v>
      </c>
      <c r="E46" s="896">
        <v>9437801</v>
      </c>
      <c r="F46" s="896">
        <v>-538752.47499545664</v>
      </c>
      <c r="G46" s="896">
        <v>144836215.65657258</v>
      </c>
      <c r="H46" s="898">
        <v>-53347930.4173996</v>
      </c>
      <c r="I46" s="896">
        <v>-18636482.856998689</v>
      </c>
      <c r="J46" s="896">
        <v>37363</v>
      </c>
      <c r="K46" s="898">
        <v>366727</v>
      </c>
      <c r="L46" s="898">
        <v>-59178.640367391366</v>
      </c>
      <c r="M46" s="896">
        <v>8691.3738500527506</v>
      </c>
      <c r="N46" s="896"/>
      <c r="O46" s="893">
        <v>-142640.92057459999</v>
      </c>
      <c r="P46" s="896">
        <v>92184.4968333336</v>
      </c>
      <c r="Q46" s="896">
        <v>35617.680293952217</v>
      </c>
      <c r="R46" s="896">
        <v>-638047.54740089201</v>
      </c>
      <c r="S46" s="898">
        <v>-731077.62487731851</v>
      </c>
      <c r="T46" s="898">
        <v>-52071</v>
      </c>
      <c r="U46" s="896">
        <v>-65558</v>
      </c>
      <c r="V46" s="896">
        <v>-497902</v>
      </c>
      <c r="W46" s="896">
        <v>-1662500.6854914231</v>
      </c>
      <c r="X46" s="896">
        <v>233717.31377639933</v>
      </c>
      <c r="Y46" s="896">
        <v>5526</v>
      </c>
      <c r="Z46" s="898">
        <v>-7954428.2916630376</v>
      </c>
      <c r="AA46" s="898">
        <v>32918</v>
      </c>
      <c r="AB46" s="896">
        <v>74248</v>
      </c>
      <c r="AC46" s="896"/>
      <c r="AD46" s="898">
        <v>-4517163.3689583316</v>
      </c>
      <c r="AE46" s="896">
        <v>934883.35847307055</v>
      </c>
      <c r="AF46" s="896">
        <v>-78340.942953804202</v>
      </c>
      <c r="AG46" s="896">
        <v>-1880693.71</v>
      </c>
      <c r="AH46" s="896">
        <v>1160.9741459398122</v>
      </c>
      <c r="AI46" s="896">
        <v>0</v>
      </c>
      <c r="AJ46" s="898">
        <v>-1770628.589698595</v>
      </c>
      <c r="AK46" s="896">
        <v>-1147923</v>
      </c>
      <c r="AL46" s="898">
        <v>1807832.5656322357</v>
      </c>
      <c r="AM46" s="898">
        <f t="shared" si="6"/>
        <v>48493274.447837904</v>
      </c>
      <c r="AN46" s="898">
        <f t="shared" si="7"/>
        <v>48494074.447837904</v>
      </c>
      <c r="AO46" s="897">
        <f t="shared" si="8"/>
        <v>800</v>
      </c>
      <c r="AP46" s="903">
        <f t="shared" si="9"/>
        <v>48493274.447837904</v>
      </c>
      <c r="AQ46" s="903">
        <f t="shared" si="10"/>
        <v>48494074.447837904</v>
      </c>
      <c r="AR46" s="901">
        <v>48010928.720109999</v>
      </c>
      <c r="AS46" s="903">
        <f t="shared" si="11"/>
        <v>96505003.167947903</v>
      </c>
      <c r="AT46" s="896"/>
      <c r="AV46" s="919">
        <v>25243200.215369999</v>
      </c>
      <c r="AW46" s="900">
        <f t="shared" si="12"/>
        <v>22767728.50474</v>
      </c>
    </row>
    <row r="47" spans="1:49" ht="13.5">
      <c r="A47" s="888">
        <f t="shared" si="0"/>
        <v>31</v>
      </c>
      <c r="B47" s="859" t="s">
        <v>247</v>
      </c>
      <c r="C47" s="913">
        <v>181996914.66999999</v>
      </c>
      <c r="D47" s="913"/>
      <c r="E47" s="913"/>
      <c r="F47" s="902"/>
      <c r="G47" s="896">
        <v>-117812976.8499999</v>
      </c>
      <c r="H47" s="924"/>
      <c r="I47" s="913"/>
      <c r="J47" s="902"/>
      <c r="K47" s="913"/>
      <c r="L47" s="902"/>
      <c r="M47" s="913"/>
      <c r="N47" s="913"/>
      <c r="O47" s="913"/>
      <c r="P47" s="913"/>
      <c r="Q47" s="913"/>
      <c r="R47" s="913"/>
      <c r="S47" s="913"/>
      <c r="T47" s="913"/>
      <c r="U47" s="913"/>
      <c r="V47" s="913"/>
      <c r="W47" s="913"/>
      <c r="X47" s="913"/>
      <c r="Y47" s="913"/>
      <c r="Z47" s="913"/>
      <c r="AA47" s="913"/>
      <c r="AB47" s="902"/>
      <c r="AC47" s="896">
        <v>-22439083.670499962</v>
      </c>
      <c r="AD47" s="913"/>
      <c r="AE47" s="902"/>
      <c r="AF47" s="913"/>
      <c r="AG47" s="913"/>
      <c r="AH47" s="913"/>
      <c r="AI47" s="913"/>
      <c r="AJ47" s="913"/>
      <c r="AK47" s="902"/>
      <c r="AL47" s="902"/>
      <c r="AM47" s="896">
        <f t="shared" si="6"/>
        <v>-140252060.52049986</v>
      </c>
      <c r="AN47" s="896">
        <f t="shared" si="7"/>
        <v>41744854.149500132</v>
      </c>
      <c r="AO47" s="897">
        <f t="shared" si="8"/>
        <v>181996914.66999999</v>
      </c>
      <c r="AP47" s="913">
        <f t="shared" si="9"/>
        <v>-140252060.52049986</v>
      </c>
      <c r="AQ47" s="913">
        <f t="shared" si="10"/>
        <v>41744854.149500132</v>
      </c>
      <c r="AR47" s="897"/>
      <c r="AS47" s="913">
        <f t="shared" si="11"/>
        <v>41744854.149500132</v>
      </c>
      <c r="AT47" s="896"/>
      <c r="AV47" s="913"/>
      <c r="AW47" s="900">
        <f t="shared" si="12"/>
        <v>0</v>
      </c>
    </row>
    <row r="48" spans="1:49" ht="18.75" customHeight="1">
      <c r="A48" s="888">
        <f t="shared" si="0"/>
        <v>32</v>
      </c>
      <c r="B48" s="889" t="s">
        <v>248</v>
      </c>
      <c r="C48" s="907">
        <f t="shared" ref="C48:AS48" si="13">SUM(C31:C47)</f>
        <v>1994336799.3812201</v>
      </c>
      <c r="D48" s="907">
        <f t="shared" si="13"/>
        <v>277799.6191231329</v>
      </c>
      <c r="E48" s="907">
        <f t="shared" si="13"/>
        <v>10785909</v>
      </c>
      <c r="F48" s="907">
        <f t="shared" si="13"/>
        <v>-191823830.72929412</v>
      </c>
      <c r="G48" s="907">
        <f t="shared" si="13"/>
        <v>27023238.806572676</v>
      </c>
      <c r="H48" s="908">
        <f t="shared" si="13"/>
        <v>-53347930.4173996</v>
      </c>
      <c r="I48" s="907">
        <f t="shared" si="13"/>
        <v>34610611.020140424</v>
      </c>
      <c r="J48" s="907">
        <f t="shared" si="13"/>
        <v>-69387.278670666696</v>
      </c>
      <c r="K48" s="908">
        <f t="shared" si="13"/>
        <v>-681065</v>
      </c>
      <c r="L48" s="908">
        <f t="shared" si="13"/>
        <v>109903.18925372648</v>
      </c>
      <c r="M48" s="907">
        <f t="shared" si="13"/>
        <v>-16141.122864383684</v>
      </c>
      <c r="N48" s="908">
        <f t="shared" si="13"/>
        <v>176605.63064400846</v>
      </c>
      <c r="O48" s="907">
        <f t="shared" si="13"/>
        <v>264904.5667814</v>
      </c>
      <c r="P48" s="907">
        <f t="shared" si="13"/>
        <v>-171199.77983333383</v>
      </c>
      <c r="Q48" s="907">
        <f t="shared" si="13"/>
        <v>-66147.120545911268</v>
      </c>
      <c r="R48" s="907">
        <f t="shared" si="13"/>
        <v>1184945.4451730854</v>
      </c>
      <c r="S48" s="908">
        <f t="shared" si="13"/>
        <v>1357715.5890578774</v>
      </c>
      <c r="T48" s="908">
        <f t="shared" si="13"/>
        <v>96704.676397892646</v>
      </c>
      <c r="U48" s="907">
        <f t="shared" si="13"/>
        <v>121750.92923393101</v>
      </c>
      <c r="V48" s="907">
        <f t="shared" si="13"/>
        <v>924675.04937016219</v>
      </c>
      <c r="W48" s="907">
        <f t="shared" si="13"/>
        <v>3087501.2730555004</v>
      </c>
      <c r="X48" s="907">
        <f t="shared" si="13"/>
        <v>-434046.43987045588</v>
      </c>
      <c r="Y48" s="907">
        <f t="shared" si="13"/>
        <v>-10262.31709798798</v>
      </c>
      <c r="Z48" s="908">
        <f t="shared" si="13"/>
        <v>-119860379.32375954</v>
      </c>
      <c r="AA48" s="908">
        <f t="shared" si="13"/>
        <v>-61133.271335334284</v>
      </c>
      <c r="AB48" s="907">
        <f t="shared" si="13"/>
        <v>-137890.37865459672</v>
      </c>
      <c r="AC48" s="907">
        <f t="shared" si="13"/>
        <v>41672583.95949994</v>
      </c>
      <c r="AD48" s="908">
        <f t="shared" si="13"/>
        <v>8389017.6852083318</v>
      </c>
      <c r="AE48" s="907">
        <f t="shared" si="13"/>
        <v>-1736211.9514499884</v>
      </c>
      <c r="AF48" s="907">
        <f t="shared" si="13"/>
        <v>145490.32262849354</v>
      </c>
      <c r="AG48" s="907">
        <f t="shared" si="13"/>
        <v>3492716.8900000006</v>
      </c>
      <c r="AH48" s="907">
        <f t="shared" si="13"/>
        <v>-2156.0948424596518</v>
      </c>
      <c r="AI48" s="907">
        <f t="shared" si="13"/>
        <v>0</v>
      </c>
      <c r="AJ48" s="908">
        <f t="shared" si="13"/>
        <v>3288310.2380116768</v>
      </c>
      <c r="AK48" s="907">
        <f t="shared" si="13"/>
        <v>2131857</v>
      </c>
      <c r="AL48" s="908">
        <f t="shared" si="13"/>
        <v>-3129292.1922478941</v>
      </c>
      <c r="AM48" s="908">
        <f t="shared" si="13"/>
        <v>-232404832.52771401</v>
      </c>
      <c r="AN48" s="908">
        <f t="shared" si="13"/>
        <v>1761931966.8535061</v>
      </c>
      <c r="AO48" s="909">
        <f t="shared" si="13"/>
        <v>1994336799.3812201</v>
      </c>
      <c r="AP48" s="908">
        <f t="shared" si="13"/>
        <v>-232404832.52771401</v>
      </c>
      <c r="AQ48" s="908">
        <f t="shared" si="13"/>
        <v>1761931966.8535056</v>
      </c>
      <c r="AR48" s="925">
        <f t="shared" si="13"/>
        <v>54868871.510633998</v>
      </c>
      <c r="AS48" s="908">
        <f t="shared" si="13"/>
        <v>1816800838.36414</v>
      </c>
      <c r="AT48" s="926"/>
      <c r="AU48" s="927"/>
      <c r="AV48" s="911">
        <f>SUM(AV31:AV47)</f>
        <v>28848971.391677998</v>
      </c>
      <c r="AW48" s="911">
        <f>SUM(AW31:AW47)</f>
        <v>26019900.118956</v>
      </c>
    </row>
    <row r="49" spans="1:50">
      <c r="A49" s="888">
        <f t="shared" si="0"/>
        <v>33</v>
      </c>
      <c r="C49" s="923"/>
      <c r="D49" s="923" t="s">
        <v>253</v>
      </c>
      <c r="E49" s="923" t="s">
        <v>253</v>
      </c>
      <c r="F49" s="923"/>
      <c r="G49" s="923" t="s">
        <v>253</v>
      </c>
      <c r="H49" s="923" t="s">
        <v>253</v>
      </c>
      <c r="I49" s="923"/>
      <c r="J49" s="923"/>
      <c r="K49" s="923" t="s">
        <v>253</v>
      </c>
      <c r="L49" s="923"/>
      <c r="M49" s="923" t="s">
        <v>253</v>
      </c>
      <c r="N49" s="923" t="s">
        <v>253</v>
      </c>
      <c r="O49" s="923" t="s">
        <v>253</v>
      </c>
      <c r="P49" s="923" t="s">
        <v>253</v>
      </c>
      <c r="Q49" s="923"/>
      <c r="R49" s="923"/>
      <c r="S49" s="923" t="s">
        <v>253</v>
      </c>
      <c r="T49" s="923" t="s">
        <v>253</v>
      </c>
      <c r="U49" s="923" t="s">
        <v>253</v>
      </c>
      <c r="V49" s="923" t="s">
        <v>253</v>
      </c>
      <c r="W49" s="923"/>
      <c r="X49" s="923"/>
      <c r="Y49" s="923"/>
      <c r="Z49" s="923" t="s">
        <v>253</v>
      </c>
      <c r="AA49" s="923" t="s">
        <v>253</v>
      </c>
      <c r="AB49" s="923"/>
      <c r="AC49" s="923"/>
      <c r="AD49" s="923" t="s">
        <v>253</v>
      </c>
      <c r="AE49" s="923"/>
      <c r="AF49" s="923"/>
      <c r="AG49" s="923"/>
      <c r="AH49" s="923"/>
      <c r="AI49" s="923"/>
      <c r="AJ49" s="923"/>
      <c r="AK49" s="923"/>
      <c r="AL49" s="923"/>
      <c r="AM49" s="923"/>
      <c r="AN49" s="923"/>
      <c r="AO49" s="897"/>
      <c r="AP49" s="923"/>
      <c r="AQ49" s="923"/>
      <c r="AR49" s="897"/>
      <c r="AS49" s="923"/>
      <c r="AT49" s="923"/>
      <c r="AV49" s="923"/>
      <c r="AW49" s="923"/>
    </row>
    <row r="50" spans="1:50" ht="13.5">
      <c r="A50" s="888">
        <f t="shared" si="0"/>
        <v>34</v>
      </c>
      <c r="B50" s="889" t="s">
        <v>249</v>
      </c>
      <c r="C50" s="928">
        <f t="shared" ref="C50:AS50" si="14">C22-C48</f>
        <v>401002971.69877887</v>
      </c>
      <c r="D50" s="928">
        <f t="shared" si="14"/>
        <v>-29139113.529240973</v>
      </c>
      <c r="E50" s="928">
        <f t="shared" si="14"/>
        <v>17527344</v>
      </c>
      <c r="F50" s="928">
        <f t="shared" si="14"/>
        <v>-1000540.3107059002</v>
      </c>
      <c r="G50" s="928">
        <f t="shared" si="14"/>
        <v>-27023238.806572676</v>
      </c>
      <c r="H50" s="929">
        <f t="shared" si="14"/>
        <v>53347930.4173996</v>
      </c>
      <c r="I50" s="928">
        <f t="shared" si="14"/>
        <v>-34610611.020140424</v>
      </c>
      <c r="J50" s="928">
        <f t="shared" si="14"/>
        <v>69387.278670666696</v>
      </c>
      <c r="K50" s="929">
        <f t="shared" si="14"/>
        <v>681065</v>
      </c>
      <c r="L50" s="929">
        <f t="shared" si="14"/>
        <v>-109903.18925372648</v>
      </c>
      <c r="M50" s="928">
        <f t="shared" si="14"/>
        <v>16141.122864383684</v>
      </c>
      <c r="N50" s="929">
        <f t="shared" si="14"/>
        <v>-176605.63064400846</v>
      </c>
      <c r="O50" s="928">
        <f t="shared" si="14"/>
        <v>-264904.5667814</v>
      </c>
      <c r="P50" s="928">
        <f t="shared" si="14"/>
        <v>171199.77983333383</v>
      </c>
      <c r="Q50" s="928">
        <f t="shared" si="14"/>
        <v>66147.120545911268</v>
      </c>
      <c r="R50" s="928">
        <f t="shared" si="14"/>
        <v>-1184945.4451730854</v>
      </c>
      <c r="S50" s="929">
        <f t="shared" si="14"/>
        <v>-1357715.5890578774</v>
      </c>
      <c r="T50" s="929">
        <f t="shared" si="14"/>
        <v>-96704.676397892646</v>
      </c>
      <c r="U50" s="928">
        <f t="shared" si="14"/>
        <v>-121750.92923393101</v>
      </c>
      <c r="V50" s="928">
        <f t="shared" si="14"/>
        <v>-924675.04937016219</v>
      </c>
      <c r="W50" s="928">
        <f t="shared" si="14"/>
        <v>-3087501.2730555004</v>
      </c>
      <c r="X50" s="928">
        <f t="shared" si="14"/>
        <v>434046.43987045588</v>
      </c>
      <c r="Y50" s="928">
        <f t="shared" si="14"/>
        <v>10262.31709798798</v>
      </c>
      <c r="Z50" s="929">
        <f t="shared" si="14"/>
        <v>-14772509.684517041</v>
      </c>
      <c r="AA50" s="929">
        <f t="shared" si="14"/>
        <v>61133.271335334284</v>
      </c>
      <c r="AB50" s="928">
        <f t="shared" si="14"/>
        <v>137890.37865459672</v>
      </c>
      <c r="AC50" s="928">
        <f t="shared" si="14"/>
        <v>-41672583.95949994</v>
      </c>
      <c r="AD50" s="929">
        <f t="shared" si="14"/>
        <v>-8389017.6852083318</v>
      </c>
      <c r="AE50" s="928">
        <f t="shared" si="14"/>
        <v>1736211.9514499884</v>
      </c>
      <c r="AF50" s="928">
        <f t="shared" si="14"/>
        <v>-145490.32262849354</v>
      </c>
      <c r="AG50" s="928">
        <f t="shared" si="14"/>
        <v>-3492716.8900000006</v>
      </c>
      <c r="AH50" s="928">
        <f t="shared" si="14"/>
        <v>2156.0948424596518</v>
      </c>
      <c r="AI50" s="930">
        <f t="shared" si="14"/>
        <v>0</v>
      </c>
      <c r="AJ50" s="929">
        <f t="shared" si="14"/>
        <v>-3288310.2380116768</v>
      </c>
      <c r="AK50" s="928">
        <f t="shared" si="14"/>
        <v>-2131857</v>
      </c>
      <c r="AL50" s="929">
        <f t="shared" si="14"/>
        <v>3129292.1922478941</v>
      </c>
      <c r="AM50" s="929">
        <f t="shared" si="14"/>
        <v>-95600488.430680394</v>
      </c>
      <c r="AN50" s="929">
        <f t="shared" si="14"/>
        <v>305402483.26809835</v>
      </c>
      <c r="AO50" s="928">
        <f t="shared" si="14"/>
        <v>401002971.69877887</v>
      </c>
      <c r="AP50" s="929">
        <f t="shared" si="14"/>
        <v>-95600488.430680394</v>
      </c>
      <c r="AQ50" s="929">
        <f t="shared" si="14"/>
        <v>305402483.26809859</v>
      </c>
      <c r="AR50" s="929">
        <f t="shared" si="14"/>
        <v>89163194.489365995</v>
      </c>
      <c r="AS50" s="929">
        <f t="shared" si="14"/>
        <v>394565677.75746489</v>
      </c>
      <c r="AT50" s="893"/>
      <c r="AU50" s="931"/>
      <c r="AV50" s="930">
        <f>AV22-AV48</f>
        <v>46880250.608322002</v>
      </c>
      <c r="AW50" s="930">
        <f>AW22-AW48</f>
        <v>42282943.881044</v>
      </c>
      <c r="AX50" s="932"/>
    </row>
    <row r="51" spans="1:50">
      <c r="A51" s="888">
        <f t="shared" si="0"/>
        <v>35</v>
      </c>
      <c r="C51" s="933"/>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c r="AL51" s="933"/>
      <c r="AM51" s="933"/>
      <c r="AN51" s="933"/>
      <c r="AO51" s="933"/>
      <c r="AP51" s="933"/>
      <c r="AQ51" s="933" t="s">
        <v>253</v>
      </c>
      <c r="AR51" s="933"/>
      <c r="AS51" s="933" t="s">
        <v>253</v>
      </c>
      <c r="AT51" s="933"/>
      <c r="AU51" s="934"/>
      <c r="AV51" s="933"/>
      <c r="AW51" s="933"/>
    </row>
    <row r="52" spans="1:50" ht="13.5">
      <c r="A52" s="888">
        <f t="shared" si="0"/>
        <v>36</v>
      </c>
      <c r="B52" s="889" t="s">
        <v>250</v>
      </c>
      <c r="C52" s="928">
        <f>C63</f>
        <v>5153204461.5858841</v>
      </c>
      <c r="D52" s="928">
        <v>0</v>
      </c>
      <c r="E52" s="896">
        <v>0</v>
      </c>
      <c r="F52" s="896">
        <v>0</v>
      </c>
      <c r="G52" s="896">
        <f>G63</f>
        <v>0</v>
      </c>
      <c r="H52" s="896">
        <v>0</v>
      </c>
      <c r="I52" s="928">
        <f>I63</f>
        <v>-17305305.510070205</v>
      </c>
      <c r="J52" s="928">
        <v>0</v>
      </c>
      <c r="K52" s="928">
        <v>0</v>
      </c>
      <c r="L52" s="928">
        <v>0</v>
      </c>
      <c r="M52" s="928">
        <v>0</v>
      </c>
      <c r="N52" s="928">
        <v>0</v>
      </c>
      <c r="O52" s="928">
        <v>0</v>
      </c>
      <c r="P52" s="928">
        <v>0</v>
      </c>
      <c r="Q52" s="928">
        <v>0</v>
      </c>
      <c r="R52" s="928">
        <v>0</v>
      </c>
      <c r="S52" s="928">
        <v>0</v>
      </c>
      <c r="T52" s="928">
        <v>0</v>
      </c>
      <c r="U52" s="928">
        <v>0</v>
      </c>
      <c r="V52" s="928">
        <v>0</v>
      </c>
      <c r="W52" s="928">
        <v>0</v>
      </c>
      <c r="X52" s="928">
        <f>X63</f>
        <v>15915060.097866783</v>
      </c>
      <c r="Y52" s="928">
        <f>Y63</f>
        <v>0</v>
      </c>
      <c r="Z52" s="928">
        <v>0</v>
      </c>
      <c r="AA52" s="928">
        <v>0</v>
      </c>
      <c r="AB52" s="928">
        <v>-1969341.3363122563</v>
      </c>
      <c r="AC52" s="928">
        <v>0</v>
      </c>
      <c r="AD52" s="928">
        <v>0</v>
      </c>
      <c r="AE52" s="928">
        <f t="shared" ref="AE52:AK52" si="15">AE63</f>
        <v>-44085326.485419184</v>
      </c>
      <c r="AF52" s="928">
        <f t="shared" si="15"/>
        <v>2842787.0613208562</v>
      </c>
      <c r="AG52" s="928">
        <f t="shared" si="15"/>
        <v>5131869.0972135225</v>
      </c>
      <c r="AH52" s="928">
        <f t="shared" si="15"/>
        <v>18140954.4063752</v>
      </c>
      <c r="AI52" s="928">
        <f t="shared" si="15"/>
        <v>19004590.008907948</v>
      </c>
      <c r="AJ52" s="929">
        <f t="shared" si="15"/>
        <v>-4108724.3018971421</v>
      </c>
      <c r="AK52" s="928">
        <f t="shared" si="15"/>
        <v>5739614.9999999851</v>
      </c>
      <c r="AL52" s="929">
        <v>-54762869.208236404</v>
      </c>
      <c r="AM52" s="929">
        <f>SUM(D52:AL52)</f>
        <v>-55456691.1702509</v>
      </c>
      <c r="AN52" s="929">
        <f>+AM52+C52</f>
        <v>5097747770.4156332</v>
      </c>
      <c r="AO52" s="897">
        <f>C52</f>
        <v>5153204461.5858841</v>
      </c>
      <c r="AP52" s="898">
        <f>AM52</f>
        <v>-55456691.1702509</v>
      </c>
      <c r="AQ52" s="898">
        <f>AN52</f>
        <v>5097747770.4156332</v>
      </c>
      <c r="AR52" s="897">
        <v>0</v>
      </c>
      <c r="AS52" s="901">
        <f>SUM(AQ52:AR52)</f>
        <v>5097747770.4156332</v>
      </c>
      <c r="AT52" s="923"/>
      <c r="AV52" s="899"/>
      <c r="AW52" s="899"/>
    </row>
    <row r="53" spans="1:50">
      <c r="A53" s="888">
        <f t="shared" si="0"/>
        <v>37</v>
      </c>
      <c r="C53" s="893"/>
      <c r="D53" s="893"/>
      <c r="E53" s="893"/>
      <c r="F53" s="893"/>
      <c r="G53" s="893"/>
      <c r="H53" s="893"/>
      <c r="I53" s="893"/>
      <c r="J53" s="893"/>
      <c r="K53" s="893"/>
      <c r="L53" s="893"/>
      <c r="M53" s="893"/>
      <c r="N53" s="893"/>
      <c r="O53" s="893"/>
      <c r="P53" s="893"/>
      <c r="Q53" s="893"/>
      <c r="R53" s="893"/>
      <c r="S53" s="893"/>
      <c r="T53" s="893"/>
      <c r="U53" s="893"/>
      <c r="V53" s="893"/>
      <c r="W53" s="893"/>
      <c r="X53" s="893"/>
      <c r="Y53" s="893"/>
      <c r="Z53" s="893"/>
      <c r="AA53" s="893"/>
      <c r="AB53" s="893"/>
      <c r="AC53" s="893"/>
      <c r="AD53" s="893"/>
      <c r="AE53" s="893"/>
      <c r="AF53" s="893"/>
      <c r="AG53" s="893"/>
      <c r="AH53" s="893"/>
      <c r="AI53" s="893"/>
      <c r="AJ53" s="893"/>
      <c r="AK53" s="893"/>
      <c r="AL53" s="893"/>
      <c r="AM53" s="893"/>
      <c r="AN53" s="893"/>
      <c r="AO53" s="893"/>
      <c r="AP53" s="893"/>
      <c r="AQ53" s="893"/>
      <c r="AR53" s="893"/>
      <c r="AS53" s="935"/>
      <c r="AV53" s="893"/>
      <c r="AW53" s="893"/>
    </row>
    <row r="54" spans="1:50" ht="13.5">
      <c r="A54" s="888">
        <f t="shared" si="0"/>
        <v>38</v>
      </c>
      <c r="B54" s="889" t="s">
        <v>251</v>
      </c>
      <c r="C54" s="936">
        <f>C50/C52</f>
        <v>7.7816235448839796E-2</v>
      </c>
      <c r="D54" s="896"/>
      <c r="E54" s="896"/>
      <c r="F54" s="896"/>
      <c r="G54" s="896"/>
      <c r="H54" s="896"/>
      <c r="I54" s="896"/>
      <c r="J54" s="896"/>
      <c r="K54" s="896"/>
      <c r="L54" s="896"/>
      <c r="M54" s="896"/>
      <c r="N54" s="896"/>
      <c r="O54" s="896"/>
      <c r="P54" s="896"/>
      <c r="Q54" s="896"/>
      <c r="R54" s="896"/>
      <c r="S54" s="896"/>
      <c r="T54" s="896"/>
      <c r="U54" s="896"/>
      <c r="V54" s="896"/>
      <c r="W54" s="896"/>
      <c r="X54" s="896"/>
      <c r="Y54" s="896"/>
      <c r="Z54" s="896"/>
      <c r="AA54" s="896"/>
      <c r="AB54" s="896"/>
      <c r="AC54" s="896"/>
      <c r="AD54" s="896"/>
      <c r="AE54" s="896"/>
      <c r="AF54" s="896"/>
      <c r="AG54" s="896"/>
      <c r="AH54" s="896"/>
      <c r="AI54" s="896"/>
      <c r="AJ54" s="896"/>
      <c r="AK54" s="896"/>
      <c r="AL54" s="896"/>
      <c r="AM54" s="896"/>
      <c r="AN54" s="937">
        <f>AN50/AN52</f>
        <v>5.9909296619278997E-2</v>
      </c>
      <c r="AO54" s="936">
        <f>AO50/AO52</f>
        <v>7.7816235448839796E-2</v>
      </c>
      <c r="AP54" s="896"/>
      <c r="AQ54" s="937">
        <f>AQ50/AQ52</f>
        <v>5.9909296619279045E-2</v>
      </c>
      <c r="AR54" s="896"/>
      <c r="AS54" s="936">
        <f>AS50/AS52</f>
        <v>7.7400000064203819E-2</v>
      </c>
      <c r="AT54" s="938"/>
      <c r="AV54" s="936"/>
      <c r="AW54" s="939"/>
    </row>
    <row r="55" spans="1:50">
      <c r="A55" s="888">
        <f t="shared" si="0"/>
        <v>39</v>
      </c>
      <c r="C55" s="893"/>
      <c r="D55" s="893"/>
      <c r="E55" s="893"/>
      <c r="F55" s="893"/>
      <c r="G55" s="893"/>
      <c r="H55" s="893"/>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3"/>
      <c r="AI55" s="893"/>
      <c r="AJ55" s="893"/>
      <c r="AK55" s="893"/>
      <c r="AL55" s="893"/>
      <c r="AM55" s="893"/>
      <c r="AN55" s="893"/>
      <c r="AO55" s="893"/>
      <c r="AP55" s="893"/>
      <c r="AQ55" s="893"/>
      <c r="AR55" s="893" t="s">
        <v>253</v>
      </c>
      <c r="AS55" s="893"/>
      <c r="AV55" s="893"/>
      <c r="AW55" s="893"/>
    </row>
    <row r="56" spans="1:50">
      <c r="A56" s="888">
        <f t="shared" si="0"/>
        <v>40</v>
      </c>
      <c r="B56" s="859" t="s">
        <v>232</v>
      </c>
      <c r="C56" s="893"/>
      <c r="D56" s="893"/>
      <c r="E56" s="893"/>
      <c r="F56" s="893"/>
      <c r="G56" s="893"/>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t="s">
        <v>253</v>
      </c>
      <c r="AS56" s="893"/>
      <c r="AV56" s="893"/>
      <c r="AW56" s="893"/>
    </row>
    <row r="57" spans="1:50">
      <c r="A57" s="888">
        <f t="shared" si="0"/>
        <v>41</v>
      </c>
      <c r="B57" s="940" t="s">
        <v>313</v>
      </c>
      <c r="C57" s="928">
        <v>9760401506.5440865</v>
      </c>
      <c r="D57" s="928">
        <v>0</v>
      </c>
      <c r="E57" s="896">
        <v>0</v>
      </c>
      <c r="F57" s="896">
        <v>0</v>
      </c>
      <c r="G57" s="896">
        <v>0</v>
      </c>
      <c r="H57" s="896">
        <v>0</v>
      </c>
      <c r="I57" s="928">
        <v>0</v>
      </c>
      <c r="J57" s="928">
        <v>0</v>
      </c>
      <c r="K57" s="928">
        <v>0</v>
      </c>
      <c r="L57" s="928">
        <v>0</v>
      </c>
      <c r="M57" s="928">
        <v>0</v>
      </c>
      <c r="N57" s="928">
        <v>0</v>
      </c>
      <c r="O57" s="928">
        <v>0</v>
      </c>
      <c r="P57" s="928">
        <f>+P52</f>
        <v>0</v>
      </c>
      <c r="Q57" s="928">
        <v>0</v>
      </c>
      <c r="R57" s="928">
        <v>0</v>
      </c>
      <c r="S57" s="928">
        <v>0</v>
      </c>
      <c r="T57" s="928">
        <v>0</v>
      </c>
      <c r="U57" s="928">
        <v>0</v>
      </c>
      <c r="V57" s="928">
        <v>0</v>
      </c>
      <c r="W57" s="928">
        <v>0</v>
      </c>
      <c r="X57" s="928">
        <v>15741420.734608332</v>
      </c>
      <c r="Y57" s="928"/>
      <c r="Z57" s="928">
        <v>0</v>
      </c>
      <c r="AA57" s="928">
        <v>0</v>
      </c>
      <c r="AB57" s="928">
        <v>-4539303</v>
      </c>
      <c r="AC57" s="928">
        <v>0</v>
      </c>
      <c r="AD57" s="928">
        <v>0</v>
      </c>
      <c r="AE57" s="928"/>
      <c r="AF57" s="928">
        <v>5283142.6882666685</v>
      </c>
      <c r="AG57" s="928">
        <v>16120231.800000003</v>
      </c>
      <c r="AH57" s="928">
        <v>-46656.627500012517</v>
      </c>
      <c r="AI57" s="928">
        <v>24765516.030000001</v>
      </c>
      <c r="AJ57" s="928">
        <v>45432.020000000004</v>
      </c>
      <c r="AK57" s="928"/>
      <c r="AL57" s="928">
        <f>AL52-AL60-AL59-AL58</f>
        <v>-107887484</v>
      </c>
      <c r="AM57" s="928">
        <f t="shared" ref="AM57:AM63" si="16">SUM(D57:AL57)</f>
        <v>-50517700.354625009</v>
      </c>
      <c r="AN57" s="896">
        <f t="shared" ref="AN57:AN62" si="17">+AM57+C57</f>
        <v>9709883806.1894608</v>
      </c>
      <c r="AO57" s="897">
        <f t="shared" ref="AO57:AO62" si="18">C57</f>
        <v>9760401506.5440865</v>
      </c>
      <c r="AP57" s="896">
        <f t="shared" ref="AP57:AP62" si="19">+AM57</f>
        <v>-50517700.354625009</v>
      </c>
      <c r="AQ57" s="896">
        <f t="shared" ref="AQ57:AQ62" si="20">+AP57+AO57</f>
        <v>9709883806.1894608</v>
      </c>
      <c r="AR57" s="897"/>
      <c r="AS57" s="897">
        <f t="shared" ref="AS57:AS62" si="21">SUM(AQ57:AR57)</f>
        <v>9709883806.1894608</v>
      </c>
      <c r="AT57" s="923"/>
      <c r="AV57" s="897"/>
      <c r="AW57" s="897"/>
    </row>
    <row r="58" spans="1:50">
      <c r="A58" s="888">
        <f t="shared" si="0"/>
        <v>42</v>
      </c>
      <c r="B58" s="940" t="s">
        <v>314</v>
      </c>
      <c r="C58" s="902">
        <v>-3743804806.4787149</v>
      </c>
      <c r="D58" s="896"/>
      <c r="E58" s="896"/>
      <c r="F58" s="896"/>
      <c r="G58" s="896"/>
      <c r="H58" s="896"/>
      <c r="I58" s="896">
        <v>-26623546.938569557</v>
      </c>
      <c r="J58" s="896"/>
      <c r="K58" s="896"/>
      <c r="L58" s="896"/>
      <c r="M58" s="896"/>
      <c r="N58" s="896"/>
      <c r="O58" s="896"/>
      <c r="P58" s="896"/>
      <c r="Q58" s="896"/>
      <c r="R58" s="896"/>
      <c r="S58" s="896"/>
      <c r="T58" s="896"/>
      <c r="U58" s="896"/>
      <c r="V58" s="896"/>
      <c r="W58" s="896"/>
      <c r="X58" s="896">
        <v>-101363.37640134411</v>
      </c>
      <c r="Y58" s="896"/>
      <c r="Z58" s="896"/>
      <c r="AA58" s="896"/>
      <c r="AB58" s="896">
        <v>1590015.6893272984</v>
      </c>
      <c r="AC58" s="896"/>
      <c r="AD58" s="896"/>
      <c r="AE58" s="896"/>
      <c r="AF58" s="896">
        <v>-723725.33830972295</v>
      </c>
      <c r="AG58" s="896">
        <v>-9403468.5500000026</v>
      </c>
      <c r="AH58" s="896">
        <v>21111912.982080221</v>
      </c>
      <c r="AI58" s="896">
        <v>-1572187.2608600797</v>
      </c>
      <c r="AJ58" s="896"/>
      <c r="AK58" s="896">
        <v>-95819883.979849756</v>
      </c>
      <c r="AL58" s="896">
        <v>46486223</v>
      </c>
      <c r="AM58" s="896">
        <f t="shared" si="16"/>
        <v>-65056023.772582948</v>
      </c>
      <c r="AN58" s="896">
        <f t="shared" si="17"/>
        <v>-3808860830.251298</v>
      </c>
      <c r="AO58" s="896">
        <f t="shared" si="18"/>
        <v>-3743804806.4787149</v>
      </c>
      <c r="AP58" s="896">
        <f t="shared" si="19"/>
        <v>-65056023.772582948</v>
      </c>
      <c r="AQ58" s="896">
        <f t="shared" si="20"/>
        <v>-3808860830.251298</v>
      </c>
      <c r="AR58" s="896"/>
      <c r="AS58" s="896">
        <f t="shared" si="21"/>
        <v>-3808860830.251298</v>
      </c>
      <c r="AT58" s="923"/>
      <c r="AV58" s="896"/>
      <c r="AW58" s="896"/>
    </row>
    <row r="59" spans="1:50" ht="13.5">
      <c r="A59" s="888">
        <f t="shared" si="0"/>
        <v>43</v>
      </c>
      <c r="B59" s="859" t="s">
        <v>279</v>
      </c>
      <c r="C59" s="902">
        <v>253258620.21125004</v>
      </c>
      <c r="D59" s="896"/>
      <c r="E59" s="896"/>
      <c r="F59" s="896"/>
      <c r="G59" s="896"/>
      <c r="H59" s="896"/>
      <c r="I59" s="896"/>
      <c r="J59" s="896"/>
      <c r="K59" s="896"/>
      <c r="L59" s="896"/>
      <c r="M59" s="896"/>
      <c r="N59" s="896"/>
      <c r="O59" s="896"/>
      <c r="P59" s="896"/>
      <c r="Q59" s="896"/>
      <c r="R59" s="896"/>
      <c r="S59" s="896"/>
      <c r="T59" s="896"/>
      <c r="U59" s="896"/>
      <c r="V59" s="896"/>
      <c r="W59" s="896"/>
      <c r="X59" s="896"/>
      <c r="Y59" s="896"/>
      <c r="Z59" s="896"/>
      <c r="AA59" s="896"/>
      <c r="AB59" s="896"/>
      <c r="AC59" s="896"/>
      <c r="AD59" s="896"/>
      <c r="AE59" s="896">
        <v>-58945766.064063393</v>
      </c>
      <c r="AF59" s="896"/>
      <c r="AG59" s="896"/>
      <c r="AH59" s="896"/>
      <c r="AI59" s="896"/>
      <c r="AJ59" s="898">
        <v>-6391009.9764316082</v>
      </c>
      <c r="AK59" s="896">
        <v>101559498.97984974</v>
      </c>
      <c r="AL59" s="898">
        <v>-5141543.2082364038</v>
      </c>
      <c r="AM59" s="898">
        <f t="shared" si="16"/>
        <v>31081179.731118336</v>
      </c>
      <c r="AN59" s="898">
        <f t="shared" si="17"/>
        <v>284339799.94236839</v>
      </c>
      <c r="AO59" s="896">
        <f t="shared" si="18"/>
        <v>253258620.21125004</v>
      </c>
      <c r="AP59" s="898">
        <f t="shared" si="19"/>
        <v>31081179.731118336</v>
      </c>
      <c r="AQ59" s="898">
        <f t="shared" si="20"/>
        <v>284339799.94236839</v>
      </c>
      <c r="AR59" s="896"/>
      <c r="AS59" s="898">
        <f t="shared" si="21"/>
        <v>284339799.94236839</v>
      </c>
      <c r="AT59" s="923"/>
      <c r="AV59" s="941"/>
      <c r="AW59" s="941"/>
    </row>
    <row r="60" spans="1:50" ht="13.5">
      <c r="A60" s="888">
        <f t="shared" si="0"/>
        <v>44</v>
      </c>
      <c r="B60" s="859" t="s">
        <v>142</v>
      </c>
      <c r="C60" s="902">
        <v>-1263932467.6059232</v>
      </c>
      <c r="D60" s="896"/>
      <c r="E60" s="896"/>
      <c r="F60" s="896"/>
      <c r="G60" s="896">
        <v>0</v>
      </c>
      <c r="H60" s="896"/>
      <c r="I60" s="896">
        <v>9318241.4284993522</v>
      </c>
      <c r="J60" s="896"/>
      <c r="K60" s="896"/>
      <c r="L60" s="896"/>
      <c r="M60" s="896"/>
      <c r="N60" s="896"/>
      <c r="O60" s="896"/>
      <c r="P60" s="896"/>
      <c r="Q60" s="896"/>
      <c r="R60" s="896"/>
      <c r="S60" s="896"/>
      <c r="T60" s="896"/>
      <c r="U60" s="896"/>
      <c r="V60" s="896"/>
      <c r="W60" s="896"/>
      <c r="X60" s="896">
        <v>275002.73965979565</v>
      </c>
      <c r="Y60" s="896"/>
      <c r="Z60" s="896"/>
      <c r="AA60" s="896"/>
      <c r="AB60" s="896">
        <v>979945.97436044563</v>
      </c>
      <c r="AC60" s="896"/>
      <c r="AD60" s="896"/>
      <c r="AE60" s="896">
        <v>14860439.578644209</v>
      </c>
      <c r="AF60" s="896">
        <v>-1716630.2886360891</v>
      </c>
      <c r="AG60" s="896">
        <v>-1584894.1527864772</v>
      </c>
      <c r="AH60" s="896">
        <v>-2924301.9482050105</v>
      </c>
      <c r="AI60" s="896">
        <v>-4188738.7602319769</v>
      </c>
      <c r="AJ60" s="898">
        <v>2236853.6545344666</v>
      </c>
      <c r="AK60" s="896"/>
      <c r="AL60" s="896">
        <v>11779935</v>
      </c>
      <c r="AM60" s="898">
        <f t="shared" si="16"/>
        <v>29035853.225838713</v>
      </c>
      <c r="AN60" s="898">
        <f t="shared" si="17"/>
        <v>-1234896614.3800845</v>
      </c>
      <c r="AO60" s="896">
        <f t="shared" si="18"/>
        <v>-1263932467.6059232</v>
      </c>
      <c r="AP60" s="898">
        <f t="shared" si="19"/>
        <v>29035853.225838713</v>
      </c>
      <c r="AQ60" s="898">
        <f t="shared" si="20"/>
        <v>-1234896614.3800845</v>
      </c>
      <c r="AR60" s="896"/>
      <c r="AS60" s="898">
        <f t="shared" si="21"/>
        <v>-1234896614.3800845</v>
      </c>
      <c r="AT60" s="923"/>
      <c r="AV60" s="941"/>
      <c r="AW60" s="941"/>
    </row>
    <row r="61" spans="1:50">
      <c r="A61" s="888">
        <f t="shared" si="0"/>
        <v>45</v>
      </c>
      <c r="B61" s="859" t="s">
        <v>144</v>
      </c>
      <c r="C61" s="902">
        <v>227005241.70228952</v>
      </c>
      <c r="D61" s="896"/>
      <c r="E61" s="896"/>
      <c r="F61" s="896"/>
      <c r="G61" s="896"/>
      <c r="H61" s="896"/>
      <c r="I61" s="896"/>
      <c r="J61" s="896"/>
      <c r="K61" s="896"/>
      <c r="L61" s="896"/>
      <c r="M61" s="896">
        <v>0</v>
      </c>
      <c r="N61" s="896">
        <v>0</v>
      </c>
      <c r="O61" s="896"/>
      <c r="P61" s="896"/>
      <c r="Q61" s="896"/>
      <c r="R61" s="896"/>
      <c r="S61" s="896"/>
      <c r="T61" s="896"/>
      <c r="U61" s="896"/>
      <c r="V61" s="896"/>
      <c r="W61" s="896"/>
      <c r="X61" s="896"/>
      <c r="Y61" s="896"/>
      <c r="Z61" s="896"/>
      <c r="AA61" s="896"/>
      <c r="AB61" s="896"/>
      <c r="AC61" s="896"/>
      <c r="AD61" s="896"/>
      <c r="AE61" s="896"/>
      <c r="AF61" s="896"/>
      <c r="AG61" s="896"/>
      <c r="AH61" s="896"/>
      <c r="AI61" s="896"/>
      <c r="AJ61" s="896"/>
      <c r="AK61" s="896"/>
      <c r="AL61" s="896"/>
      <c r="AM61" s="896">
        <f t="shared" si="16"/>
        <v>0</v>
      </c>
      <c r="AN61" s="896">
        <f t="shared" si="17"/>
        <v>227005241.70228952</v>
      </c>
      <c r="AO61" s="896">
        <f t="shared" si="18"/>
        <v>227005241.70228952</v>
      </c>
      <c r="AP61" s="896">
        <f t="shared" si="19"/>
        <v>0</v>
      </c>
      <c r="AQ61" s="896">
        <f t="shared" si="20"/>
        <v>227005241.70228952</v>
      </c>
      <c r="AR61" s="896"/>
      <c r="AS61" s="896">
        <f t="shared" si="21"/>
        <v>227005241.70228952</v>
      </c>
      <c r="AT61" s="923"/>
      <c r="AV61" s="896"/>
      <c r="AW61" s="896"/>
    </row>
    <row r="62" spans="1:50">
      <c r="A62" s="888">
        <f t="shared" si="0"/>
        <v>46</v>
      </c>
      <c r="B62" s="859" t="s">
        <v>143</v>
      </c>
      <c r="C62" s="902">
        <v>-79723632.787103415</v>
      </c>
      <c r="D62" s="896"/>
      <c r="E62" s="896"/>
      <c r="F62" s="896"/>
      <c r="G62" s="896"/>
      <c r="H62" s="896"/>
      <c r="I62" s="896"/>
      <c r="J62" s="896"/>
      <c r="K62" s="896"/>
      <c r="L62" s="896"/>
      <c r="M62" s="896"/>
      <c r="N62" s="896"/>
      <c r="O62" s="896"/>
      <c r="P62" s="896"/>
      <c r="Q62" s="896"/>
      <c r="R62" s="896"/>
      <c r="S62" s="896"/>
      <c r="T62" s="896"/>
      <c r="U62" s="896"/>
      <c r="V62" s="896"/>
      <c r="W62" s="896"/>
      <c r="X62" s="896"/>
      <c r="Y62" s="896"/>
      <c r="Z62" s="896"/>
      <c r="AA62" s="896"/>
      <c r="AB62" s="896"/>
      <c r="AC62" s="896"/>
      <c r="AD62" s="896"/>
      <c r="AE62" s="896"/>
      <c r="AF62" s="896"/>
      <c r="AG62" s="896"/>
      <c r="AH62" s="896"/>
      <c r="AI62" s="896"/>
      <c r="AJ62" s="896"/>
      <c r="AK62" s="896"/>
      <c r="AL62" s="896"/>
      <c r="AM62" s="896">
        <f t="shared" si="16"/>
        <v>0</v>
      </c>
      <c r="AN62" s="896">
        <f t="shared" si="17"/>
        <v>-79723632.787103415</v>
      </c>
      <c r="AO62" s="896">
        <f t="shared" si="18"/>
        <v>-79723632.787103415</v>
      </c>
      <c r="AP62" s="896">
        <f t="shared" si="19"/>
        <v>0</v>
      </c>
      <c r="AQ62" s="896">
        <f t="shared" si="20"/>
        <v>-79723632.787103415</v>
      </c>
      <c r="AR62" s="896"/>
      <c r="AS62" s="896">
        <f t="shared" si="21"/>
        <v>-79723632.787103415</v>
      </c>
      <c r="AT62" s="923"/>
      <c r="AV62" s="896"/>
      <c r="AW62" s="896"/>
    </row>
    <row r="63" spans="1:50" ht="19.5" customHeight="1" thickBot="1">
      <c r="A63" s="888">
        <f t="shared" si="0"/>
        <v>47</v>
      </c>
      <c r="B63" s="859" t="s">
        <v>308</v>
      </c>
      <c r="C63" s="942">
        <f t="shared" ref="C63:AL63" si="22">SUM(C57:C62)</f>
        <v>5153204461.5858841</v>
      </c>
      <c r="D63" s="942">
        <f t="shared" si="22"/>
        <v>0</v>
      </c>
      <c r="E63" s="942">
        <f t="shared" si="22"/>
        <v>0</v>
      </c>
      <c r="F63" s="942">
        <f t="shared" si="22"/>
        <v>0</v>
      </c>
      <c r="G63" s="942">
        <f t="shared" si="22"/>
        <v>0</v>
      </c>
      <c r="H63" s="942">
        <f t="shared" si="22"/>
        <v>0</v>
      </c>
      <c r="I63" s="942">
        <f t="shared" si="22"/>
        <v>-17305305.510070205</v>
      </c>
      <c r="J63" s="942">
        <f t="shared" si="22"/>
        <v>0</v>
      </c>
      <c r="K63" s="942">
        <f t="shared" si="22"/>
        <v>0</v>
      </c>
      <c r="L63" s="942">
        <f t="shared" si="22"/>
        <v>0</v>
      </c>
      <c r="M63" s="942">
        <f t="shared" si="22"/>
        <v>0</v>
      </c>
      <c r="N63" s="942">
        <f t="shared" si="22"/>
        <v>0</v>
      </c>
      <c r="O63" s="942">
        <f t="shared" si="22"/>
        <v>0</v>
      </c>
      <c r="P63" s="942">
        <f t="shared" si="22"/>
        <v>0</v>
      </c>
      <c r="Q63" s="942">
        <f t="shared" si="22"/>
        <v>0</v>
      </c>
      <c r="R63" s="942">
        <f t="shared" si="22"/>
        <v>0</v>
      </c>
      <c r="S63" s="942">
        <f t="shared" si="22"/>
        <v>0</v>
      </c>
      <c r="T63" s="942">
        <f t="shared" si="22"/>
        <v>0</v>
      </c>
      <c r="U63" s="942">
        <f t="shared" si="22"/>
        <v>0</v>
      </c>
      <c r="V63" s="942">
        <f t="shared" si="22"/>
        <v>0</v>
      </c>
      <c r="W63" s="942">
        <f t="shared" si="22"/>
        <v>0</v>
      </c>
      <c r="X63" s="942">
        <f t="shared" si="22"/>
        <v>15915060.097866783</v>
      </c>
      <c r="Y63" s="942">
        <f t="shared" si="22"/>
        <v>0</v>
      </c>
      <c r="Z63" s="942">
        <f t="shared" si="22"/>
        <v>0</v>
      </c>
      <c r="AA63" s="942">
        <f t="shared" si="22"/>
        <v>0</v>
      </c>
      <c r="AB63" s="942">
        <f t="shared" si="22"/>
        <v>-1969341.3363122558</v>
      </c>
      <c r="AC63" s="942">
        <f t="shared" si="22"/>
        <v>0</v>
      </c>
      <c r="AD63" s="942">
        <f t="shared" si="22"/>
        <v>0</v>
      </c>
      <c r="AE63" s="942">
        <f t="shared" si="22"/>
        <v>-44085326.485419184</v>
      </c>
      <c r="AF63" s="942">
        <f t="shared" si="22"/>
        <v>2842787.0613208562</v>
      </c>
      <c r="AG63" s="942">
        <f t="shared" si="22"/>
        <v>5131869.0972135225</v>
      </c>
      <c r="AH63" s="942">
        <f t="shared" si="22"/>
        <v>18140954.4063752</v>
      </c>
      <c r="AI63" s="942">
        <f t="shared" si="22"/>
        <v>19004590.008907948</v>
      </c>
      <c r="AJ63" s="943">
        <f t="shared" si="22"/>
        <v>-4108724.3018971421</v>
      </c>
      <c r="AK63" s="942">
        <f t="shared" si="22"/>
        <v>5739614.9999999851</v>
      </c>
      <c r="AL63" s="943">
        <f t="shared" si="22"/>
        <v>-54762869.208236404</v>
      </c>
      <c r="AM63" s="943">
        <f t="shared" si="16"/>
        <v>-55456691.1702509</v>
      </c>
      <c r="AN63" s="943">
        <f>SUM(AN57:AN62)</f>
        <v>5097747770.4156322</v>
      </c>
      <c r="AO63" s="942">
        <f>SUM(AO57:AO62)</f>
        <v>5153204461.5858841</v>
      </c>
      <c r="AP63" s="943">
        <f>SUM(AP57:AP62)</f>
        <v>-55456691.170250915</v>
      </c>
      <c r="AQ63" s="943">
        <f>SUM(AQ57:AQ62)</f>
        <v>5097747770.4156322</v>
      </c>
      <c r="AR63" s="944"/>
      <c r="AS63" s="943">
        <f>SUM(AS57:AS62)</f>
        <v>5097747770.4156322</v>
      </c>
      <c r="AT63" s="923"/>
      <c r="AV63" s="945"/>
      <c r="AW63" s="945"/>
    </row>
    <row r="64" spans="1:50" ht="23.25" customHeight="1" thickTop="1">
      <c r="A64" s="946"/>
      <c r="B64" s="863"/>
      <c r="C64" s="861"/>
      <c r="D64" s="861"/>
      <c r="E64" s="861"/>
      <c r="F64" s="861"/>
      <c r="G64" s="861"/>
      <c r="H64" s="861"/>
      <c r="I64" s="861"/>
      <c r="J64" s="947" t="s">
        <v>852</v>
      </c>
      <c r="K64" s="861"/>
      <c r="L64" s="861"/>
      <c r="M64" s="861"/>
      <c r="N64" s="861"/>
      <c r="O64" s="861"/>
      <c r="P64" s="861"/>
      <c r="Q64" s="861"/>
      <c r="R64" s="861"/>
      <c r="S64" s="947" t="s">
        <v>852</v>
      </c>
      <c r="T64" s="861"/>
      <c r="U64" s="861"/>
      <c r="V64" s="861"/>
      <c r="W64" s="861"/>
      <c r="X64" s="861"/>
      <c r="Y64" s="861"/>
      <c r="Z64" s="947" t="s">
        <v>852</v>
      </c>
      <c r="AA64" s="861"/>
      <c r="AB64" s="861"/>
      <c r="AC64" s="861"/>
      <c r="AD64" s="861"/>
      <c r="AE64" s="861"/>
      <c r="AF64" s="863"/>
      <c r="AG64" s="861"/>
      <c r="AH64" s="947" t="s">
        <v>852</v>
      </c>
      <c r="AI64" s="861"/>
      <c r="AJ64" s="861"/>
      <c r="AK64" s="861"/>
      <c r="AL64" s="861"/>
      <c r="AM64" s="861"/>
      <c r="AN64" s="861"/>
      <c r="AO64" s="947" t="s">
        <v>852</v>
      </c>
      <c r="AP64" s="861"/>
      <c r="AQ64" s="861"/>
      <c r="AS64" s="948"/>
      <c r="AT64" s="948"/>
      <c r="AV64" s="948"/>
      <c r="AW64" s="948"/>
    </row>
    <row r="65" spans="1:49">
      <c r="A65" s="863"/>
      <c r="B65" s="863"/>
      <c r="C65" s="863"/>
      <c r="D65" s="863"/>
      <c r="E65" s="863"/>
      <c r="F65" s="863"/>
      <c r="G65" s="863"/>
      <c r="H65" s="863"/>
      <c r="I65" s="863"/>
      <c r="J65" s="863"/>
      <c r="K65" s="863"/>
      <c r="L65" s="863"/>
      <c r="M65" s="863"/>
      <c r="N65" s="863"/>
      <c r="O65" s="863"/>
      <c r="P65" s="863"/>
      <c r="Q65" s="863"/>
      <c r="R65" s="863"/>
      <c r="S65" s="863"/>
      <c r="T65" s="863"/>
      <c r="U65" s="863"/>
      <c r="V65" s="863"/>
      <c r="W65" s="863"/>
      <c r="X65" s="863"/>
      <c r="Y65" s="863"/>
      <c r="Z65" s="863"/>
      <c r="AA65" s="863"/>
      <c r="AB65" s="863"/>
      <c r="AC65" s="863"/>
      <c r="AD65" s="863"/>
      <c r="AE65" s="863"/>
      <c r="AF65" s="863"/>
      <c r="AG65" s="863"/>
      <c r="AH65" s="863"/>
      <c r="AI65" s="863"/>
      <c r="AJ65" s="863"/>
      <c r="AK65" s="863"/>
      <c r="AL65" s="863"/>
      <c r="AU65" s="863"/>
      <c r="AV65" s="948"/>
      <c r="AW65" s="948"/>
    </row>
    <row r="66" spans="1:49">
      <c r="A66" s="863"/>
      <c r="B66" s="863"/>
      <c r="C66" s="863"/>
      <c r="D66" s="863"/>
      <c r="E66" s="863"/>
      <c r="F66" s="863"/>
      <c r="G66" s="863"/>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U66" s="863"/>
      <c r="AV66" s="949"/>
      <c r="AW66" s="949"/>
    </row>
    <row r="67" spans="1:49">
      <c r="A67" s="863"/>
      <c r="B67" s="863"/>
      <c r="C67" s="863"/>
      <c r="D67" s="863"/>
      <c r="E67" s="863"/>
      <c r="F67" s="863"/>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U67" s="863"/>
      <c r="AV67" s="950"/>
      <c r="AW67" s="950"/>
    </row>
    <row r="68" spans="1:49">
      <c r="A68" s="863"/>
      <c r="B68" s="863"/>
      <c r="C68" s="863"/>
      <c r="D68" s="863"/>
      <c r="E68" s="863"/>
      <c r="F68" s="863"/>
      <c r="G68" s="863"/>
      <c r="H68" s="863"/>
      <c r="I68" s="863"/>
      <c r="J68" s="863"/>
      <c r="K68" s="863"/>
      <c r="L68" s="863"/>
      <c r="M68" s="863"/>
      <c r="N68" s="863"/>
      <c r="O68" s="863"/>
      <c r="P68" s="863"/>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U68" s="863"/>
      <c r="AV68" s="861"/>
      <c r="AW68" s="861"/>
    </row>
    <row r="69" spans="1:49">
      <c r="AU69" s="863"/>
      <c r="AV69" s="861"/>
      <c r="AW69" s="861"/>
    </row>
    <row r="70" spans="1:49">
      <c r="AU70" s="863"/>
      <c r="AV70" s="861"/>
      <c r="AW70" s="861"/>
    </row>
    <row r="71" spans="1:49">
      <c r="AV71" s="932"/>
      <c r="AW71" s="932"/>
    </row>
    <row r="72" spans="1:49">
      <c r="AV72" s="861"/>
      <c r="AW72" s="861"/>
    </row>
    <row r="73" spans="1:49">
      <c r="AV73" s="861"/>
      <c r="AW73" s="861"/>
    </row>
    <row r="74" spans="1:49">
      <c r="AV74" s="861"/>
      <c r="AW74" s="861"/>
    </row>
    <row r="75" spans="1:49">
      <c r="AV75" s="1100"/>
      <c r="AW75" s="1100"/>
    </row>
    <row r="76" spans="1:49">
      <c r="AV76" s="1101"/>
      <c r="AW76" s="1101"/>
    </row>
    <row r="77" spans="1:49">
      <c r="AV77" s="1100"/>
      <c r="AW77" s="1100"/>
    </row>
    <row r="78" spans="1:49">
      <c r="AV78" s="1102"/>
      <c r="AW78" s="1102"/>
    </row>
    <row r="79" spans="1:49">
      <c r="AV79" s="861"/>
      <c r="AW79" s="861"/>
    </row>
    <row r="80" spans="1:49">
      <c r="AV80" s="861"/>
      <c r="AW80" s="861"/>
    </row>
    <row r="81" spans="48:49">
      <c r="AV81" s="861"/>
      <c r="AW81" s="861"/>
    </row>
    <row r="82" spans="48:49">
      <c r="AV82" s="861"/>
      <c r="AW82" s="861"/>
    </row>
    <row r="83" spans="48:49">
      <c r="AV83" s="861"/>
      <c r="AW83" s="861"/>
    </row>
    <row r="84" spans="48:49">
      <c r="AV84" s="861"/>
      <c r="AW84" s="861"/>
    </row>
    <row r="85" spans="48:49">
      <c r="AV85" s="861"/>
      <c r="AW85" s="861"/>
    </row>
    <row r="86" spans="48:49">
      <c r="AV86" s="861"/>
      <c r="AW86" s="861"/>
    </row>
    <row r="87" spans="48:49">
      <c r="AV87" s="861"/>
      <c r="AW87" s="861"/>
    </row>
    <row r="88" spans="48:49">
      <c r="AV88" s="861"/>
      <c r="AW88" s="861"/>
    </row>
    <row r="89" spans="48:49">
      <c r="AV89" s="861"/>
      <c r="AW89" s="861"/>
    </row>
    <row r="90" spans="48:49">
      <c r="AV90" s="861"/>
      <c r="AW90" s="861"/>
    </row>
    <row r="91" spans="48:49">
      <c r="AV91" s="861"/>
      <c r="AW91" s="861"/>
    </row>
    <row r="92" spans="48:49">
      <c r="AV92" s="861"/>
      <c r="AW92" s="861"/>
    </row>
    <row r="93" spans="48:49">
      <c r="AV93" s="861"/>
      <c r="AW93" s="861"/>
    </row>
    <row r="94" spans="48:49">
      <c r="AV94" s="861"/>
      <c r="AW94" s="861"/>
    </row>
    <row r="95" spans="48:49">
      <c r="AV95" s="861"/>
      <c r="AW95" s="861"/>
    </row>
    <row r="96" spans="48:49">
      <c r="AV96" s="861"/>
      <c r="AW96" s="861"/>
    </row>
  </sheetData>
  <mergeCells count="19">
    <mergeCell ref="J8:Q8"/>
    <mergeCell ref="R8:Y8"/>
    <mergeCell ref="Z8:AG8"/>
    <mergeCell ref="AH8:AN8"/>
    <mergeCell ref="J9:Q9"/>
    <mergeCell ref="R9:Y9"/>
    <mergeCell ref="Z9:AG9"/>
    <mergeCell ref="AH9:AN9"/>
    <mergeCell ref="A2:B2"/>
    <mergeCell ref="A3:B3"/>
    <mergeCell ref="AH7:AN7"/>
    <mergeCell ref="AV5:AX5"/>
    <mergeCell ref="J6:Q6"/>
    <mergeCell ref="R6:Y6"/>
    <mergeCell ref="Z6:AG6"/>
    <mergeCell ref="AH6:AN6"/>
    <mergeCell ref="J7:Q7"/>
    <mergeCell ref="R7:Y7"/>
    <mergeCell ref="Z7:AG7"/>
  </mergeCells>
  <pageMargins left="1.5" right="0.21" top="1" bottom="0.57999999999999996" header="0.4" footer="0.31"/>
  <pageSetup scale="53" orientation="landscape" r:id="rId1"/>
  <headerFooter alignWithMargins="0"/>
  <colBreaks count="5" manualBreakCount="5">
    <brk id="9" max="63" man="1"/>
    <brk id="17" max="63" man="1"/>
    <brk id="25" max="63" man="1"/>
    <brk id="33" max="63" man="1"/>
    <brk id="40" max="6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E29"/>
  <sheetViews>
    <sheetView view="pageBreakPreview" topLeftCell="C3" zoomScale="80" zoomScaleNormal="100" zoomScaleSheetLayoutView="80" workbookViewId="0">
      <selection activeCell="J21" sqref="J21"/>
    </sheetView>
  </sheetViews>
  <sheetFormatPr defaultColWidth="7.33203125" defaultRowHeight="15" outlineLevelRow="1" outlineLevelCol="1"/>
  <cols>
    <col min="1" max="1" width="9.5" style="1121" customWidth="1"/>
    <col min="2" max="2" width="60.83203125" style="1122" customWidth="1"/>
    <col min="3" max="3" width="18.6640625" style="1121" customWidth="1" outlineLevel="1"/>
    <col min="4" max="4" width="12.33203125" style="1121" customWidth="1" outlineLevel="1"/>
    <col min="5" max="5" width="18.6640625" style="1121" bestFit="1" customWidth="1"/>
    <col min="6" max="6" width="43.83203125" style="1123" bestFit="1" customWidth="1"/>
    <col min="7" max="7" width="3.5" style="1123" customWidth="1"/>
    <col min="8" max="8" width="18.6640625" style="1124" customWidth="1" outlineLevel="1"/>
    <col min="9" max="9" width="18.6640625" style="1125" customWidth="1" outlineLevel="1"/>
    <col min="10" max="10" width="18.6640625" style="1121" bestFit="1" customWidth="1"/>
    <col min="11" max="11" width="43.83203125" style="1121" bestFit="1" customWidth="1"/>
    <col min="12" max="12" width="11.1640625" style="1121" bestFit="1" customWidth="1"/>
    <col min="13" max="13" width="11.5" style="1121" bestFit="1" customWidth="1"/>
    <col min="14" max="14" width="15.6640625" style="1121" bestFit="1" customWidth="1"/>
    <col min="15" max="15" width="2" style="1121" customWidth="1"/>
    <col min="16" max="16" width="13.33203125" style="1121" bestFit="1" customWidth="1"/>
    <col min="17" max="17" width="11.5" style="1121" bestFit="1" customWidth="1"/>
    <col min="18" max="18" width="10.33203125" style="1121" bestFit="1" customWidth="1"/>
    <col min="19" max="19" width="11.1640625" style="1121" bestFit="1" customWidth="1"/>
    <col min="20" max="20" width="12.33203125" style="1121" bestFit="1" customWidth="1"/>
    <col min="21" max="22" width="12.1640625" style="1121" customWidth="1"/>
    <col min="23" max="23" width="13.33203125" style="1121" bestFit="1" customWidth="1"/>
    <col min="24" max="25" width="11.5" style="1121" bestFit="1" customWidth="1"/>
    <col min="26" max="26" width="9.6640625" style="1121" bestFit="1" customWidth="1"/>
    <col min="27" max="27" width="9" style="1121" customWidth="1"/>
    <col min="28" max="28" width="7.33203125" style="1121"/>
    <col min="29" max="29" width="12" style="1121" bestFit="1" customWidth="1"/>
    <col min="30" max="16384" width="7.33203125" style="1121"/>
  </cols>
  <sheetData>
    <row r="1" spans="1:31" ht="11.25" customHeight="1">
      <c r="F1" s="862" t="str">
        <f>K1</f>
        <v>Exh. MCC-12</v>
      </c>
      <c r="K1" s="862" t="s">
        <v>1210</v>
      </c>
    </row>
    <row r="2" spans="1:31" ht="11.25" customHeight="1">
      <c r="F2" s="862" t="str">
        <f>K2</f>
        <v>Dockets UE-170033/UG-170034</v>
      </c>
      <c r="K2" s="862" t="str">
        <f>'EXHIBIT MCC-6'!AX2</f>
        <v>Dockets UE-170033/UG-170034</v>
      </c>
    </row>
    <row r="3" spans="1:31" ht="11.25" customHeight="1">
      <c r="F3" s="865" t="s">
        <v>1208</v>
      </c>
      <c r="K3" s="865" t="s">
        <v>1209</v>
      </c>
    </row>
    <row r="4" spans="1:31" ht="11.25" customHeight="1">
      <c r="F4" s="865"/>
      <c r="K4" s="865"/>
    </row>
    <row r="5" spans="1:31" ht="11.25" customHeight="1">
      <c r="F5" s="865"/>
      <c r="K5" s="865"/>
    </row>
    <row r="6" spans="1:31" ht="21" customHeight="1">
      <c r="B6" s="1121"/>
      <c r="C6" s="1322" t="s">
        <v>1206</v>
      </c>
      <c r="D6" s="1322"/>
      <c r="E6" s="1322"/>
      <c r="F6" s="1322"/>
      <c r="G6" s="1178"/>
      <c r="H6" s="1322" t="s">
        <v>1206</v>
      </c>
      <c r="I6" s="1322"/>
      <c r="J6" s="1322"/>
      <c r="K6" s="1322"/>
    </row>
    <row r="7" spans="1:31" ht="21" customHeight="1">
      <c r="B7" s="1121"/>
      <c r="C7" s="1322" t="s">
        <v>1207</v>
      </c>
      <c r="D7" s="1322"/>
      <c r="E7" s="1322"/>
      <c r="F7" s="1322"/>
      <c r="G7" s="1178"/>
      <c r="H7" s="1322" t="s">
        <v>1207</v>
      </c>
      <c r="I7" s="1322"/>
      <c r="J7" s="1322"/>
      <c r="K7" s="1322"/>
    </row>
    <row r="8" spans="1:31" ht="21" customHeight="1">
      <c r="B8" s="1121"/>
      <c r="C8" s="1179"/>
      <c r="D8" s="1179"/>
      <c r="E8" s="1179"/>
      <c r="F8" s="1179"/>
      <c r="G8" s="1178"/>
      <c r="H8" s="1179"/>
      <c r="I8" s="1179"/>
      <c r="J8" s="1179"/>
      <c r="K8" s="1179"/>
    </row>
    <row r="9" spans="1:31" ht="11.25" customHeight="1" thickBot="1"/>
    <row r="10" spans="1:31" ht="30" customHeight="1">
      <c r="C10" s="1323" t="s">
        <v>1038</v>
      </c>
      <c r="D10" s="1324"/>
      <c r="E10" s="1324"/>
      <c r="F10" s="1325"/>
      <c r="H10" s="1323" t="s">
        <v>1039</v>
      </c>
      <c r="I10" s="1324"/>
      <c r="J10" s="1324"/>
      <c r="K10" s="1325"/>
    </row>
    <row r="11" spans="1:31" ht="25.5">
      <c r="C11" s="1126" t="s">
        <v>1040</v>
      </c>
      <c r="D11" s="1127" t="s">
        <v>1041</v>
      </c>
      <c r="E11" s="1128" t="s">
        <v>160</v>
      </c>
      <c r="F11" s="1129" t="s">
        <v>1042</v>
      </c>
      <c r="G11" s="1130"/>
      <c r="H11" s="1126" t="s">
        <v>1040</v>
      </c>
      <c r="I11" s="1127" t="s">
        <v>1041</v>
      </c>
      <c r="J11" s="1128" t="s">
        <v>160</v>
      </c>
      <c r="K11" s="1129" t="s">
        <v>1042</v>
      </c>
    </row>
    <row r="12" spans="1:31" ht="25.5">
      <c r="A12" s="1131"/>
      <c r="B12" s="1132" t="s">
        <v>1043</v>
      </c>
      <c r="C12" s="1133">
        <v>1963187085.1598821</v>
      </c>
      <c r="D12" s="1134"/>
      <c r="E12" s="1135">
        <f t="shared" ref="E12:E17" si="0">SUM(C12:D12)</f>
        <v>1963187085.1598821</v>
      </c>
      <c r="F12" s="1136" t="s">
        <v>1058</v>
      </c>
      <c r="G12" s="1137"/>
      <c r="H12" s="1133">
        <f>'MCC-2 page 1-6'!AU17</f>
        <v>1968080657.47721</v>
      </c>
      <c r="I12" s="1134"/>
      <c r="J12" s="1135">
        <f t="shared" ref="J12:J17" si="1">SUM(H12:I12)</f>
        <v>1968080657.47721</v>
      </c>
      <c r="K12" s="1136" t="s">
        <v>1203</v>
      </c>
      <c r="AE12" s="1138"/>
    </row>
    <row r="13" spans="1:31" ht="25.5">
      <c r="A13" s="1131"/>
      <c r="B13" s="1132" t="s">
        <v>1044</v>
      </c>
      <c r="C13" s="1133"/>
      <c r="D13" s="1134">
        <v>316389.10000000003</v>
      </c>
      <c r="E13" s="1135">
        <f t="shared" si="0"/>
        <v>316389.10000000003</v>
      </c>
      <c r="F13" s="1136" t="s">
        <v>1205</v>
      </c>
      <c r="G13" s="1137"/>
      <c r="H13" s="1133"/>
      <c r="I13" s="1134">
        <f>'MCC-2 page 1-6'!AU18</f>
        <v>317468.44194639748</v>
      </c>
      <c r="J13" s="1135">
        <f t="shared" si="1"/>
        <v>317468.44194639748</v>
      </c>
      <c r="K13" s="1136" t="s">
        <v>1204</v>
      </c>
      <c r="AE13" s="1138"/>
    </row>
    <row r="14" spans="1:31" ht="41.25" customHeight="1" outlineLevel="1">
      <c r="A14" s="1319" t="s">
        <v>1045</v>
      </c>
      <c r="B14" s="1139" t="s">
        <v>1046</v>
      </c>
      <c r="C14" s="1140">
        <v>-65821000</v>
      </c>
      <c r="D14" s="1141">
        <v>-22000</v>
      </c>
      <c r="E14" s="1142">
        <f t="shared" si="0"/>
        <v>-65843000</v>
      </c>
      <c r="F14" s="1143" t="s">
        <v>1047</v>
      </c>
      <c r="G14" s="1144"/>
      <c r="H14" s="1140">
        <v>-65821000</v>
      </c>
      <c r="I14" s="1141">
        <v>-22000</v>
      </c>
      <c r="J14" s="1142">
        <f t="shared" si="1"/>
        <v>-65843000</v>
      </c>
      <c r="K14" s="1143" t="s">
        <v>1047</v>
      </c>
      <c r="AE14" s="1138"/>
    </row>
    <row r="15" spans="1:31" ht="41.25" customHeight="1" outlineLevel="1">
      <c r="A15" s="1320"/>
      <c r="B15" s="1132" t="s">
        <v>1048</v>
      </c>
      <c r="C15" s="1133">
        <v>29746000</v>
      </c>
      <c r="D15" s="1134">
        <v>0</v>
      </c>
      <c r="E15" s="1135">
        <f t="shared" si="0"/>
        <v>29746000</v>
      </c>
      <c r="F15" s="1143" t="s">
        <v>1047</v>
      </c>
      <c r="G15" s="1144"/>
      <c r="H15" s="1133">
        <v>29746000</v>
      </c>
      <c r="I15" s="1134">
        <v>0</v>
      </c>
      <c r="J15" s="1135">
        <f t="shared" si="1"/>
        <v>29746000</v>
      </c>
      <c r="K15" s="1143" t="s">
        <v>1047</v>
      </c>
    </row>
    <row r="16" spans="1:31" ht="41.25" customHeight="1" outlineLevel="1">
      <c r="A16" s="1321"/>
      <c r="B16" s="1145" t="s">
        <v>1049</v>
      </c>
      <c r="C16" s="1146">
        <v>143380334</v>
      </c>
      <c r="D16" s="1147">
        <v>0</v>
      </c>
      <c r="E16" s="1148">
        <f t="shared" si="0"/>
        <v>143380334</v>
      </c>
      <c r="F16" s="1143" t="s">
        <v>1047</v>
      </c>
      <c r="G16" s="1144"/>
      <c r="H16" s="1146">
        <v>143380334</v>
      </c>
      <c r="I16" s="1147">
        <v>0</v>
      </c>
      <c r="J16" s="1148">
        <f t="shared" si="1"/>
        <v>143380334</v>
      </c>
      <c r="K16" s="1143" t="s">
        <v>1047</v>
      </c>
    </row>
    <row r="17" spans="1:11">
      <c r="A17" s="1149"/>
      <c r="B17" s="1150" t="s">
        <v>1221</v>
      </c>
      <c r="C17" s="1151">
        <f>SUM(C14:C16)</f>
        <v>107305334</v>
      </c>
      <c r="D17" s="1152">
        <f>SUM(D14:D16)</f>
        <v>-22000</v>
      </c>
      <c r="E17" s="1153">
        <f t="shared" si="0"/>
        <v>107283334</v>
      </c>
      <c r="F17" s="1143"/>
      <c r="G17" s="1144"/>
      <c r="H17" s="1151">
        <f>SUM(H14:H16)</f>
        <v>107305334</v>
      </c>
      <c r="I17" s="1152">
        <f>SUM(I14:I16)</f>
        <v>-22000</v>
      </c>
      <c r="J17" s="1153">
        <f t="shared" si="1"/>
        <v>107283334</v>
      </c>
      <c r="K17" s="1143"/>
    </row>
    <row r="18" spans="1:11">
      <c r="A18" s="1131"/>
      <c r="B18" s="1132"/>
      <c r="C18" s="1133"/>
      <c r="D18" s="1134"/>
      <c r="E18" s="1135"/>
      <c r="F18" s="1143"/>
      <c r="G18" s="1144"/>
      <c r="H18" s="1133"/>
      <c r="I18" s="1134"/>
      <c r="J18" s="1135"/>
      <c r="K18" s="1143"/>
    </row>
    <row r="19" spans="1:11" ht="15.75" thickBot="1">
      <c r="A19" s="1154"/>
      <c r="B19" s="1132" t="s">
        <v>1050</v>
      </c>
      <c r="C19" s="1155">
        <f>SUM(C17,C12)</f>
        <v>2070492419.1598821</v>
      </c>
      <c r="D19" s="1156">
        <f>SUM(D17,D13)</f>
        <v>294389.10000000003</v>
      </c>
      <c r="E19" s="1157">
        <f>SUM(C19:D19)</f>
        <v>2070786808.259882</v>
      </c>
      <c r="F19" s="1143"/>
      <c r="G19" s="1144"/>
      <c r="H19" s="1155">
        <f>SUM(H17,H12)</f>
        <v>2075385991.47721</v>
      </c>
      <c r="I19" s="1156">
        <f>SUM(I17,I13)</f>
        <v>295468.44194639748</v>
      </c>
      <c r="J19" s="1157">
        <f>SUM(H19:I19)</f>
        <v>2075681459.9191566</v>
      </c>
      <c r="K19" s="1143"/>
    </row>
    <row r="20" spans="1:11" ht="15.75" thickTop="1">
      <c r="A20" s="1154"/>
      <c r="B20" s="1132"/>
      <c r="C20" s="1133"/>
      <c r="D20" s="1134"/>
      <c r="E20" s="1135"/>
      <c r="F20" s="1143"/>
      <c r="G20" s="1144"/>
      <c r="H20" s="1133"/>
      <c r="I20" s="1134"/>
      <c r="J20" s="1135"/>
      <c r="K20" s="1143"/>
    </row>
    <row r="21" spans="1:11" ht="25.5">
      <c r="A21" s="1154"/>
      <c r="B21" s="1158" t="s">
        <v>1051</v>
      </c>
      <c r="C21" s="1159">
        <v>2106814008.350637</v>
      </c>
      <c r="D21" s="1160">
        <v>721531.90924519906</v>
      </c>
      <c r="E21" s="1161">
        <f>SUM(C21:D21)</f>
        <v>2107535540.2598822</v>
      </c>
      <c r="F21" s="1136" t="s">
        <v>1201</v>
      </c>
      <c r="G21" s="1137"/>
      <c r="H21" s="1331">
        <f>'MCC-2 page 1-6'!AW17</f>
        <v>2019276397.6679649</v>
      </c>
      <c r="I21" s="1160">
        <f>'MCC-2 page 1-6'!AW18</f>
        <v>722611.25119159662</v>
      </c>
      <c r="J21" s="1332">
        <f>SUM(H21:I21)</f>
        <v>2019999008.9191566</v>
      </c>
      <c r="K21" s="1136" t="s">
        <v>1199</v>
      </c>
    </row>
    <row r="22" spans="1:11" ht="59.25" customHeight="1" outlineLevel="1">
      <c r="A22" s="1319" t="s">
        <v>1052</v>
      </c>
      <c r="B22" s="1139" t="s">
        <v>1053</v>
      </c>
      <c r="C22" s="1140">
        <v>21075112</v>
      </c>
      <c r="D22" s="1141">
        <v>0</v>
      </c>
      <c r="E22" s="1142">
        <f>SUM(C22:D22)</f>
        <v>21075112</v>
      </c>
      <c r="F22" s="1143" t="s">
        <v>1047</v>
      </c>
      <c r="G22" s="1144"/>
      <c r="H22" s="1140">
        <v>21075112</v>
      </c>
      <c r="I22" s="1141">
        <v>0</v>
      </c>
      <c r="J22" s="1142">
        <f>SUM(H22:I22)</f>
        <v>21075112</v>
      </c>
      <c r="K22" s="1143" t="s">
        <v>1047</v>
      </c>
    </row>
    <row r="23" spans="1:11" ht="59.25" customHeight="1" outlineLevel="1">
      <c r="A23" s="1321"/>
      <c r="B23" s="1145" t="s">
        <v>1054</v>
      </c>
      <c r="C23" s="1146">
        <v>10479000</v>
      </c>
      <c r="D23" s="1147">
        <v>0</v>
      </c>
      <c r="E23" s="1142">
        <f>SUM(C23:D23)</f>
        <v>10479000</v>
      </c>
      <c r="F23" s="1143" t="s">
        <v>1047</v>
      </c>
      <c r="G23" s="1144"/>
      <c r="H23" s="1146">
        <v>0</v>
      </c>
      <c r="I23" s="1147">
        <v>0</v>
      </c>
      <c r="J23" s="1142">
        <f>SUM(H23:I23)</f>
        <v>0</v>
      </c>
      <c r="K23" s="1143" t="s">
        <v>1047</v>
      </c>
    </row>
    <row r="24" spans="1:11" ht="15.75" thickBot="1">
      <c r="A24" s="1162"/>
      <c r="B24" s="1132" t="s">
        <v>1055</v>
      </c>
      <c r="C24" s="1155">
        <f>SUM(C21:C23)</f>
        <v>2138368120.350637</v>
      </c>
      <c r="D24" s="1156">
        <f>SUM(D21:D23)</f>
        <v>721531.90924519906</v>
      </c>
      <c r="E24" s="1157">
        <f>SUM(C24:D24)</f>
        <v>2139089652.2598822</v>
      </c>
      <c r="F24" s="1163"/>
      <c r="G24" s="1164"/>
      <c r="H24" s="1333">
        <f>SUM(H21:H23)</f>
        <v>2040351509.6679649</v>
      </c>
      <c r="I24" s="1156">
        <f>SUM(I21:I23)</f>
        <v>722611.25119159662</v>
      </c>
      <c r="J24" s="1334">
        <f>SUM(H24:I24)</f>
        <v>2041074120.9191566</v>
      </c>
      <c r="K24" s="1163"/>
    </row>
    <row r="25" spans="1:11" ht="16.5" thickTop="1" thickBot="1">
      <c r="A25" s="1162"/>
      <c r="B25" s="1132"/>
      <c r="C25" s="1133"/>
      <c r="D25" s="1134"/>
      <c r="E25" s="1135"/>
      <c r="F25" s="1163"/>
      <c r="G25" s="1164"/>
      <c r="H25" s="1133"/>
      <c r="I25" s="1134"/>
      <c r="J25" s="1135"/>
      <c r="K25" s="1163"/>
    </row>
    <row r="26" spans="1:11">
      <c r="A26" s="1162"/>
      <c r="B26" s="1165" t="s">
        <v>1056</v>
      </c>
      <c r="C26" s="1166">
        <f>+C21-C12</f>
        <v>143626923.19075489</v>
      </c>
      <c r="D26" s="1167">
        <f>+D21-D13</f>
        <v>405142.80924519902</v>
      </c>
      <c r="E26" s="1168">
        <f>SUM(C26:D26)</f>
        <v>144032066.00000009</v>
      </c>
      <c r="F26" s="1169">
        <f>+E26/E12</f>
        <v>7.3366449427447258E-2</v>
      </c>
      <c r="G26" s="1170"/>
      <c r="H26" s="1335">
        <f>+H21-H12</f>
        <v>51195740.19075489</v>
      </c>
      <c r="I26" s="1167">
        <f>+I21-I13</f>
        <v>405142.80924519914</v>
      </c>
      <c r="J26" s="1337">
        <f>SUM(H26:I26)</f>
        <v>51600883.000000089</v>
      </c>
      <c r="K26" s="1169">
        <f>+J26/J12</f>
        <v>2.6218886306288297E-2</v>
      </c>
    </row>
    <row r="27" spans="1:11">
      <c r="A27" s="1162"/>
      <c r="B27" s="1171" t="s">
        <v>1057</v>
      </c>
      <c r="C27" s="1133">
        <f>+C24-C19</f>
        <v>67875701.19075489</v>
      </c>
      <c r="D27" s="1134">
        <f>+D24-D19</f>
        <v>427142.80924519902</v>
      </c>
      <c r="E27" s="1135">
        <f>SUM(C27:D27)</f>
        <v>68302844.000000089</v>
      </c>
      <c r="F27" s="1172">
        <f>+E27/E19</f>
        <v>3.2984005754506496E-2</v>
      </c>
      <c r="G27" s="1170"/>
      <c r="H27" s="1336">
        <f>+H24-H19</f>
        <v>-35034481.80924511</v>
      </c>
      <c r="I27" s="1134">
        <f>+I24-I19</f>
        <v>427142.80924519914</v>
      </c>
      <c r="J27" s="1338">
        <f>SUM(H27:I27)</f>
        <v>-34607338.999999911</v>
      </c>
      <c r="K27" s="1172">
        <f>+J27/J19</f>
        <v>-1.6672760087835345E-2</v>
      </c>
    </row>
    <row r="28" spans="1:11" ht="15.75" thickBot="1">
      <c r="A28" s="1162"/>
      <c r="B28" s="1173" t="s">
        <v>893</v>
      </c>
      <c r="C28" s="1174">
        <f>C27-C26</f>
        <v>-75751222</v>
      </c>
      <c r="D28" s="1175">
        <f>D27-D26</f>
        <v>22000</v>
      </c>
      <c r="E28" s="1176">
        <f>E27-E26</f>
        <v>-75729222</v>
      </c>
      <c r="F28" s="1177"/>
      <c r="H28" s="1174">
        <f>H27-H26</f>
        <v>-86230222</v>
      </c>
      <c r="I28" s="1175">
        <f>I27-I26</f>
        <v>22000</v>
      </c>
      <c r="J28" s="1176">
        <f>J27-J26</f>
        <v>-86208222</v>
      </c>
      <c r="K28" s="1177"/>
    </row>
    <row r="29" spans="1:11">
      <c r="B29" s="1121"/>
    </row>
  </sheetData>
  <mergeCells count="8">
    <mergeCell ref="A14:A16"/>
    <mergeCell ref="A22:A23"/>
    <mergeCell ref="H6:K6"/>
    <mergeCell ref="H7:K7"/>
    <mergeCell ref="C6:F6"/>
    <mergeCell ref="C7:F7"/>
    <mergeCell ref="C10:F10"/>
    <mergeCell ref="H10:K10"/>
  </mergeCells>
  <pageMargins left="1" right="0.7" top="1" bottom="0.75" header="0.3" footer="0.3"/>
  <pageSetup scale="70" orientation="landscape"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
  <sheetViews>
    <sheetView workbookViewId="0">
      <selection activeCell="C23" sqref="C23"/>
    </sheetView>
  </sheetViews>
  <sheetFormatPr defaultRowHeight="10.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V403"/>
  <sheetViews>
    <sheetView showGridLines="0" zoomScale="80" zoomScaleNormal="80" workbookViewId="0">
      <pane xSplit="4" ySplit="7" topLeftCell="E8" activePane="bottomRight" state="frozen"/>
      <selection pane="topRight" activeCell="E1" sqref="E1"/>
      <selection pane="bottomLeft" activeCell="A8" sqref="A8"/>
      <selection pane="bottomRight" activeCell="A310" sqref="A310"/>
    </sheetView>
  </sheetViews>
  <sheetFormatPr defaultRowHeight="12.75"/>
  <cols>
    <col min="1" max="1" width="6" style="758" customWidth="1"/>
    <col min="2" max="2" width="1.5" style="758" customWidth="1"/>
    <col min="3" max="3" width="46.33203125" style="758" bestFit="1" customWidth="1"/>
    <col min="4" max="4" width="2" style="758" customWidth="1"/>
    <col min="5" max="5" width="22.5" style="758" bestFit="1" customWidth="1"/>
    <col min="6" max="6" width="2" style="758" customWidth="1"/>
    <col min="7" max="7" width="21" style="758" bestFit="1" customWidth="1"/>
    <col min="8" max="8" width="19" style="758" bestFit="1" customWidth="1"/>
    <col min="9" max="9" width="20.33203125" style="758" bestFit="1" customWidth="1"/>
    <col min="10" max="19" width="17.33203125" style="758" customWidth="1"/>
    <col min="20" max="20" width="8.5" style="758" bestFit="1" customWidth="1"/>
    <col min="21" max="21" width="21" style="782" bestFit="1" customWidth="1"/>
    <col min="22" max="22" width="9.5" style="782" bestFit="1" customWidth="1"/>
    <col min="23" max="256" width="9.33203125" style="758"/>
    <col min="257" max="257" width="6" style="758" customWidth="1"/>
    <col min="258" max="258" width="1.5" style="758" customWidth="1"/>
    <col min="259" max="259" width="46.33203125" style="758" bestFit="1" customWidth="1"/>
    <col min="260" max="260" width="2" style="758" customWidth="1"/>
    <col min="261" max="261" width="22.5" style="758" bestFit="1" customWidth="1"/>
    <col min="262" max="262" width="2" style="758" customWidth="1"/>
    <col min="263" max="263" width="21" style="758" bestFit="1" customWidth="1"/>
    <col min="264" max="264" width="19" style="758" bestFit="1" customWidth="1"/>
    <col min="265" max="265" width="20.33203125" style="758" bestFit="1" customWidth="1"/>
    <col min="266" max="275" width="17.33203125" style="758" customWidth="1"/>
    <col min="276" max="276" width="8.5" style="758" bestFit="1" customWidth="1"/>
    <col min="277" max="512" width="9.33203125" style="758"/>
    <col min="513" max="513" width="6" style="758" customWidth="1"/>
    <col min="514" max="514" width="1.5" style="758" customWidth="1"/>
    <col min="515" max="515" width="46.33203125" style="758" bestFit="1" customWidth="1"/>
    <col min="516" max="516" width="2" style="758" customWidth="1"/>
    <col min="517" max="517" width="22.5" style="758" bestFit="1" customWidth="1"/>
    <col min="518" max="518" width="2" style="758" customWidth="1"/>
    <col min="519" max="519" width="21" style="758" bestFit="1" customWidth="1"/>
    <col min="520" max="520" width="19" style="758" bestFit="1" customWidth="1"/>
    <col min="521" max="521" width="20.33203125" style="758" bestFit="1" customWidth="1"/>
    <col min="522" max="531" width="17.33203125" style="758" customWidth="1"/>
    <col min="532" max="532" width="8.5" style="758" bestFit="1" customWidth="1"/>
    <col min="533" max="768" width="9.33203125" style="758"/>
    <col min="769" max="769" width="6" style="758" customWidth="1"/>
    <col min="770" max="770" width="1.5" style="758" customWidth="1"/>
    <col min="771" max="771" width="46.33203125" style="758" bestFit="1" customWidth="1"/>
    <col min="772" max="772" width="2" style="758" customWidth="1"/>
    <col min="773" max="773" width="22.5" style="758" bestFit="1" customWidth="1"/>
    <col min="774" max="774" width="2" style="758" customWidth="1"/>
    <col min="775" max="775" width="21" style="758" bestFit="1" customWidth="1"/>
    <col min="776" max="776" width="19" style="758" bestFit="1" customWidth="1"/>
    <col min="777" max="777" width="20.33203125" style="758" bestFit="1" customWidth="1"/>
    <col min="778" max="787" width="17.33203125" style="758" customWidth="1"/>
    <col min="788" max="788" width="8.5" style="758" bestFit="1" customWidth="1"/>
    <col min="789" max="1024" width="9.33203125" style="758"/>
    <col min="1025" max="1025" width="6" style="758" customWidth="1"/>
    <col min="1026" max="1026" width="1.5" style="758" customWidth="1"/>
    <col min="1027" max="1027" width="46.33203125" style="758" bestFit="1" customWidth="1"/>
    <col min="1028" max="1028" width="2" style="758" customWidth="1"/>
    <col min="1029" max="1029" width="22.5" style="758" bestFit="1" customWidth="1"/>
    <col min="1030" max="1030" width="2" style="758" customWidth="1"/>
    <col min="1031" max="1031" width="21" style="758" bestFit="1" customWidth="1"/>
    <col min="1032" max="1032" width="19" style="758" bestFit="1" customWidth="1"/>
    <col min="1033" max="1033" width="20.33203125" style="758" bestFit="1" customWidth="1"/>
    <col min="1034" max="1043" width="17.33203125" style="758" customWidth="1"/>
    <col min="1044" max="1044" width="8.5" style="758" bestFit="1" customWidth="1"/>
    <col min="1045" max="1280" width="9.33203125" style="758"/>
    <col min="1281" max="1281" width="6" style="758" customWidth="1"/>
    <col min="1282" max="1282" width="1.5" style="758" customWidth="1"/>
    <col min="1283" max="1283" width="46.33203125" style="758" bestFit="1" customWidth="1"/>
    <col min="1284" max="1284" width="2" style="758" customWidth="1"/>
    <col min="1285" max="1285" width="22.5" style="758" bestFit="1" customWidth="1"/>
    <col min="1286" max="1286" width="2" style="758" customWidth="1"/>
    <col min="1287" max="1287" width="21" style="758" bestFit="1" customWidth="1"/>
    <col min="1288" max="1288" width="19" style="758" bestFit="1" customWidth="1"/>
    <col min="1289" max="1289" width="20.33203125" style="758" bestFit="1" customWidth="1"/>
    <col min="1290" max="1299" width="17.33203125" style="758" customWidth="1"/>
    <col min="1300" max="1300" width="8.5" style="758" bestFit="1" customWidth="1"/>
    <col min="1301" max="1536" width="9.33203125" style="758"/>
    <col min="1537" max="1537" width="6" style="758" customWidth="1"/>
    <col min="1538" max="1538" width="1.5" style="758" customWidth="1"/>
    <col min="1539" max="1539" width="46.33203125" style="758" bestFit="1" customWidth="1"/>
    <col min="1540" max="1540" width="2" style="758" customWidth="1"/>
    <col min="1541" max="1541" width="22.5" style="758" bestFit="1" customWidth="1"/>
    <col min="1542" max="1542" width="2" style="758" customWidth="1"/>
    <col min="1543" max="1543" width="21" style="758" bestFit="1" customWidth="1"/>
    <col min="1544" max="1544" width="19" style="758" bestFit="1" customWidth="1"/>
    <col min="1545" max="1545" width="20.33203125" style="758" bestFit="1" customWidth="1"/>
    <col min="1546" max="1555" width="17.33203125" style="758" customWidth="1"/>
    <col min="1556" max="1556" width="8.5" style="758" bestFit="1" customWidth="1"/>
    <col min="1557" max="1792" width="9.33203125" style="758"/>
    <col min="1793" max="1793" width="6" style="758" customWidth="1"/>
    <col min="1794" max="1794" width="1.5" style="758" customWidth="1"/>
    <col min="1795" max="1795" width="46.33203125" style="758" bestFit="1" customWidth="1"/>
    <col min="1796" max="1796" width="2" style="758" customWidth="1"/>
    <col min="1797" max="1797" width="22.5" style="758" bestFit="1" customWidth="1"/>
    <col min="1798" max="1798" width="2" style="758" customWidth="1"/>
    <col min="1799" max="1799" width="21" style="758" bestFit="1" customWidth="1"/>
    <col min="1800" max="1800" width="19" style="758" bestFit="1" customWidth="1"/>
    <col min="1801" max="1801" width="20.33203125" style="758" bestFit="1" customWidth="1"/>
    <col min="1802" max="1811" width="17.33203125" style="758" customWidth="1"/>
    <col min="1812" max="1812" width="8.5" style="758" bestFit="1" customWidth="1"/>
    <col min="1813" max="2048" width="9.33203125" style="758"/>
    <col min="2049" max="2049" width="6" style="758" customWidth="1"/>
    <col min="2050" max="2050" width="1.5" style="758" customWidth="1"/>
    <col min="2051" max="2051" width="46.33203125" style="758" bestFit="1" customWidth="1"/>
    <col min="2052" max="2052" width="2" style="758" customWidth="1"/>
    <col min="2053" max="2053" width="22.5" style="758" bestFit="1" customWidth="1"/>
    <col min="2054" max="2054" width="2" style="758" customWidth="1"/>
    <col min="2055" max="2055" width="21" style="758" bestFit="1" customWidth="1"/>
    <col min="2056" max="2056" width="19" style="758" bestFit="1" customWidth="1"/>
    <col min="2057" max="2057" width="20.33203125" style="758" bestFit="1" customWidth="1"/>
    <col min="2058" max="2067" width="17.33203125" style="758" customWidth="1"/>
    <col min="2068" max="2068" width="8.5" style="758" bestFit="1" customWidth="1"/>
    <col min="2069" max="2304" width="9.33203125" style="758"/>
    <col min="2305" max="2305" width="6" style="758" customWidth="1"/>
    <col min="2306" max="2306" width="1.5" style="758" customWidth="1"/>
    <col min="2307" max="2307" width="46.33203125" style="758" bestFit="1" customWidth="1"/>
    <col min="2308" max="2308" width="2" style="758" customWidth="1"/>
    <col min="2309" max="2309" width="22.5" style="758" bestFit="1" customWidth="1"/>
    <col min="2310" max="2310" width="2" style="758" customWidth="1"/>
    <col min="2311" max="2311" width="21" style="758" bestFit="1" customWidth="1"/>
    <col min="2312" max="2312" width="19" style="758" bestFit="1" customWidth="1"/>
    <col min="2313" max="2313" width="20.33203125" style="758" bestFit="1" customWidth="1"/>
    <col min="2314" max="2323" width="17.33203125" style="758" customWidth="1"/>
    <col min="2324" max="2324" width="8.5" style="758" bestFit="1" customWidth="1"/>
    <col min="2325" max="2560" width="9.33203125" style="758"/>
    <col min="2561" max="2561" width="6" style="758" customWidth="1"/>
    <col min="2562" max="2562" width="1.5" style="758" customWidth="1"/>
    <col min="2563" max="2563" width="46.33203125" style="758" bestFit="1" customWidth="1"/>
    <col min="2564" max="2564" width="2" style="758" customWidth="1"/>
    <col min="2565" max="2565" width="22.5" style="758" bestFit="1" customWidth="1"/>
    <col min="2566" max="2566" width="2" style="758" customWidth="1"/>
    <col min="2567" max="2567" width="21" style="758" bestFit="1" customWidth="1"/>
    <col min="2568" max="2568" width="19" style="758" bestFit="1" customWidth="1"/>
    <col min="2569" max="2569" width="20.33203125" style="758" bestFit="1" customWidth="1"/>
    <col min="2570" max="2579" width="17.33203125" style="758" customWidth="1"/>
    <col min="2580" max="2580" width="8.5" style="758" bestFit="1" customWidth="1"/>
    <col min="2581" max="2816" width="9.33203125" style="758"/>
    <col min="2817" max="2817" width="6" style="758" customWidth="1"/>
    <col min="2818" max="2818" width="1.5" style="758" customWidth="1"/>
    <col min="2819" max="2819" width="46.33203125" style="758" bestFit="1" customWidth="1"/>
    <col min="2820" max="2820" width="2" style="758" customWidth="1"/>
    <col min="2821" max="2821" width="22.5" style="758" bestFit="1" customWidth="1"/>
    <col min="2822" max="2822" width="2" style="758" customWidth="1"/>
    <col min="2823" max="2823" width="21" style="758" bestFit="1" customWidth="1"/>
    <col min="2824" max="2824" width="19" style="758" bestFit="1" customWidth="1"/>
    <col min="2825" max="2825" width="20.33203125" style="758" bestFit="1" customWidth="1"/>
    <col min="2826" max="2835" width="17.33203125" style="758" customWidth="1"/>
    <col min="2836" max="2836" width="8.5" style="758" bestFit="1" customWidth="1"/>
    <col min="2837" max="3072" width="9.33203125" style="758"/>
    <col min="3073" max="3073" width="6" style="758" customWidth="1"/>
    <col min="3074" max="3074" width="1.5" style="758" customWidth="1"/>
    <col min="3075" max="3075" width="46.33203125" style="758" bestFit="1" customWidth="1"/>
    <col min="3076" max="3076" width="2" style="758" customWidth="1"/>
    <col min="3077" max="3077" width="22.5" style="758" bestFit="1" customWidth="1"/>
    <col min="3078" max="3078" width="2" style="758" customWidth="1"/>
    <col min="3079" max="3079" width="21" style="758" bestFit="1" customWidth="1"/>
    <col min="3080" max="3080" width="19" style="758" bestFit="1" customWidth="1"/>
    <col min="3081" max="3081" width="20.33203125" style="758" bestFit="1" customWidth="1"/>
    <col min="3082" max="3091" width="17.33203125" style="758" customWidth="1"/>
    <col min="3092" max="3092" width="8.5" style="758" bestFit="1" customWidth="1"/>
    <col min="3093" max="3328" width="9.33203125" style="758"/>
    <col min="3329" max="3329" width="6" style="758" customWidth="1"/>
    <col min="3330" max="3330" width="1.5" style="758" customWidth="1"/>
    <col min="3331" max="3331" width="46.33203125" style="758" bestFit="1" customWidth="1"/>
    <col min="3332" max="3332" width="2" style="758" customWidth="1"/>
    <col min="3333" max="3333" width="22.5" style="758" bestFit="1" customWidth="1"/>
    <col min="3334" max="3334" width="2" style="758" customWidth="1"/>
    <col min="3335" max="3335" width="21" style="758" bestFit="1" customWidth="1"/>
    <col min="3336" max="3336" width="19" style="758" bestFit="1" customWidth="1"/>
    <col min="3337" max="3337" width="20.33203125" style="758" bestFit="1" customWidth="1"/>
    <col min="3338" max="3347" width="17.33203125" style="758" customWidth="1"/>
    <col min="3348" max="3348" width="8.5" style="758" bestFit="1" customWidth="1"/>
    <col min="3349" max="3584" width="9.33203125" style="758"/>
    <col min="3585" max="3585" width="6" style="758" customWidth="1"/>
    <col min="3586" max="3586" width="1.5" style="758" customWidth="1"/>
    <col min="3587" max="3587" width="46.33203125" style="758" bestFit="1" customWidth="1"/>
    <col min="3588" max="3588" width="2" style="758" customWidth="1"/>
    <col min="3589" max="3589" width="22.5" style="758" bestFit="1" customWidth="1"/>
    <col min="3590" max="3590" width="2" style="758" customWidth="1"/>
    <col min="3591" max="3591" width="21" style="758" bestFit="1" customWidth="1"/>
    <col min="3592" max="3592" width="19" style="758" bestFit="1" customWidth="1"/>
    <col min="3593" max="3593" width="20.33203125" style="758" bestFit="1" customWidth="1"/>
    <col min="3594" max="3603" width="17.33203125" style="758" customWidth="1"/>
    <col min="3604" max="3604" width="8.5" style="758" bestFit="1" customWidth="1"/>
    <col min="3605" max="3840" width="9.33203125" style="758"/>
    <col min="3841" max="3841" width="6" style="758" customWidth="1"/>
    <col min="3842" max="3842" width="1.5" style="758" customWidth="1"/>
    <col min="3843" max="3843" width="46.33203125" style="758" bestFit="1" customWidth="1"/>
    <col min="3844" max="3844" width="2" style="758" customWidth="1"/>
    <col min="3845" max="3845" width="22.5" style="758" bestFit="1" customWidth="1"/>
    <col min="3846" max="3846" width="2" style="758" customWidth="1"/>
    <col min="3847" max="3847" width="21" style="758" bestFit="1" customWidth="1"/>
    <col min="3848" max="3848" width="19" style="758" bestFit="1" customWidth="1"/>
    <col min="3849" max="3849" width="20.33203125" style="758" bestFit="1" customWidth="1"/>
    <col min="3850" max="3859" width="17.33203125" style="758" customWidth="1"/>
    <col min="3860" max="3860" width="8.5" style="758" bestFit="1" customWidth="1"/>
    <col min="3861" max="4096" width="9.33203125" style="758"/>
    <col min="4097" max="4097" width="6" style="758" customWidth="1"/>
    <col min="4098" max="4098" width="1.5" style="758" customWidth="1"/>
    <col min="4099" max="4099" width="46.33203125" style="758" bestFit="1" customWidth="1"/>
    <col min="4100" max="4100" width="2" style="758" customWidth="1"/>
    <col min="4101" max="4101" width="22.5" style="758" bestFit="1" customWidth="1"/>
    <col min="4102" max="4102" width="2" style="758" customWidth="1"/>
    <col min="4103" max="4103" width="21" style="758" bestFit="1" customWidth="1"/>
    <col min="4104" max="4104" width="19" style="758" bestFit="1" customWidth="1"/>
    <col min="4105" max="4105" width="20.33203125" style="758" bestFit="1" customWidth="1"/>
    <col min="4106" max="4115" width="17.33203125" style="758" customWidth="1"/>
    <col min="4116" max="4116" width="8.5" style="758" bestFit="1" customWidth="1"/>
    <col min="4117" max="4352" width="9.33203125" style="758"/>
    <col min="4353" max="4353" width="6" style="758" customWidth="1"/>
    <col min="4354" max="4354" width="1.5" style="758" customWidth="1"/>
    <col min="4355" max="4355" width="46.33203125" style="758" bestFit="1" customWidth="1"/>
    <col min="4356" max="4356" width="2" style="758" customWidth="1"/>
    <col min="4357" max="4357" width="22.5" style="758" bestFit="1" customWidth="1"/>
    <col min="4358" max="4358" width="2" style="758" customWidth="1"/>
    <col min="4359" max="4359" width="21" style="758" bestFit="1" customWidth="1"/>
    <col min="4360" max="4360" width="19" style="758" bestFit="1" customWidth="1"/>
    <col min="4361" max="4361" width="20.33203125" style="758" bestFit="1" customWidth="1"/>
    <col min="4362" max="4371" width="17.33203125" style="758" customWidth="1"/>
    <col min="4372" max="4372" width="8.5" style="758" bestFit="1" customWidth="1"/>
    <col min="4373" max="4608" width="9.33203125" style="758"/>
    <col min="4609" max="4609" width="6" style="758" customWidth="1"/>
    <col min="4610" max="4610" width="1.5" style="758" customWidth="1"/>
    <col min="4611" max="4611" width="46.33203125" style="758" bestFit="1" customWidth="1"/>
    <col min="4612" max="4612" width="2" style="758" customWidth="1"/>
    <col min="4613" max="4613" width="22.5" style="758" bestFit="1" customWidth="1"/>
    <col min="4614" max="4614" width="2" style="758" customWidth="1"/>
    <col min="4615" max="4615" width="21" style="758" bestFit="1" customWidth="1"/>
    <col min="4616" max="4616" width="19" style="758" bestFit="1" customWidth="1"/>
    <col min="4617" max="4617" width="20.33203125" style="758" bestFit="1" customWidth="1"/>
    <col min="4618" max="4627" width="17.33203125" style="758" customWidth="1"/>
    <col min="4628" max="4628" width="8.5" style="758" bestFit="1" customWidth="1"/>
    <col min="4629" max="4864" width="9.33203125" style="758"/>
    <col min="4865" max="4865" width="6" style="758" customWidth="1"/>
    <col min="4866" max="4866" width="1.5" style="758" customWidth="1"/>
    <col min="4867" max="4867" width="46.33203125" style="758" bestFit="1" customWidth="1"/>
    <col min="4868" max="4868" width="2" style="758" customWidth="1"/>
    <col min="4869" max="4869" width="22.5" style="758" bestFit="1" customWidth="1"/>
    <col min="4870" max="4870" width="2" style="758" customWidth="1"/>
    <col min="4871" max="4871" width="21" style="758" bestFit="1" customWidth="1"/>
    <col min="4872" max="4872" width="19" style="758" bestFit="1" customWidth="1"/>
    <col min="4873" max="4873" width="20.33203125" style="758" bestFit="1" customWidth="1"/>
    <col min="4874" max="4883" width="17.33203125" style="758" customWidth="1"/>
    <col min="4884" max="4884" width="8.5" style="758" bestFit="1" customWidth="1"/>
    <col min="4885" max="5120" width="9.33203125" style="758"/>
    <col min="5121" max="5121" width="6" style="758" customWidth="1"/>
    <col min="5122" max="5122" width="1.5" style="758" customWidth="1"/>
    <col min="5123" max="5123" width="46.33203125" style="758" bestFit="1" customWidth="1"/>
    <col min="5124" max="5124" width="2" style="758" customWidth="1"/>
    <col min="5125" max="5125" width="22.5" style="758" bestFit="1" customWidth="1"/>
    <col min="5126" max="5126" width="2" style="758" customWidth="1"/>
    <col min="5127" max="5127" width="21" style="758" bestFit="1" customWidth="1"/>
    <col min="5128" max="5128" width="19" style="758" bestFit="1" customWidth="1"/>
    <col min="5129" max="5129" width="20.33203125" style="758" bestFit="1" customWidth="1"/>
    <col min="5130" max="5139" width="17.33203125" style="758" customWidth="1"/>
    <col min="5140" max="5140" width="8.5" style="758" bestFit="1" customWidth="1"/>
    <col min="5141" max="5376" width="9.33203125" style="758"/>
    <col min="5377" max="5377" width="6" style="758" customWidth="1"/>
    <col min="5378" max="5378" width="1.5" style="758" customWidth="1"/>
    <col min="5379" max="5379" width="46.33203125" style="758" bestFit="1" customWidth="1"/>
    <col min="5380" max="5380" width="2" style="758" customWidth="1"/>
    <col min="5381" max="5381" width="22.5" style="758" bestFit="1" customWidth="1"/>
    <col min="5382" max="5382" width="2" style="758" customWidth="1"/>
    <col min="5383" max="5383" width="21" style="758" bestFit="1" customWidth="1"/>
    <col min="5384" max="5384" width="19" style="758" bestFit="1" customWidth="1"/>
    <col min="5385" max="5385" width="20.33203125" style="758" bestFit="1" customWidth="1"/>
    <col min="5386" max="5395" width="17.33203125" style="758" customWidth="1"/>
    <col min="5396" max="5396" width="8.5" style="758" bestFit="1" customWidth="1"/>
    <col min="5397" max="5632" width="9.33203125" style="758"/>
    <col min="5633" max="5633" width="6" style="758" customWidth="1"/>
    <col min="5634" max="5634" width="1.5" style="758" customWidth="1"/>
    <col min="5635" max="5635" width="46.33203125" style="758" bestFit="1" customWidth="1"/>
    <col min="5636" max="5636" width="2" style="758" customWidth="1"/>
    <col min="5637" max="5637" width="22.5" style="758" bestFit="1" customWidth="1"/>
    <col min="5638" max="5638" width="2" style="758" customWidth="1"/>
    <col min="5639" max="5639" width="21" style="758" bestFit="1" customWidth="1"/>
    <col min="5640" max="5640" width="19" style="758" bestFit="1" customWidth="1"/>
    <col min="5641" max="5641" width="20.33203125" style="758" bestFit="1" customWidth="1"/>
    <col min="5642" max="5651" width="17.33203125" style="758" customWidth="1"/>
    <col min="5652" max="5652" width="8.5" style="758" bestFit="1" customWidth="1"/>
    <col min="5653" max="5888" width="9.33203125" style="758"/>
    <col min="5889" max="5889" width="6" style="758" customWidth="1"/>
    <col min="5890" max="5890" width="1.5" style="758" customWidth="1"/>
    <col min="5891" max="5891" width="46.33203125" style="758" bestFit="1" customWidth="1"/>
    <col min="5892" max="5892" width="2" style="758" customWidth="1"/>
    <col min="5893" max="5893" width="22.5" style="758" bestFit="1" customWidth="1"/>
    <col min="5894" max="5894" width="2" style="758" customWidth="1"/>
    <col min="5895" max="5895" width="21" style="758" bestFit="1" customWidth="1"/>
    <col min="5896" max="5896" width="19" style="758" bestFit="1" customWidth="1"/>
    <col min="5897" max="5897" width="20.33203125" style="758" bestFit="1" customWidth="1"/>
    <col min="5898" max="5907" width="17.33203125" style="758" customWidth="1"/>
    <col min="5908" max="5908" width="8.5" style="758" bestFit="1" customWidth="1"/>
    <col min="5909" max="6144" width="9.33203125" style="758"/>
    <col min="6145" max="6145" width="6" style="758" customWidth="1"/>
    <col min="6146" max="6146" width="1.5" style="758" customWidth="1"/>
    <col min="6147" max="6147" width="46.33203125" style="758" bestFit="1" customWidth="1"/>
    <col min="6148" max="6148" width="2" style="758" customWidth="1"/>
    <col min="6149" max="6149" width="22.5" style="758" bestFit="1" customWidth="1"/>
    <col min="6150" max="6150" width="2" style="758" customWidth="1"/>
    <col min="6151" max="6151" width="21" style="758" bestFit="1" customWidth="1"/>
    <col min="6152" max="6152" width="19" style="758" bestFit="1" customWidth="1"/>
    <col min="6153" max="6153" width="20.33203125" style="758" bestFit="1" customWidth="1"/>
    <col min="6154" max="6163" width="17.33203125" style="758" customWidth="1"/>
    <col min="6164" max="6164" width="8.5" style="758" bestFit="1" customWidth="1"/>
    <col min="6165" max="6400" width="9.33203125" style="758"/>
    <col min="6401" max="6401" width="6" style="758" customWidth="1"/>
    <col min="6402" max="6402" width="1.5" style="758" customWidth="1"/>
    <col min="6403" max="6403" width="46.33203125" style="758" bestFit="1" customWidth="1"/>
    <col min="6404" max="6404" width="2" style="758" customWidth="1"/>
    <col min="6405" max="6405" width="22.5" style="758" bestFit="1" customWidth="1"/>
    <col min="6406" max="6406" width="2" style="758" customWidth="1"/>
    <col min="6407" max="6407" width="21" style="758" bestFit="1" customWidth="1"/>
    <col min="6408" max="6408" width="19" style="758" bestFit="1" customWidth="1"/>
    <col min="6409" max="6409" width="20.33203125" style="758" bestFit="1" customWidth="1"/>
    <col min="6410" max="6419" width="17.33203125" style="758" customWidth="1"/>
    <col min="6420" max="6420" width="8.5" style="758" bestFit="1" customWidth="1"/>
    <col min="6421" max="6656" width="9.33203125" style="758"/>
    <col min="6657" max="6657" width="6" style="758" customWidth="1"/>
    <col min="6658" max="6658" width="1.5" style="758" customWidth="1"/>
    <col min="6659" max="6659" width="46.33203125" style="758" bestFit="1" customWidth="1"/>
    <col min="6660" max="6660" width="2" style="758" customWidth="1"/>
    <col min="6661" max="6661" width="22.5" style="758" bestFit="1" customWidth="1"/>
    <col min="6662" max="6662" width="2" style="758" customWidth="1"/>
    <col min="6663" max="6663" width="21" style="758" bestFit="1" customWidth="1"/>
    <col min="6664" max="6664" width="19" style="758" bestFit="1" customWidth="1"/>
    <col min="6665" max="6665" width="20.33203125" style="758" bestFit="1" customWidth="1"/>
    <col min="6666" max="6675" width="17.33203125" style="758" customWidth="1"/>
    <col min="6676" max="6676" width="8.5" style="758" bestFit="1" customWidth="1"/>
    <col min="6677" max="6912" width="9.33203125" style="758"/>
    <col min="6913" max="6913" width="6" style="758" customWidth="1"/>
    <col min="6914" max="6914" width="1.5" style="758" customWidth="1"/>
    <col min="6915" max="6915" width="46.33203125" style="758" bestFit="1" customWidth="1"/>
    <col min="6916" max="6916" width="2" style="758" customWidth="1"/>
    <col min="6917" max="6917" width="22.5" style="758" bestFit="1" customWidth="1"/>
    <col min="6918" max="6918" width="2" style="758" customWidth="1"/>
    <col min="6919" max="6919" width="21" style="758" bestFit="1" customWidth="1"/>
    <col min="6920" max="6920" width="19" style="758" bestFit="1" customWidth="1"/>
    <col min="6921" max="6921" width="20.33203125" style="758" bestFit="1" customWidth="1"/>
    <col min="6922" max="6931" width="17.33203125" style="758" customWidth="1"/>
    <col min="6932" max="6932" width="8.5" style="758" bestFit="1" customWidth="1"/>
    <col min="6933" max="7168" width="9.33203125" style="758"/>
    <col min="7169" max="7169" width="6" style="758" customWidth="1"/>
    <col min="7170" max="7170" width="1.5" style="758" customWidth="1"/>
    <col min="7171" max="7171" width="46.33203125" style="758" bestFit="1" customWidth="1"/>
    <col min="7172" max="7172" width="2" style="758" customWidth="1"/>
    <col min="7173" max="7173" width="22.5" style="758" bestFit="1" customWidth="1"/>
    <col min="7174" max="7174" width="2" style="758" customWidth="1"/>
    <col min="7175" max="7175" width="21" style="758" bestFit="1" customWidth="1"/>
    <col min="7176" max="7176" width="19" style="758" bestFit="1" customWidth="1"/>
    <col min="7177" max="7177" width="20.33203125" style="758" bestFit="1" customWidth="1"/>
    <col min="7178" max="7187" width="17.33203125" style="758" customWidth="1"/>
    <col min="7188" max="7188" width="8.5" style="758" bestFit="1" customWidth="1"/>
    <col min="7189" max="7424" width="9.33203125" style="758"/>
    <col min="7425" max="7425" width="6" style="758" customWidth="1"/>
    <col min="7426" max="7426" width="1.5" style="758" customWidth="1"/>
    <col min="7427" max="7427" width="46.33203125" style="758" bestFit="1" customWidth="1"/>
    <col min="7428" max="7428" width="2" style="758" customWidth="1"/>
    <col min="7429" max="7429" width="22.5" style="758" bestFit="1" customWidth="1"/>
    <col min="7430" max="7430" width="2" style="758" customWidth="1"/>
    <col min="7431" max="7431" width="21" style="758" bestFit="1" customWidth="1"/>
    <col min="7432" max="7432" width="19" style="758" bestFit="1" customWidth="1"/>
    <col min="7433" max="7433" width="20.33203125" style="758" bestFit="1" customWidth="1"/>
    <col min="7434" max="7443" width="17.33203125" style="758" customWidth="1"/>
    <col min="7444" max="7444" width="8.5" style="758" bestFit="1" customWidth="1"/>
    <col min="7445" max="7680" width="9.33203125" style="758"/>
    <col min="7681" max="7681" width="6" style="758" customWidth="1"/>
    <col min="7682" max="7682" width="1.5" style="758" customWidth="1"/>
    <col min="7683" max="7683" width="46.33203125" style="758" bestFit="1" customWidth="1"/>
    <col min="7684" max="7684" width="2" style="758" customWidth="1"/>
    <col min="7685" max="7685" width="22.5" style="758" bestFit="1" customWidth="1"/>
    <col min="7686" max="7686" width="2" style="758" customWidth="1"/>
    <col min="7687" max="7687" width="21" style="758" bestFit="1" customWidth="1"/>
    <col min="7688" max="7688" width="19" style="758" bestFit="1" customWidth="1"/>
    <col min="7689" max="7689" width="20.33203125" style="758" bestFit="1" customWidth="1"/>
    <col min="7690" max="7699" width="17.33203125" style="758" customWidth="1"/>
    <col min="7700" max="7700" width="8.5" style="758" bestFit="1" customWidth="1"/>
    <col min="7701" max="7936" width="9.33203125" style="758"/>
    <col min="7937" max="7937" width="6" style="758" customWidth="1"/>
    <col min="7938" max="7938" width="1.5" style="758" customWidth="1"/>
    <col min="7939" max="7939" width="46.33203125" style="758" bestFit="1" customWidth="1"/>
    <col min="7940" max="7940" width="2" style="758" customWidth="1"/>
    <col min="7941" max="7941" width="22.5" style="758" bestFit="1" customWidth="1"/>
    <col min="7942" max="7942" width="2" style="758" customWidth="1"/>
    <col min="7943" max="7943" width="21" style="758" bestFit="1" customWidth="1"/>
    <col min="7944" max="7944" width="19" style="758" bestFit="1" customWidth="1"/>
    <col min="7945" max="7945" width="20.33203125" style="758" bestFit="1" customWidth="1"/>
    <col min="7946" max="7955" width="17.33203125" style="758" customWidth="1"/>
    <col min="7956" max="7956" width="8.5" style="758" bestFit="1" customWidth="1"/>
    <col min="7957" max="8192" width="9.33203125" style="758"/>
    <col min="8193" max="8193" width="6" style="758" customWidth="1"/>
    <col min="8194" max="8194" width="1.5" style="758" customWidth="1"/>
    <col min="8195" max="8195" width="46.33203125" style="758" bestFit="1" customWidth="1"/>
    <col min="8196" max="8196" width="2" style="758" customWidth="1"/>
    <col min="8197" max="8197" width="22.5" style="758" bestFit="1" customWidth="1"/>
    <col min="8198" max="8198" width="2" style="758" customWidth="1"/>
    <col min="8199" max="8199" width="21" style="758" bestFit="1" customWidth="1"/>
    <col min="8200" max="8200" width="19" style="758" bestFit="1" customWidth="1"/>
    <col min="8201" max="8201" width="20.33203125" style="758" bestFit="1" customWidth="1"/>
    <col min="8202" max="8211" width="17.33203125" style="758" customWidth="1"/>
    <col min="8212" max="8212" width="8.5" style="758" bestFit="1" customWidth="1"/>
    <col min="8213" max="8448" width="9.33203125" style="758"/>
    <col min="8449" max="8449" width="6" style="758" customWidth="1"/>
    <col min="8450" max="8450" width="1.5" style="758" customWidth="1"/>
    <col min="8451" max="8451" width="46.33203125" style="758" bestFit="1" customWidth="1"/>
    <col min="8452" max="8452" width="2" style="758" customWidth="1"/>
    <col min="8453" max="8453" width="22.5" style="758" bestFit="1" customWidth="1"/>
    <col min="8454" max="8454" width="2" style="758" customWidth="1"/>
    <col min="8455" max="8455" width="21" style="758" bestFit="1" customWidth="1"/>
    <col min="8456" max="8456" width="19" style="758" bestFit="1" customWidth="1"/>
    <col min="8457" max="8457" width="20.33203125" style="758" bestFit="1" customWidth="1"/>
    <col min="8458" max="8467" width="17.33203125" style="758" customWidth="1"/>
    <col min="8468" max="8468" width="8.5" style="758" bestFit="1" customWidth="1"/>
    <col min="8469" max="8704" width="9.33203125" style="758"/>
    <col min="8705" max="8705" width="6" style="758" customWidth="1"/>
    <col min="8706" max="8706" width="1.5" style="758" customWidth="1"/>
    <col min="8707" max="8707" width="46.33203125" style="758" bestFit="1" customWidth="1"/>
    <col min="8708" max="8708" width="2" style="758" customWidth="1"/>
    <col min="8709" max="8709" width="22.5" style="758" bestFit="1" customWidth="1"/>
    <col min="8710" max="8710" width="2" style="758" customWidth="1"/>
    <col min="8711" max="8711" width="21" style="758" bestFit="1" customWidth="1"/>
    <col min="8712" max="8712" width="19" style="758" bestFit="1" customWidth="1"/>
    <col min="8713" max="8713" width="20.33203125" style="758" bestFit="1" customWidth="1"/>
    <col min="8714" max="8723" width="17.33203125" style="758" customWidth="1"/>
    <col min="8724" max="8724" width="8.5" style="758" bestFit="1" customWidth="1"/>
    <col min="8725" max="8960" width="9.33203125" style="758"/>
    <col min="8961" max="8961" width="6" style="758" customWidth="1"/>
    <col min="8962" max="8962" width="1.5" style="758" customWidth="1"/>
    <col min="8963" max="8963" width="46.33203125" style="758" bestFit="1" customWidth="1"/>
    <col min="8964" max="8964" width="2" style="758" customWidth="1"/>
    <col min="8965" max="8965" width="22.5" style="758" bestFit="1" customWidth="1"/>
    <col min="8966" max="8966" width="2" style="758" customWidth="1"/>
    <col min="8967" max="8967" width="21" style="758" bestFit="1" customWidth="1"/>
    <col min="8968" max="8968" width="19" style="758" bestFit="1" customWidth="1"/>
    <col min="8969" max="8969" width="20.33203125" style="758" bestFit="1" customWidth="1"/>
    <col min="8970" max="8979" width="17.33203125" style="758" customWidth="1"/>
    <col min="8980" max="8980" width="8.5" style="758" bestFit="1" customWidth="1"/>
    <col min="8981" max="9216" width="9.33203125" style="758"/>
    <col min="9217" max="9217" width="6" style="758" customWidth="1"/>
    <col min="9218" max="9218" width="1.5" style="758" customWidth="1"/>
    <col min="9219" max="9219" width="46.33203125" style="758" bestFit="1" customWidth="1"/>
    <col min="9220" max="9220" width="2" style="758" customWidth="1"/>
    <col min="9221" max="9221" width="22.5" style="758" bestFit="1" customWidth="1"/>
    <col min="9222" max="9222" width="2" style="758" customWidth="1"/>
    <col min="9223" max="9223" width="21" style="758" bestFit="1" customWidth="1"/>
    <col min="9224" max="9224" width="19" style="758" bestFit="1" customWidth="1"/>
    <col min="9225" max="9225" width="20.33203125" style="758" bestFit="1" customWidth="1"/>
    <col min="9226" max="9235" width="17.33203125" style="758" customWidth="1"/>
    <col min="9236" max="9236" width="8.5" style="758" bestFit="1" customWidth="1"/>
    <col min="9237" max="9472" width="9.33203125" style="758"/>
    <col min="9473" max="9473" width="6" style="758" customWidth="1"/>
    <col min="9474" max="9474" width="1.5" style="758" customWidth="1"/>
    <col min="9475" max="9475" width="46.33203125" style="758" bestFit="1" customWidth="1"/>
    <col min="9476" max="9476" width="2" style="758" customWidth="1"/>
    <col min="9477" max="9477" width="22.5" style="758" bestFit="1" customWidth="1"/>
    <col min="9478" max="9478" width="2" style="758" customWidth="1"/>
    <col min="9479" max="9479" width="21" style="758" bestFit="1" customWidth="1"/>
    <col min="9480" max="9480" width="19" style="758" bestFit="1" customWidth="1"/>
    <col min="9481" max="9481" width="20.33203125" style="758" bestFit="1" customWidth="1"/>
    <col min="9482" max="9491" width="17.33203125" style="758" customWidth="1"/>
    <col min="9492" max="9492" width="8.5" style="758" bestFit="1" customWidth="1"/>
    <col min="9493" max="9728" width="9.33203125" style="758"/>
    <col min="9729" max="9729" width="6" style="758" customWidth="1"/>
    <col min="9730" max="9730" width="1.5" style="758" customWidth="1"/>
    <col min="9731" max="9731" width="46.33203125" style="758" bestFit="1" customWidth="1"/>
    <col min="9732" max="9732" width="2" style="758" customWidth="1"/>
    <col min="9733" max="9733" width="22.5" style="758" bestFit="1" customWidth="1"/>
    <col min="9734" max="9734" width="2" style="758" customWidth="1"/>
    <col min="9735" max="9735" width="21" style="758" bestFit="1" customWidth="1"/>
    <col min="9736" max="9736" width="19" style="758" bestFit="1" customWidth="1"/>
    <col min="9737" max="9737" width="20.33203125" style="758" bestFit="1" customWidth="1"/>
    <col min="9738" max="9747" width="17.33203125" style="758" customWidth="1"/>
    <col min="9748" max="9748" width="8.5" style="758" bestFit="1" customWidth="1"/>
    <col min="9749" max="9984" width="9.33203125" style="758"/>
    <col min="9985" max="9985" width="6" style="758" customWidth="1"/>
    <col min="9986" max="9986" width="1.5" style="758" customWidth="1"/>
    <col min="9987" max="9987" width="46.33203125" style="758" bestFit="1" customWidth="1"/>
    <col min="9988" max="9988" width="2" style="758" customWidth="1"/>
    <col min="9989" max="9989" width="22.5" style="758" bestFit="1" customWidth="1"/>
    <col min="9990" max="9990" width="2" style="758" customWidth="1"/>
    <col min="9991" max="9991" width="21" style="758" bestFit="1" customWidth="1"/>
    <col min="9992" max="9992" width="19" style="758" bestFit="1" customWidth="1"/>
    <col min="9993" max="9993" width="20.33203125" style="758" bestFit="1" customWidth="1"/>
    <col min="9994" max="10003" width="17.33203125" style="758" customWidth="1"/>
    <col min="10004" max="10004" width="8.5" style="758" bestFit="1" customWidth="1"/>
    <col min="10005" max="10240" width="9.33203125" style="758"/>
    <col min="10241" max="10241" width="6" style="758" customWidth="1"/>
    <col min="10242" max="10242" width="1.5" style="758" customWidth="1"/>
    <col min="10243" max="10243" width="46.33203125" style="758" bestFit="1" customWidth="1"/>
    <col min="10244" max="10244" width="2" style="758" customWidth="1"/>
    <col min="10245" max="10245" width="22.5" style="758" bestFit="1" customWidth="1"/>
    <col min="10246" max="10246" width="2" style="758" customWidth="1"/>
    <col min="10247" max="10247" width="21" style="758" bestFit="1" customWidth="1"/>
    <col min="10248" max="10248" width="19" style="758" bestFit="1" customWidth="1"/>
    <col min="10249" max="10249" width="20.33203125" style="758" bestFit="1" customWidth="1"/>
    <col min="10250" max="10259" width="17.33203125" style="758" customWidth="1"/>
    <col min="10260" max="10260" width="8.5" style="758" bestFit="1" customWidth="1"/>
    <col min="10261" max="10496" width="9.33203125" style="758"/>
    <col min="10497" max="10497" width="6" style="758" customWidth="1"/>
    <col min="10498" max="10498" width="1.5" style="758" customWidth="1"/>
    <col min="10499" max="10499" width="46.33203125" style="758" bestFit="1" customWidth="1"/>
    <col min="10500" max="10500" width="2" style="758" customWidth="1"/>
    <col min="10501" max="10501" width="22.5" style="758" bestFit="1" customWidth="1"/>
    <col min="10502" max="10502" width="2" style="758" customWidth="1"/>
    <col min="10503" max="10503" width="21" style="758" bestFit="1" customWidth="1"/>
    <col min="10504" max="10504" width="19" style="758" bestFit="1" customWidth="1"/>
    <col min="10505" max="10505" width="20.33203125" style="758" bestFit="1" customWidth="1"/>
    <col min="10506" max="10515" width="17.33203125" style="758" customWidth="1"/>
    <col min="10516" max="10516" width="8.5" style="758" bestFit="1" customWidth="1"/>
    <col min="10517" max="10752" width="9.33203125" style="758"/>
    <col min="10753" max="10753" width="6" style="758" customWidth="1"/>
    <col min="10754" max="10754" width="1.5" style="758" customWidth="1"/>
    <col min="10755" max="10755" width="46.33203125" style="758" bestFit="1" customWidth="1"/>
    <col min="10756" max="10756" width="2" style="758" customWidth="1"/>
    <col min="10757" max="10757" width="22.5" style="758" bestFit="1" customWidth="1"/>
    <col min="10758" max="10758" width="2" style="758" customWidth="1"/>
    <col min="10759" max="10759" width="21" style="758" bestFit="1" customWidth="1"/>
    <col min="10760" max="10760" width="19" style="758" bestFit="1" customWidth="1"/>
    <col min="10761" max="10761" width="20.33203125" style="758" bestFit="1" customWidth="1"/>
    <col min="10762" max="10771" width="17.33203125" style="758" customWidth="1"/>
    <col min="10772" max="10772" width="8.5" style="758" bestFit="1" customWidth="1"/>
    <col min="10773" max="11008" width="9.33203125" style="758"/>
    <col min="11009" max="11009" width="6" style="758" customWidth="1"/>
    <col min="11010" max="11010" width="1.5" style="758" customWidth="1"/>
    <col min="11011" max="11011" width="46.33203125" style="758" bestFit="1" customWidth="1"/>
    <col min="11012" max="11012" width="2" style="758" customWidth="1"/>
    <col min="11013" max="11013" width="22.5" style="758" bestFit="1" customWidth="1"/>
    <col min="11014" max="11014" width="2" style="758" customWidth="1"/>
    <col min="11015" max="11015" width="21" style="758" bestFit="1" customWidth="1"/>
    <col min="11016" max="11016" width="19" style="758" bestFit="1" customWidth="1"/>
    <col min="11017" max="11017" width="20.33203125" style="758" bestFit="1" customWidth="1"/>
    <col min="11018" max="11027" width="17.33203125" style="758" customWidth="1"/>
    <col min="11028" max="11028" width="8.5" style="758" bestFit="1" customWidth="1"/>
    <col min="11029" max="11264" width="9.33203125" style="758"/>
    <col min="11265" max="11265" width="6" style="758" customWidth="1"/>
    <col min="11266" max="11266" width="1.5" style="758" customWidth="1"/>
    <col min="11267" max="11267" width="46.33203125" style="758" bestFit="1" customWidth="1"/>
    <col min="11268" max="11268" width="2" style="758" customWidth="1"/>
    <col min="11269" max="11269" width="22.5" style="758" bestFit="1" customWidth="1"/>
    <col min="11270" max="11270" width="2" style="758" customWidth="1"/>
    <col min="11271" max="11271" width="21" style="758" bestFit="1" customWidth="1"/>
    <col min="11272" max="11272" width="19" style="758" bestFit="1" customWidth="1"/>
    <col min="11273" max="11273" width="20.33203125" style="758" bestFit="1" customWidth="1"/>
    <col min="11274" max="11283" width="17.33203125" style="758" customWidth="1"/>
    <col min="11284" max="11284" width="8.5" style="758" bestFit="1" customWidth="1"/>
    <col min="11285" max="11520" width="9.33203125" style="758"/>
    <col min="11521" max="11521" width="6" style="758" customWidth="1"/>
    <col min="11522" max="11522" width="1.5" style="758" customWidth="1"/>
    <col min="11523" max="11523" width="46.33203125" style="758" bestFit="1" customWidth="1"/>
    <col min="11524" max="11524" width="2" style="758" customWidth="1"/>
    <col min="11525" max="11525" width="22.5" style="758" bestFit="1" customWidth="1"/>
    <col min="11526" max="11526" width="2" style="758" customWidth="1"/>
    <col min="11527" max="11527" width="21" style="758" bestFit="1" customWidth="1"/>
    <col min="11528" max="11528" width="19" style="758" bestFit="1" customWidth="1"/>
    <col min="11529" max="11529" width="20.33203125" style="758" bestFit="1" customWidth="1"/>
    <col min="11530" max="11539" width="17.33203125" style="758" customWidth="1"/>
    <col min="11540" max="11540" width="8.5" style="758" bestFit="1" customWidth="1"/>
    <col min="11541" max="11776" width="9.33203125" style="758"/>
    <col min="11777" max="11777" width="6" style="758" customWidth="1"/>
    <col min="11778" max="11778" width="1.5" style="758" customWidth="1"/>
    <col min="11779" max="11779" width="46.33203125" style="758" bestFit="1" customWidth="1"/>
    <col min="11780" max="11780" width="2" style="758" customWidth="1"/>
    <col min="11781" max="11781" width="22.5" style="758" bestFit="1" customWidth="1"/>
    <col min="11782" max="11782" width="2" style="758" customWidth="1"/>
    <col min="11783" max="11783" width="21" style="758" bestFit="1" customWidth="1"/>
    <col min="11784" max="11784" width="19" style="758" bestFit="1" customWidth="1"/>
    <col min="11785" max="11785" width="20.33203125" style="758" bestFit="1" customWidth="1"/>
    <col min="11786" max="11795" width="17.33203125" style="758" customWidth="1"/>
    <col min="11796" max="11796" width="8.5" style="758" bestFit="1" customWidth="1"/>
    <col min="11797" max="12032" width="9.33203125" style="758"/>
    <col min="12033" max="12033" width="6" style="758" customWidth="1"/>
    <col min="12034" max="12034" width="1.5" style="758" customWidth="1"/>
    <col min="12035" max="12035" width="46.33203125" style="758" bestFit="1" customWidth="1"/>
    <col min="12036" max="12036" width="2" style="758" customWidth="1"/>
    <col min="12037" max="12037" width="22.5" style="758" bestFit="1" customWidth="1"/>
    <col min="12038" max="12038" width="2" style="758" customWidth="1"/>
    <col min="12039" max="12039" width="21" style="758" bestFit="1" customWidth="1"/>
    <col min="12040" max="12040" width="19" style="758" bestFit="1" customWidth="1"/>
    <col min="12041" max="12041" width="20.33203125" style="758" bestFit="1" customWidth="1"/>
    <col min="12042" max="12051" width="17.33203125" style="758" customWidth="1"/>
    <col min="12052" max="12052" width="8.5" style="758" bestFit="1" customWidth="1"/>
    <col min="12053" max="12288" width="9.33203125" style="758"/>
    <col min="12289" max="12289" width="6" style="758" customWidth="1"/>
    <col min="12290" max="12290" width="1.5" style="758" customWidth="1"/>
    <col min="12291" max="12291" width="46.33203125" style="758" bestFit="1" customWidth="1"/>
    <col min="12292" max="12292" width="2" style="758" customWidth="1"/>
    <col min="12293" max="12293" width="22.5" style="758" bestFit="1" customWidth="1"/>
    <col min="12294" max="12294" width="2" style="758" customWidth="1"/>
    <col min="12295" max="12295" width="21" style="758" bestFit="1" customWidth="1"/>
    <col min="12296" max="12296" width="19" style="758" bestFit="1" customWidth="1"/>
    <col min="12297" max="12297" width="20.33203125" style="758" bestFit="1" customWidth="1"/>
    <col min="12298" max="12307" width="17.33203125" style="758" customWidth="1"/>
    <col min="12308" max="12308" width="8.5" style="758" bestFit="1" customWidth="1"/>
    <col min="12309" max="12544" width="9.33203125" style="758"/>
    <col min="12545" max="12545" width="6" style="758" customWidth="1"/>
    <col min="12546" max="12546" width="1.5" style="758" customWidth="1"/>
    <col min="12547" max="12547" width="46.33203125" style="758" bestFit="1" customWidth="1"/>
    <col min="12548" max="12548" width="2" style="758" customWidth="1"/>
    <col min="12549" max="12549" width="22.5" style="758" bestFit="1" customWidth="1"/>
    <col min="12550" max="12550" width="2" style="758" customWidth="1"/>
    <col min="12551" max="12551" width="21" style="758" bestFit="1" customWidth="1"/>
    <col min="12552" max="12552" width="19" style="758" bestFit="1" customWidth="1"/>
    <col min="12553" max="12553" width="20.33203125" style="758" bestFit="1" customWidth="1"/>
    <col min="12554" max="12563" width="17.33203125" style="758" customWidth="1"/>
    <col min="12564" max="12564" width="8.5" style="758" bestFit="1" customWidth="1"/>
    <col min="12565" max="12800" width="9.33203125" style="758"/>
    <col min="12801" max="12801" width="6" style="758" customWidth="1"/>
    <col min="12802" max="12802" width="1.5" style="758" customWidth="1"/>
    <col min="12803" max="12803" width="46.33203125" style="758" bestFit="1" customWidth="1"/>
    <col min="12804" max="12804" width="2" style="758" customWidth="1"/>
    <col min="12805" max="12805" width="22.5" style="758" bestFit="1" customWidth="1"/>
    <col min="12806" max="12806" width="2" style="758" customWidth="1"/>
    <col min="12807" max="12807" width="21" style="758" bestFit="1" customWidth="1"/>
    <col min="12808" max="12808" width="19" style="758" bestFit="1" customWidth="1"/>
    <col min="12809" max="12809" width="20.33203125" style="758" bestFit="1" customWidth="1"/>
    <col min="12810" max="12819" width="17.33203125" style="758" customWidth="1"/>
    <col min="12820" max="12820" width="8.5" style="758" bestFit="1" customWidth="1"/>
    <col min="12821" max="13056" width="9.33203125" style="758"/>
    <col min="13057" max="13057" width="6" style="758" customWidth="1"/>
    <col min="13058" max="13058" width="1.5" style="758" customWidth="1"/>
    <col min="13059" max="13059" width="46.33203125" style="758" bestFit="1" customWidth="1"/>
    <col min="13060" max="13060" width="2" style="758" customWidth="1"/>
    <col min="13061" max="13061" width="22.5" style="758" bestFit="1" customWidth="1"/>
    <col min="13062" max="13062" width="2" style="758" customWidth="1"/>
    <col min="13063" max="13063" width="21" style="758" bestFit="1" customWidth="1"/>
    <col min="13064" max="13064" width="19" style="758" bestFit="1" customWidth="1"/>
    <col min="13065" max="13065" width="20.33203125" style="758" bestFit="1" customWidth="1"/>
    <col min="13066" max="13075" width="17.33203125" style="758" customWidth="1"/>
    <col min="13076" max="13076" width="8.5" style="758" bestFit="1" customWidth="1"/>
    <col min="13077" max="13312" width="9.33203125" style="758"/>
    <col min="13313" max="13313" width="6" style="758" customWidth="1"/>
    <col min="13314" max="13314" width="1.5" style="758" customWidth="1"/>
    <col min="13315" max="13315" width="46.33203125" style="758" bestFit="1" customWidth="1"/>
    <col min="13316" max="13316" width="2" style="758" customWidth="1"/>
    <col min="13317" max="13317" width="22.5" style="758" bestFit="1" customWidth="1"/>
    <col min="13318" max="13318" width="2" style="758" customWidth="1"/>
    <col min="13319" max="13319" width="21" style="758" bestFit="1" customWidth="1"/>
    <col min="13320" max="13320" width="19" style="758" bestFit="1" customWidth="1"/>
    <col min="13321" max="13321" width="20.33203125" style="758" bestFit="1" customWidth="1"/>
    <col min="13322" max="13331" width="17.33203125" style="758" customWidth="1"/>
    <col min="13332" max="13332" width="8.5" style="758" bestFit="1" customWidth="1"/>
    <col min="13333" max="13568" width="9.33203125" style="758"/>
    <col min="13569" max="13569" width="6" style="758" customWidth="1"/>
    <col min="13570" max="13570" width="1.5" style="758" customWidth="1"/>
    <col min="13571" max="13571" width="46.33203125" style="758" bestFit="1" customWidth="1"/>
    <col min="13572" max="13572" width="2" style="758" customWidth="1"/>
    <col min="13573" max="13573" width="22.5" style="758" bestFit="1" customWidth="1"/>
    <col min="13574" max="13574" width="2" style="758" customWidth="1"/>
    <col min="13575" max="13575" width="21" style="758" bestFit="1" customWidth="1"/>
    <col min="13576" max="13576" width="19" style="758" bestFit="1" customWidth="1"/>
    <col min="13577" max="13577" width="20.33203125" style="758" bestFit="1" customWidth="1"/>
    <col min="13578" max="13587" width="17.33203125" style="758" customWidth="1"/>
    <col min="13588" max="13588" width="8.5" style="758" bestFit="1" customWidth="1"/>
    <col min="13589" max="13824" width="9.33203125" style="758"/>
    <col min="13825" max="13825" width="6" style="758" customWidth="1"/>
    <col min="13826" max="13826" width="1.5" style="758" customWidth="1"/>
    <col min="13827" max="13827" width="46.33203125" style="758" bestFit="1" customWidth="1"/>
    <col min="13828" max="13828" width="2" style="758" customWidth="1"/>
    <col min="13829" max="13829" width="22.5" style="758" bestFit="1" customWidth="1"/>
    <col min="13830" max="13830" width="2" style="758" customWidth="1"/>
    <col min="13831" max="13831" width="21" style="758" bestFit="1" customWidth="1"/>
    <col min="13832" max="13832" width="19" style="758" bestFit="1" customWidth="1"/>
    <col min="13833" max="13833" width="20.33203125" style="758" bestFit="1" customWidth="1"/>
    <col min="13834" max="13843" width="17.33203125" style="758" customWidth="1"/>
    <col min="13844" max="13844" width="8.5" style="758" bestFit="1" customWidth="1"/>
    <col min="13845" max="14080" width="9.33203125" style="758"/>
    <col min="14081" max="14081" width="6" style="758" customWidth="1"/>
    <col min="14082" max="14082" width="1.5" style="758" customWidth="1"/>
    <col min="14083" max="14083" width="46.33203125" style="758" bestFit="1" customWidth="1"/>
    <col min="14084" max="14084" width="2" style="758" customWidth="1"/>
    <col min="14085" max="14085" width="22.5" style="758" bestFit="1" customWidth="1"/>
    <col min="14086" max="14086" width="2" style="758" customWidth="1"/>
    <col min="14087" max="14087" width="21" style="758" bestFit="1" customWidth="1"/>
    <col min="14088" max="14088" width="19" style="758" bestFit="1" customWidth="1"/>
    <col min="14089" max="14089" width="20.33203125" style="758" bestFit="1" customWidth="1"/>
    <col min="14090" max="14099" width="17.33203125" style="758" customWidth="1"/>
    <col min="14100" max="14100" width="8.5" style="758" bestFit="1" customWidth="1"/>
    <col min="14101" max="14336" width="9.33203125" style="758"/>
    <col min="14337" max="14337" width="6" style="758" customWidth="1"/>
    <col min="14338" max="14338" width="1.5" style="758" customWidth="1"/>
    <col min="14339" max="14339" width="46.33203125" style="758" bestFit="1" customWidth="1"/>
    <col min="14340" max="14340" width="2" style="758" customWidth="1"/>
    <col min="14341" max="14341" width="22.5" style="758" bestFit="1" customWidth="1"/>
    <col min="14342" max="14342" width="2" style="758" customWidth="1"/>
    <col min="14343" max="14343" width="21" style="758" bestFit="1" customWidth="1"/>
    <col min="14344" max="14344" width="19" style="758" bestFit="1" customWidth="1"/>
    <col min="14345" max="14345" width="20.33203125" style="758" bestFit="1" customWidth="1"/>
    <col min="14346" max="14355" width="17.33203125" style="758" customWidth="1"/>
    <col min="14356" max="14356" width="8.5" style="758" bestFit="1" customWidth="1"/>
    <col min="14357" max="14592" width="9.33203125" style="758"/>
    <col min="14593" max="14593" width="6" style="758" customWidth="1"/>
    <col min="14594" max="14594" width="1.5" style="758" customWidth="1"/>
    <col min="14595" max="14595" width="46.33203125" style="758" bestFit="1" customWidth="1"/>
    <col min="14596" max="14596" width="2" style="758" customWidth="1"/>
    <col min="14597" max="14597" width="22.5" style="758" bestFit="1" customWidth="1"/>
    <col min="14598" max="14598" width="2" style="758" customWidth="1"/>
    <col min="14599" max="14599" width="21" style="758" bestFit="1" customWidth="1"/>
    <col min="14600" max="14600" width="19" style="758" bestFit="1" customWidth="1"/>
    <col min="14601" max="14601" width="20.33203125" style="758" bestFit="1" customWidth="1"/>
    <col min="14602" max="14611" width="17.33203125" style="758" customWidth="1"/>
    <col min="14612" max="14612" width="8.5" style="758" bestFit="1" customWidth="1"/>
    <col min="14613" max="14848" width="9.33203125" style="758"/>
    <col min="14849" max="14849" width="6" style="758" customWidth="1"/>
    <col min="14850" max="14850" width="1.5" style="758" customWidth="1"/>
    <col min="14851" max="14851" width="46.33203125" style="758" bestFit="1" customWidth="1"/>
    <col min="14852" max="14852" width="2" style="758" customWidth="1"/>
    <col min="14853" max="14853" width="22.5" style="758" bestFit="1" customWidth="1"/>
    <col min="14854" max="14854" width="2" style="758" customWidth="1"/>
    <col min="14855" max="14855" width="21" style="758" bestFit="1" customWidth="1"/>
    <col min="14856" max="14856" width="19" style="758" bestFit="1" customWidth="1"/>
    <col min="14857" max="14857" width="20.33203125" style="758" bestFit="1" customWidth="1"/>
    <col min="14858" max="14867" width="17.33203125" style="758" customWidth="1"/>
    <col min="14868" max="14868" width="8.5" style="758" bestFit="1" customWidth="1"/>
    <col min="14869" max="15104" width="9.33203125" style="758"/>
    <col min="15105" max="15105" width="6" style="758" customWidth="1"/>
    <col min="15106" max="15106" width="1.5" style="758" customWidth="1"/>
    <col min="15107" max="15107" width="46.33203125" style="758" bestFit="1" customWidth="1"/>
    <col min="15108" max="15108" width="2" style="758" customWidth="1"/>
    <col min="15109" max="15109" width="22.5" style="758" bestFit="1" customWidth="1"/>
    <col min="15110" max="15110" width="2" style="758" customWidth="1"/>
    <col min="15111" max="15111" width="21" style="758" bestFit="1" customWidth="1"/>
    <col min="15112" max="15112" width="19" style="758" bestFit="1" customWidth="1"/>
    <col min="15113" max="15113" width="20.33203125" style="758" bestFit="1" customWidth="1"/>
    <col min="15114" max="15123" width="17.33203125" style="758" customWidth="1"/>
    <col min="15124" max="15124" width="8.5" style="758" bestFit="1" customWidth="1"/>
    <col min="15125" max="15360" width="9.33203125" style="758"/>
    <col min="15361" max="15361" width="6" style="758" customWidth="1"/>
    <col min="15362" max="15362" width="1.5" style="758" customWidth="1"/>
    <col min="15363" max="15363" width="46.33203125" style="758" bestFit="1" customWidth="1"/>
    <col min="15364" max="15364" width="2" style="758" customWidth="1"/>
    <col min="15365" max="15365" width="22.5" style="758" bestFit="1" customWidth="1"/>
    <col min="15366" max="15366" width="2" style="758" customWidth="1"/>
    <col min="15367" max="15367" width="21" style="758" bestFit="1" customWidth="1"/>
    <col min="15368" max="15368" width="19" style="758" bestFit="1" customWidth="1"/>
    <col min="15369" max="15369" width="20.33203125" style="758" bestFit="1" customWidth="1"/>
    <col min="15370" max="15379" width="17.33203125" style="758" customWidth="1"/>
    <col min="15380" max="15380" width="8.5" style="758" bestFit="1" customWidth="1"/>
    <col min="15381" max="15616" width="9.33203125" style="758"/>
    <col min="15617" max="15617" width="6" style="758" customWidth="1"/>
    <col min="15618" max="15618" width="1.5" style="758" customWidth="1"/>
    <col min="15619" max="15619" width="46.33203125" style="758" bestFit="1" customWidth="1"/>
    <col min="15620" max="15620" width="2" style="758" customWidth="1"/>
    <col min="15621" max="15621" width="22.5" style="758" bestFit="1" customWidth="1"/>
    <col min="15622" max="15622" width="2" style="758" customWidth="1"/>
    <col min="15623" max="15623" width="21" style="758" bestFit="1" customWidth="1"/>
    <col min="15624" max="15624" width="19" style="758" bestFit="1" customWidth="1"/>
    <col min="15625" max="15625" width="20.33203125" style="758" bestFit="1" customWidth="1"/>
    <col min="15626" max="15635" width="17.33203125" style="758" customWidth="1"/>
    <col min="15636" max="15636" width="8.5" style="758" bestFit="1" customWidth="1"/>
    <col min="15637" max="15872" width="9.33203125" style="758"/>
    <col min="15873" max="15873" width="6" style="758" customWidth="1"/>
    <col min="15874" max="15874" width="1.5" style="758" customWidth="1"/>
    <col min="15875" max="15875" width="46.33203125" style="758" bestFit="1" customWidth="1"/>
    <col min="15876" max="15876" width="2" style="758" customWidth="1"/>
    <col min="15877" max="15877" width="22.5" style="758" bestFit="1" customWidth="1"/>
    <col min="15878" max="15878" width="2" style="758" customWidth="1"/>
    <col min="15879" max="15879" width="21" style="758" bestFit="1" customWidth="1"/>
    <col min="15880" max="15880" width="19" style="758" bestFit="1" customWidth="1"/>
    <col min="15881" max="15881" width="20.33203125" style="758" bestFit="1" customWidth="1"/>
    <col min="15882" max="15891" width="17.33203125" style="758" customWidth="1"/>
    <col min="15892" max="15892" width="8.5" style="758" bestFit="1" customWidth="1"/>
    <col min="15893" max="16128" width="9.33203125" style="758"/>
    <col min="16129" max="16129" width="6" style="758" customWidth="1"/>
    <col min="16130" max="16130" width="1.5" style="758" customWidth="1"/>
    <col min="16131" max="16131" width="46.33203125" style="758" bestFit="1" customWidth="1"/>
    <col min="16132" max="16132" width="2" style="758" customWidth="1"/>
    <col min="16133" max="16133" width="22.5" style="758" bestFit="1" customWidth="1"/>
    <col min="16134" max="16134" width="2" style="758" customWidth="1"/>
    <col min="16135" max="16135" width="21" style="758" bestFit="1" customWidth="1"/>
    <col min="16136" max="16136" width="19" style="758" bestFit="1" customWidth="1"/>
    <col min="16137" max="16137" width="20.33203125" style="758" bestFit="1" customWidth="1"/>
    <col min="16138" max="16147" width="17.33203125" style="758" customWidth="1"/>
    <col min="16148" max="16148" width="8.5" style="758" bestFit="1" customWidth="1"/>
    <col min="16149" max="16384" width="9.33203125" style="758"/>
  </cols>
  <sheetData>
    <row r="1" spans="1:22">
      <c r="A1" s="1326" t="s">
        <v>213</v>
      </c>
      <c r="B1" s="1326"/>
      <c r="C1" s="1326"/>
      <c r="D1" s="1326"/>
      <c r="E1" s="1326"/>
      <c r="F1" s="1326"/>
      <c r="G1" s="1326"/>
      <c r="H1" s="1326"/>
      <c r="I1" s="1326"/>
      <c r="J1" s="1326"/>
      <c r="K1" s="1326"/>
      <c r="L1" s="1326"/>
      <c r="M1" s="1326"/>
      <c r="N1" s="1326"/>
      <c r="O1" s="1326"/>
      <c r="P1" s="1326"/>
      <c r="Q1" s="1326"/>
      <c r="R1" s="1326"/>
      <c r="S1" s="1326"/>
    </row>
    <row r="2" spans="1:22">
      <c r="A2" s="1326" t="s">
        <v>853</v>
      </c>
      <c r="B2" s="1326"/>
      <c r="C2" s="1326"/>
      <c r="D2" s="1326"/>
      <c r="E2" s="1326"/>
      <c r="F2" s="1326"/>
      <c r="G2" s="1326"/>
      <c r="H2" s="1326"/>
      <c r="I2" s="1326"/>
      <c r="J2" s="1326"/>
      <c r="K2" s="1326"/>
      <c r="L2" s="1326"/>
      <c r="M2" s="1326"/>
      <c r="N2" s="1326"/>
      <c r="O2" s="1326"/>
      <c r="P2" s="1326"/>
      <c r="Q2" s="1326"/>
      <c r="R2" s="1326"/>
      <c r="S2" s="1326"/>
    </row>
    <row r="3" spans="1:22">
      <c r="A3" s="1326" t="str">
        <f>CHOOSE([7]INPUTS!$C$11,[7]INPUTS!$B$5,[7]INPUTS!$B$6,[7]INPUTS!$B$7,[7]INPUTS!$B$8,[7]INPUTS!$B$9)</f>
        <v>Adjusted Test Year Twelve Months ended September 2016 @ Proforma Rev Requirement</v>
      </c>
      <c r="B3" s="1326"/>
      <c r="C3" s="1326"/>
      <c r="D3" s="1326"/>
      <c r="E3" s="1326"/>
      <c r="F3" s="1326"/>
      <c r="G3" s="1326"/>
      <c r="H3" s="1326"/>
      <c r="I3" s="1326"/>
      <c r="J3" s="1326"/>
      <c r="K3" s="1326"/>
      <c r="L3" s="1326"/>
      <c r="M3" s="1326"/>
      <c r="N3" s="1326"/>
      <c r="O3" s="1326"/>
      <c r="P3" s="1326"/>
      <c r="Q3" s="1326"/>
      <c r="R3" s="1326"/>
      <c r="S3" s="1326"/>
    </row>
    <row r="4" spans="1:22" ht="15" customHeight="1">
      <c r="H4" s="1327" t="s">
        <v>995</v>
      </c>
      <c r="I4" s="1327"/>
      <c r="J4" s="1327"/>
      <c r="K4" s="1327"/>
      <c r="L4" s="1327"/>
      <c r="M4" s="1327"/>
    </row>
    <row r="6" spans="1:22" s="759" customFormat="1" ht="53.25" customHeight="1">
      <c r="A6" s="759" t="s">
        <v>854</v>
      </c>
      <c r="C6" s="759" t="s">
        <v>333</v>
      </c>
      <c r="E6" s="759" t="s">
        <v>855</v>
      </c>
      <c r="G6" s="759" t="str">
        <f>[7]INPUTS!$C$18</f>
        <v>Residential Sch 7</v>
      </c>
      <c r="H6" s="759" t="str">
        <f>[7]INPUTS!$C$19</f>
        <v>Sec Volt Sch 24 (kW&lt; 50)</v>
      </c>
      <c r="I6" s="759" t="str">
        <f>[7]INPUTS!$C$20</f>
        <v>Sec Volt Sch 25 (kW &gt; 50 &amp; &lt; 350)</v>
      </c>
      <c r="J6" s="759" t="str">
        <f>[7]INPUTS!$C$21</f>
        <v>Sec Volt Sch 26 (kW &gt; 350)</v>
      </c>
      <c r="K6" s="759" t="str">
        <f>[7]INPUTS!$C$22</f>
        <v>Pri Volt Sch 31 (General Service)</v>
      </c>
      <c r="L6" s="759" t="str">
        <f>[7]INPUTS!$C$23</f>
        <v>Pri Volt Sch 35 (Irrigation)</v>
      </c>
      <c r="M6" s="759" t="str">
        <f>[7]INPUTS!$B$24</f>
        <v>Pri Svc 43</v>
      </c>
      <c r="N6" s="759" t="str">
        <f>[7]INPUTS!$B$25</f>
        <v>Campus 40</v>
      </c>
      <c r="O6" s="759" t="str">
        <f>[7]INPUTS!$B$26</f>
        <v>High Volt 46/49</v>
      </c>
      <c r="P6" s="759" t="str">
        <f>[7]INPUTS!$B$27</f>
        <v>Choice/Retail Wheeling PV</v>
      </c>
      <c r="Q6" s="759" t="str">
        <f>[7]INPUTS!$B$28</f>
        <v>Choice/Retail Wheeling HV</v>
      </c>
      <c r="R6" s="759" t="str">
        <f>[7]INPUTS!$B$29</f>
        <v>Lighting 50-59</v>
      </c>
      <c r="S6" s="759" t="str">
        <f>[7]INPUTS!$B$30</f>
        <v>Firm Resale Small</v>
      </c>
      <c r="U6" s="783"/>
      <c r="V6" s="783"/>
    </row>
    <row r="7" spans="1:22" s="759" customFormat="1">
      <c r="C7" s="759" t="s">
        <v>856</v>
      </c>
      <c r="E7" s="759" t="s">
        <v>857</v>
      </c>
      <c r="G7" s="759" t="s">
        <v>858</v>
      </c>
      <c r="H7" s="759" t="s">
        <v>859</v>
      </c>
      <c r="I7" s="759" t="s">
        <v>860</v>
      </c>
      <c r="J7" s="759" t="s">
        <v>861</v>
      </c>
      <c r="K7" s="759" t="s">
        <v>862</v>
      </c>
      <c r="L7" s="759" t="s">
        <v>961</v>
      </c>
      <c r="M7" s="759" t="s">
        <v>962</v>
      </c>
      <c r="N7" s="759" t="s">
        <v>863</v>
      </c>
      <c r="O7" s="759" t="s">
        <v>864</v>
      </c>
      <c r="P7" s="759" t="s">
        <v>865</v>
      </c>
      <c r="Q7" s="759" t="s">
        <v>866</v>
      </c>
      <c r="R7" s="759" t="s">
        <v>867</v>
      </c>
      <c r="S7" s="759" t="s">
        <v>963</v>
      </c>
      <c r="U7" s="783" t="s">
        <v>726</v>
      </c>
      <c r="V7" s="783" t="s">
        <v>996</v>
      </c>
    </row>
    <row r="9" spans="1:22">
      <c r="C9" s="760" t="s">
        <v>236</v>
      </c>
    </row>
    <row r="10" spans="1:22">
      <c r="A10" s="758">
        <v>1</v>
      </c>
      <c r="C10" s="758" t="s">
        <v>868</v>
      </c>
      <c r="E10" s="761">
        <f>[7]CLASSALLOC!F355</f>
        <v>9523077020.3544521</v>
      </c>
      <c r="F10" s="761"/>
      <c r="G10" s="761">
        <f>[7]CLASSALLOC!H355</f>
        <v>5497453894.501091</v>
      </c>
      <c r="H10" s="761">
        <f>[7]CLASSALLOC!I355</f>
        <v>1195993846.3448415</v>
      </c>
      <c r="I10" s="761">
        <f>[7]CLASSALLOC!J355</f>
        <v>1102643898.6897826</v>
      </c>
      <c r="J10" s="761">
        <f>[7]CLASSALLOC!K355</f>
        <v>631339145.00866091</v>
      </c>
      <c r="K10" s="761">
        <f>[7]CLASSALLOC!L355</f>
        <v>434620851.89509559</v>
      </c>
      <c r="L10" s="761">
        <f>[7]CLASSALLOC!M355</f>
        <v>2183709.6929871188</v>
      </c>
      <c r="M10" s="761">
        <f>[7]CLASSALLOC!N355</f>
        <v>56372330.451128259</v>
      </c>
      <c r="N10" s="761">
        <f>[7]CLASSALLOC!O355</f>
        <v>217623748.31193528</v>
      </c>
      <c r="O10" s="761">
        <f>[7]CLASSALLOC!P355</f>
        <v>166289704.14362237</v>
      </c>
      <c r="P10" s="761">
        <f>[7]CLASSALLOC!Q355</f>
        <v>10978267.461414713</v>
      </c>
      <c r="Q10" s="761">
        <f>[7]CLASSALLOC!R355</f>
        <v>101027314.48486784</v>
      </c>
      <c r="R10" s="761">
        <f>[7]CLASSALLOC!S355</f>
        <v>103318237.45237079</v>
      </c>
      <c r="S10" s="761">
        <f>[7]CLASSALLOC!T355</f>
        <v>3232071.9166556243</v>
      </c>
      <c r="T10" s="762"/>
    </row>
    <row r="11" spans="1:22">
      <c r="A11" s="758">
        <f>A10+1</f>
        <v>2</v>
      </c>
      <c r="C11" s="758" t="s">
        <v>869</v>
      </c>
      <c r="E11" s="761">
        <f>[7]CLASSALLOC!F531</f>
        <v>-3697506273.3020792</v>
      </c>
      <c r="F11" s="761"/>
      <c r="G11" s="761">
        <f>[7]CLASSALLOC!H531</f>
        <v>-2154730741.3196812</v>
      </c>
      <c r="H11" s="761">
        <f>[7]CLASSALLOC!I531</f>
        <v>-459691193.8057552</v>
      </c>
      <c r="I11" s="761">
        <f>[7]CLASSALLOC!J531</f>
        <v>-422716808.68603718</v>
      </c>
      <c r="J11" s="761">
        <f>[7]CLASSALLOC!K531</f>
        <v>-242832128.10890004</v>
      </c>
      <c r="K11" s="761">
        <f>[7]CLASSALLOC!L531</f>
        <v>-166027084.77541173</v>
      </c>
      <c r="L11" s="761">
        <f>[7]CLASSALLOC!M531</f>
        <v>-828680.45000845275</v>
      </c>
      <c r="M11" s="761">
        <f>[7]CLASSALLOC!N531</f>
        <v>-21242171.534732468</v>
      </c>
      <c r="N11" s="761">
        <f>[7]CLASSALLOC!O531</f>
        <v>-88550882.164792031</v>
      </c>
      <c r="O11" s="761">
        <f>[7]CLASSALLOC!P531</f>
        <v>-62532662.752595499</v>
      </c>
      <c r="P11" s="761">
        <f>[7]CLASSALLOC!Q531</f>
        <v>-4355926.7553407867</v>
      </c>
      <c r="Q11" s="761">
        <f>[7]CLASSALLOC!R531</f>
        <v>-32772689.021381747</v>
      </c>
      <c r="R11" s="761">
        <f>[7]CLASSALLOC!S531</f>
        <v>-39994592.806479514</v>
      </c>
      <c r="S11" s="761">
        <f>[7]CLASSALLOC!T531</f>
        <v>-1230711.1209642815</v>
      </c>
      <c r="T11" s="762"/>
    </row>
    <row r="12" spans="1:22">
      <c r="A12" s="758">
        <f>A11+1</f>
        <v>3</v>
      </c>
      <c r="C12" s="758" t="s">
        <v>964</v>
      </c>
      <c r="E12" s="761">
        <f>[7]CLASSALLOC!F707</f>
        <v>0</v>
      </c>
      <c r="F12" s="761"/>
      <c r="G12" s="761">
        <f>[7]CLASSALLOC!H707</f>
        <v>0</v>
      </c>
      <c r="H12" s="761">
        <f>[7]CLASSALLOC!I707</f>
        <v>0</v>
      </c>
      <c r="I12" s="761">
        <f>[7]CLASSALLOC!J707</f>
        <v>0</v>
      </c>
      <c r="J12" s="761">
        <f>[7]CLASSALLOC!K707</f>
        <v>0</v>
      </c>
      <c r="K12" s="761">
        <f>[7]CLASSALLOC!L707</f>
        <v>0</v>
      </c>
      <c r="L12" s="761">
        <f>[7]CLASSALLOC!M707</f>
        <v>0</v>
      </c>
      <c r="M12" s="761">
        <f>[7]CLASSALLOC!N707</f>
        <v>0</v>
      </c>
      <c r="N12" s="761">
        <f>[7]CLASSALLOC!O707</f>
        <v>0</v>
      </c>
      <c r="O12" s="761">
        <f>[7]CLASSALLOC!P707</f>
        <v>0</v>
      </c>
      <c r="P12" s="761">
        <f>[7]CLASSALLOC!Q707</f>
        <v>0</v>
      </c>
      <c r="Q12" s="761">
        <f>[7]CLASSALLOC!R707</f>
        <v>0</v>
      </c>
      <c r="R12" s="761">
        <f>[7]CLASSALLOC!S707</f>
        <v>0</v>
      </c>
      <c r="S12" s="761">
        <f>[7]CLASSALLOC!T707</f>
        <v>0</v>
      </c>
      <c r="T12" s="762"/>
    </row>
    <row r="13" spans="1:22">
      <c r="A13" s="758">
        <f>A12+1</f>
        <v>4</v>
      </c>
      <c r="C13" s="758" t="s">
        <v>965</v>
      </c>
      <c r="E13" s="761">
        <f>[7]CLASSALLOC!F883</f>
        <v>227005241.70228946</v>
      </c>
      <c r="F13" s="761"/>
      <c r="G13" s="761">
        <f>[7]CLASSALLOC!H883</f>
        <v>131044918.29700266</v>
      </c>
      <c r="H13" s="761">
        <f>[7]CLASSALLOC!I883</f>
        <v>28509364.314041473</v>
      </c>
      <c r="I13" s="761">
        <f>[7]CLASSALLOC!J883</f>
        <v>26284145.785929229</v>
      </c>
      <c r="J13" s="761">
        <f>[7]CLASSALLOC!K883</f>
        <v>15049473.495014692</v>
      </c>
      <c r="K13" s="761">
        <f>[7]CLASSALLOC!L883</f>
        <v>10360224.045487026</v>
      </c>
      <c r="L13" s="761">
        <f>[7]CLASSALLOC!M883</f>
        <v>52053.926016207173</v>
      </c>
      <c r="M13" s="761">
        <f>[7]CLASSALLOC!N883</f>
        <v>1343768.8755460051</v>
      </c>
      <c r="N13" s="761">
        <f>[7]CLASSALLOC!O883</f>
        <v>5187580.8081903262</v>
      </c>
      <c r="O13" s="761">
        <f>[7]CLASSALLOC!P883</f>
        <v>3963911.4963621474</v>
      </c>
      <c r="P13" s="761">
        <f>[7]CLASSALLOC!Q883</f>
        <v>261693.17471907509</v>
      </c>
      <c r="Q13" s="761">
        <f>[7]CLASSALLOC!R883</f>
        <v>2408226.867655538</v>
      </c>
      <c r="R13" s="761">
        <f>[7]CLASSALLOC!S883</f>
        <v>2462836.4776427075</v>
      </c>
      <c r="S13" s="761">
        <f>[7]CLASSALLOC!T883</f>
        <v>77044.138682423829</v>
      </c>
      <c r="T13" s="762"/>
    </row>
    <row r="14" spans="1:22">
      <c r="A14" s="758">
        <f>A13+1</f>
        <v>5</v>
      </c>
      <c r="C14" s="758" t="s">
        <v>966</v>
      </c>
      <c r="E14" s="761">
        <f>[7]CLASSALLOC!F1059</f>
        <v>-954828218.80523467</v>
      </c>
      <c r="F14" s="761"/>
      <c r="G14" s="761">
        <f>[7]CLASSALLOC!H1059</f>
        <v>-553863611.89239311</v>
      </c>
      <c r="H14" s="761">
        <f>[7]CLASSALLOC!I1059</f>
        <v>-142119997.29735672</v>
      </c>
      <c r="I14" s="761">
        <f>[7]CLASSALLOC!J1059</f>
        <v>-101517001.69022325</v>
      </c>
      <c r="J14" s="761">
        <f>[7]CLASSALLOC!K1059</f>
        <v>-54963361.566270627</v>
      </c>
      <c r="K14" s="761">
        <f>[7]CLASSALLOC!L1059</f>
        <v>-38126403.321954742</v>
      </c>
      <c r="L14" s="761">
        <f>[7]CLASSALLOC!M1059</f>
        <v>-221613.08711065957</v>
      </c>
      <c r="M14" s="761">
        <f>[7]CLASSALLOC!N1059</f>
        <v>-5669559.1113346992</v>
      </c>
      <c r="N14" s="761">
        <f>[7]CLASSALLOC!O1059</f>
        <v>-18785157.38248707</v>
      </c>
      <c r="O14" s="761">
        <f>[7]CLASSALLOC!P1059</f>
        <v>-13545681.849060217</v>
      </c>
      <c r="P14" s="761">
        <f>[7]CLASSALLOC!Q1059</f>
        <v>-1427344.1649868565</v>
      </c>
      <c r="Q14" s="761">
        <f>[7]CLASSALLOC!R1059</f>
        <v>-13031243.064795025</v>
      </c>
      <c r="R14" s="761">
        <f>[7]CLASSALLOC!S1059</f>
        <v>-11256099.181603197</v>
      </c>
      <c r="S14" s="761">
        <f>[7]CLASSALLOC!T1059</f>
        <v>-301145.19565861009</v>
      </c>
      <c r="T14" s="762"/>
    </row>
    <row r="15" spans="1:22" s="760" customFormat="1">
      <c r="A15" s="760">
        <f>A14+1</f>
        <v>6</v>
      </c>
      <c r="C15" s="760" t="s">
        <v>308</v>
      </c>
      <c r="E15" s="757">
        <f>SUM(E10:E14)</f>
        <v>5097747769.9494276</v>
      </c>
      <c r="F15" s="757"/>
      <c r="G15" s="757">
        <f t="shared" ref="G15:S15" si="0">SUM(G10:G14)</f>
        <v>2919904459.5860195</v>
      </c>
      <c r="H15" s="757">
        <f t="shared" si="0"/>
        <v>622692019.55577111</v>
      </c>
      <c r="I15" s="757">
        <f t="shared" si="0"/>
        <v>604694234.09945142</v>
      </c>
      <c r="J15" s="757">
        <f t="shared" si="0"/>
        <v>348593128.82850486</v>
      </c>
      <c r="K15" s="757">
        <f t="shared" si="0"/>
        <v>240827587.84321618</v>
      </c>
      <c r="L15" s="757">
        <f t="shared" si="0"/>
        <v>1185470.0818842135</v>
      </c>
      <c r="M15" s="757">
        <f t="shared" si="0"/>
        <v>30804368.680607099</v>
      </c>
      <c r="N15" s="757">
        <f t="shared" si="0"/>
        <v>115475289.57284649</v>
      </c>
      <c r="O15" s="757">
        <f t="shared" si="0"/>
        <v>94175271.038328797</v>
      </c>
      <c r="P15" s="757">
        <f t="shared" si="0"/>
        <v>5456689.7158061452</v>
      </c>
      <c r="Q15" s="757">
        <f t="shared" si="0"/>
        <v>57631609.266346596</v>
      </c>
      <c r="R15" s="757">
        <f t="shared" si="0"/>
        <v>54530381.941930786</v>
      </c>
      <c r="S15" s="757">
        <f t="shared" si="0"/>
        <v>1777259.7387151564</v>
      </c>
      <c r="T15" s="763"/>
      <c r="U15" s="782">
        <f>SUM(G15:S15)</f>
        <v>5097747769.9494286</v>
      </c>
      <c r="V15" s="782">
        <f>U15-E15</f>
        <v>0</v>
      </c>
    </row>
    <row r="16" spans="1:22">
      <c r="E16" s="764"/>
      <c r="F16" s="764"/>
      <c r="G16" s="764"/>
      <c r="H16" s="764"/>
      <c r="I16" s="764"/>
      <c r="J16" s="764"/>
      <c r="K16" s="764"/>
      <c r="L16" s="764"/>
      <c r="M16" s="764"/>
      <c r="N16" s="764"/>
      <c r="O16" s="764"/>
      <c r="P16" s="764"/>
      <c r="Q16" s="764"/>
      <c r="R16" s="764"/>
      <c r="S16" s="764"/>
    </row>
    <row r="17" spans="1:22">
      <c r="C17" s="760" t="s">
        <v>967</v>
      </c>
      <c r="E17" s="764"/>
      <c r="F17" s="764"/>
      <c r="G17" s="764"/>
      <c r="H17" s="764"/>
      <c r="I17" s="764"/>
      <c r="J17" s="764"/>
      <c r="K17" s="764"/>
      <c r="L17" s="764"/>
      <c r="M17" s="764"/>
      <c r="N17" s="764"/>
      <c r="O17" s="764"/>
      <c r="P17" s="764"/>
      <c r="Q17" s="764"/>
      <c r="R17" s="764"/>
      <c r="S17" s="764"/>
    </row>
    <row r="18" spans="1:22">
      <c r="A18" s="758">
        <f>A15+1</f>
        <v>7</v>
      </c>
      <c r="C18" s="758" t="s">
        <v>870</v>
      </c>
      <c r="E18" s="761">
        <f>SUM([7]CLASSALLOC!F1944:F1946)</f>
        <v>1963503474.2598822</v>
      </c>
      <c r="F18" s="761"/>
      <c r="G18" s="761">
        <f>SUM([7]CLASSALLOC!H1944:H1946)</f>
        <v>1066627453.9781519</v>
      </c>
      <c r="H18" s="761">
        <f>SUM([7]CLASSALLOC!I1944:I1946)</f>
        <v>266944270.99453214</v>
      </c>
      <c r="I18" s="761">
        <f>SUM([7]CLASSALLOC!J1944:J1946)</f>
        <v>252922819.99481931</v>
      </c>
      <c r="J18" s="761">
        <f>SUM([7]CLASSALLOC!K1944:K1946)</f>
        <v>151834734.99688995</v>
      </c>
      <c r="K18" s="761">
        <f>SUM([7]CLASSALLOC!L1944:L1946)</f>
        <v>101394674.99792311</v>
      </c>
      <c r="L18" s="761">
        <f>SUM([7]CLASSALLOC!M1944:M1946)</f>
        <v>248213.99999491576</v>
      </c>
      <c r="M18" s="761">
        <f>SUM([7]CLASSALLOC!N1944:N1946)</f>
        <v>10337825.999788247</v>
      </c>
      <c r="N18" s="761">
        <f>SUM([7]CLASSALLOC!O1944:O1946)</f>
        <v>47836622.128961235</v>
      </c>
      <c r="O18" s="761">
        <f>SUM([7]CLASSALLOC!P1944:P1946)</f>
        <v>40360091.999173291</v>
      </c>
      <c r="P18" s="761">
        <f>SUM([7]CLASSALLOC!Q1944:Q1946)</f>
        <v>104089686.22831909</v>
      </c>
      <c r="Q18" s="761">
        <f>SUM([7]CLASSALLOC!R1944:R1946)</f>
        <v>-96576407.158319101</v>
      </c>
      <c r="R18" s="761">
        <f>SUM([7]CLASSALLOC!S1944:S1946)</f>
        <v>17167096.999648362</v>
      </c>
      <c r="S18" s="761">
        <f>SUM([7]CLASSALLOC!T1944:T1946)</f>
        <v>316389.10000000003</v>
      </c>
      <c r="T18" s="762"/>
    </row>
    <row r="19" spans="1:22">
      <c r="A19" s="758">
        <f>+A18+1</f>
        <v>8</v>
      </c>
      <c r="C19" s="758" t="s">
        <v>871</v>
      </c>
      <c r="E19" s="761">
        <f>+[7]ACCOUNTALLOC!C631</f>
        <v>30144357.521026254</v>
      </c>
      <c r="F19" s="761"/>
      <c r="G19" s="761">
        <f>+[7]ACCOUNTALLOC!K631</f>
        <v>16105607.946856016</v>
      </c>
      <c r="H19" s="761">
        <f>+[7]ACCOUNTALLOC!S631</f>
        <v>3948327.0331055718</v>
      </c>
      <c r="I19" s="761">
        <f>+[7]ACCOUNTALLOC!AA631</f>
        <v>3975264.3652273193</v>
      </c>
      <c r="J19" s="761">
        <f>+[7]ACCOUNTALLOC!AI631</f>
        <v>2543369.0528060212</v>
      </c>
      <c r="K19" s="761">
        <f>+[7]ACCOUNTALLOC!AQ631</f>
        <v>1676237.8156988611</v>
      </c>
      <c r="L19" s="761">
        <f>+[7]ACCOUNTALLOC!AY631</f>
        <v>4663.3354285965288</v>
      </c>
      <c r="M19" s="761">
        <f>+[7]ACCOUNTALLOC!BG631</f>
        <v>126640.04223406391</v>
      </c>
      <c r="N19" s="761">
        <f>+[7]ACCOUNTALLOC!BO631</f>
        <v>875310.9599956224</v>
      </c>
      <c r="O19" s="761">
        <f>+[7]ACCOUNTALLOC!BW631</f>
        <v>769737.93191560241</v>
      </c>
      <c r="P19" s="761">
        <f>+[7]ACCOUNTALLOC!CE631</f>
        <v>0</v>
      </c>
      <c r="Q19" s="761">
        <f>+[7]ACCOUNTALLOC!CM631</f>
        <v>0</v>
      </c>
      <c r="R19" s="761">
        <f>+[7]ACCOUNTALLOC!CU631</f>
        <v>108949.20390767281</v>
      </c>
      <c r="S19" s="761">
        <f>+[7]ACCOUNTALLOC!DC631</f>
        <v>10249.833850910367</v>
      </c>
      <c r="T19" s="762"/>
    </row>
    <row r="20" spans="1:22">
      <c r="A20" s="758">
        <f>+A19+1</f>
        <v>9</v>
      </c>
      <c r="C20" s="758" t="s">
        <v>872</v>
      </c>
      <c r="E20" s="761">
        <f>SUM(+SUM([7]ACCOUNTALLOC!C628))</f>
        <v>73686618.340696141</v>
      </c>
      <c r="F20" s="761"/>
      <c r="G20" s="761">
        <f>SUM(SUM([7]ACCOUNTALLOC!K628))</f>
        <v>40735207.067722447</v>
      </c>
      <c r="H20" s="761">
        <f>+SUM([7]ACCOUNTALLOC!S628)</f>
        <v>12011556.9790475</v>
      </c>
      <c r="I20" s="761">
        <f>+SUM([7]ACCOUNTALLOC!AA628)</f>
        <v>6920275.1221639253</v>
      </c>
      <c r="J20" s="761">
        <f>SUM([7]ACCOUNTALLOC!AI628)</f>
        <v>3945547.4808120779</v>
      </c>
      <c r="K20" s="761">
        <f>+SUM([7]ACCOUNTALLOC!AQ628)</f>
        <v>3393225.8295655437</v>
      </c>
      <c r="L20" s="761">
        <f>SUM([7]ACCOUNTALLOC!AY628)</f>
        <v>16512.708105746577</v>
      </c>
      <c r="M20" s="761">
        <f>SUM([7]ACCOUNTALLOC!BG628)</f>
        <v>321744.61093872809</v>
      </c>
      <c r="N20" s="761">
        <f>+SUM([7]ACCOUNTALLOC!BO628)</f>
        <v>1270234.2949668828</v>
      </c>
      <c r="O20" s="761">
        <f>SUM([7]ACCOUNTALLOC!BW628)</f>
        <v>3877254.6405150439</v>
      </c>
      <c r="P20" s="761">
        <f>SUM([7]ACCOUNTALLOC!CE628)</f>
        <v>2872.0167694324045</v>
      </c>
      <c r="Q20" s="761">
        <f>SUM([7]ACCOUNTALLOC!CM628)</f>
        <v>875824.88861197536</v>
      </c>
      <c r="R20" s="761">
        <f>SUM([7]ACCOUNTALLOC!CU628)</f>
        <v>290186.85450699658</v>
      </c>
      <c r="S20" s="761">
        <f>SUM([7]ACCOUNTALLOC!DC628)</f>
        <v>26175.846969865284</v>
      </c>
      <c r="T20" s="762"/>
    </row>
    <row r="21" spans="1:22" s="760" customFormat="1">
      <c r="A21" s="760">
        <f>A20+1</f>
        <v>10</v>
      </c>
      <c r="C21" s="760" t="s">
        <v>968</v>
      </c>
      <c r="E21" s="757">
        <f>SUM(E18:E20)</f>
        <v>2067334450.1216047</v>
      </c>
      <c r="F21" s="757"/>
      <c r="G21" s="757">
        <f t="shared" ref="G21:S21" si="1">SUM(G18:G20)</f>
        <v>1123468268.9927304</v>
      </c>
      <c r="H21" s="757">
        <f t="shared" si="1"/>
        <v>282904155.0066852</v>
      </c>
      <c r="I21" s="757">
        <f t="shared" si="1"/>
        <v>263818359.48221055</v>
      </c>
      <c r="J21" s="757">
        <f t="shared" si="1"/>
        <v>158323651.53050804</v>
      </c>
      <c r="K21" s="757">
        <f t="shared" si="1"/>
        <v>106464138.64318751</v>
      </c>
      <c r="L21" s="757">
        <f t="shared" si="1"/>
        <v>269390.04352925887</v>
      </c>
      <c r="M21" s="757">
        <f t="shared" si="1"/>
        <v>10786210.652961038</v>
      </c>
      <c r="N21" s="757">
        <f t="shared" si="1"/>
        <v>49982167.383923739</v>
      </c>
      <c r="O21" s="757">
        <f t="shared" si="1"/>
        <v>45007084.571603939</v>
      </c>
      <c r="P21" s="757">
        <f t="shared" si="1"/>
        <v>104092558.24508853</v>
      </c>
      <c r="Q21" s="757">
        <f t="shared" si="1"/>
        <v>-95700582.269707128</v>
      </c>
      <c r="R21" s="757">
        <f t="shared" si="1"/>
        <v>17566233.05806303</v>
      </c>
      <c r="S21" s="757">
        <f t="shared" si="1"/>
        <v>352814.78082077566</v>
      </c>
      <c r="T21" s="763"/>
      <c r="U21" s="782">
        <f>SUM(G21:S21)</f>
        <v>2067334450.1216052</v>
      </c>
      <c r="V21" s="782">
        <f>U21-E21</f>
        <v>0</v>
      </c>
    </row>
    <row r="22" spans="1:22">
      <c r="E22" s="764"/>
      <c r="F22" s="764"/>
      <c r="G22" s="764"/>
      <c r="H22" s="764"/>
      <c r="I22" s="764"/>
      <c r="J22" s="764"/>
      <c r="K22" s="764"/>
      <c r="L22" s="764"/>
      <c r="M22" s="764"/>
      <c r="N22" s="764"/>
      <c r="O22" s="764"/>
      <c r="P22" s="764"/>
      <c r="Q22" s="764"/>
      <c r="R22" s="764"/>
      <c r="S22" s="764"/>
    </row>
    <row r="23" spans="1:22">
      <c r="C23" s="760" t="s">
        <v>969</v>
      </c>
      <c r="E23" s="761"/>
      <c r="F23" s="761"/>
      <c r="G23" s="761"/>
      <c r="H23" s="761"/>
      <c r="I23" s="761"/>
      <c r="J23" s="761"/>
      <c r="K23" s="761"/>
      <c r="L23" s="761"/>
      <c r="M23" s="761"/>
      <c r="N23" s="761"/>
      <c r="O23" s="761"/>
      <c r="P23" s="761"/>
      <c r="Q23" s="761"/>
      <c r="R23" s="761"/>
      <c r="S23" s="761"/>
      <c r="T23" s="765"/>
    </row>
    <row r="24" spans="1:22">
      <c r="A24" s="758">
        <f>A21+1</f>
        <v>11</v>
      </c>
      <c r="C24" s="758" t="s">
        <v>873</v>
      </c>
      <c r="E24" s="761">
        <f>[7]CLASSALLOC!F$1235</f>
        <v>1168892372.6595435</v>
      </c>
      <c r="F24" s="761"/>
      <c r="G24" s="761">
        <f>[7]CLASSALLOC!H$1235</f>
        <v>658549215.35427439</v>
      </c>
      <c r="H24" s="761">
        <f>[7]CLASSALLOC!I$1235</f>
        <v>150640764.88034278</v>
      </c>
      <c r="I24" s="761">
        <f>[7]CLASSALLOC!J$1235</f>
        <v>141051562.80377206</v>
      </c>
      <c r="J24" s="761">
        <f>[7]CLASSALLOC!K$1235</f>
        <v>87540699.326248989</v>
      </c>
      <c r="K24" s="761">
        <f>[7]CLASSALLOC!L$1235</f>
        <v>58876727.867636055</v>
      </c>
      <c r="L24" s="761">
        <f>[7]CLASSALLOC!M$1235</f>
        <v>214872.79938074099</v>
      </c>
      <c r="M24" s="761">
        <f>[7]CLASSALLOC!N$1235</f>
        <v>5388374.0881244149</v>
      </c>
      <c r="N24" s="761">
        <f>[7]CLASSALLOC!O$1235</f>
        <v>29597970.064127509</v>
      </c>
      <c r="O24" s="761">
        <f>[7]CLASSALLOC!P$1235</f>
        <v>25466791.144406449</v>
      </c>
      <c r="P24" s="761">
        <f>[7]CLASSALLOC!Q$1235</f>
        <v>249349.81987613946</v>
      </c>
      <c r="Q24" s="761">
        <f>[7]CLASSALLOC!R$1235</f>
        <v>2408416.786403235</v>
      </c>
      <c r="R24" s="761">
        <f>[7]CLASSALLOC!S$1235</f>
        <v>8507011.1607396435</v>
      </c>
      <c r="S24" s="761">
        <f>[7]CLASSALLOC!T$1235</f>
        <v>400616.56421131396</v>
      </c>
      <c r="T24" s="762"/>
    </row>
    <row r="25" spans="1:22">
      <c r="A25" s="758">
        <f>A24+1</f>
        <v>12</v>
      </c>
      <c r="C25" s="758" t="s">
        <v>874</v>
      </c>
      <c r="E25" s="761">
        <f>[7]CLASSALLOC!F$1411</f>
        <v>416230649.70058089</v>
      </c>
      <c r="F25" s="761"/>
      <c r="G25" s="761">
        <f>[7]CLASSALLOC!H$1411</f>
        <v>241716375.95622614</v>
      </c>
      <c r="H25" s="761">
        <f>[7]CLASSALLOC!I$1411</f>
        <v>52385479.210459463</v>
      </c>
      <c r="I25" s="761">
        <f>[7]CLASSALLOC!J$1411</f>
        <v>48017740.771983743</v>
      </c>
      <c r="J25" s="761">
        <f>[7]CLASSALLOC!K$1411</f>
        <v>27557588.479181297</v>
      </c>
      <c r="K25" s="761">
        <f>[7]CLASSALLOC!L$1411</f>
        <v>18948314.078120261</v>
      </c>
      <c r="L25" s="761">
        <f>[7]CLASSALLOC!M$1411</f>
        <v>94183.707728389913</v>
      </c>
      <c r="M25" s="761">
        <f>[7]CLASSALLOC!N$1411</f>
        <v>2433648.9994769651</v>
      </c>
      <c r="N25" s="761">
        <f>[7]CLASSALLOC!O$1411</f>
        <v>9500285.7090320587</v>
      </c>
      <c r="O25" s="761">
        <f>[7]CLASSALLOC!P$1411</f>
        <v>7286166.9341322845</v>
      </c>
      <c r="P25" s="761">
        <f>[7]CLASSALLOC!Q$1411</f>
        <v>348756.25272252329</v>
      </c>
      <c r="Q25" s="761">
        <f>[7]CLASSALLOC!R$1411</f>
        <v>3300799.7890838282</v>
      </c>
      <c r="R25" s="761">
        <f>[7]CLASSALLOC!S$1411</f>
        <v>4501014.9322813209</v>
      </c>
      <c r="S25" s="761">
        <f>[7]CLASSALLOC!T$1411</f>
        <v>140294.88015266886</v>
      </c>
      <c r="T25" s="762"/>
    </row>
    <row r="26" spans="1:22">
      <c r="A26" s="758">
        <f>A25+1</f>
        <v>13</v>
      </c>
      <c r="C26" s="758" t="s">
        <v>875</v>
      </c>
      <c r="E26" s="761">
        <f>[7]CLASSALLOC!F$1587</f>
        <v>86570816.032516733</v>
      </c>
      <c r="F26" s="761"/>
      <c r="G26" s="761">
        <f>[7]CLASSALLOC!H$1587</f>
        <v>49522531.555302009</v>
      </c>
      <c r="H26" s="761">
        <f>[7]CLASSALLOC!I$1587</f>
        <v>10965727.235493748</v>
      </c>
      <c r="I26" s="761">
        <f>[7]CLASSALLOC!J$1587</f>
        <v>10203316.394600015</v>
      </c>
      <c r="J26" s="761">
        <f>[7]CLASSALLOC!K$1587</f>
        <v>6128372.9847526951</v>
      </c>
      <c r="K26" s="761">
        <f>[7]CLASSALLOC!L$1587</f>
        <v>4161935.0669985125</v>
      </c>
      <c r="L26" s="761">
        <f>[7]CLASSALLOC!M$1587</f>
        <v>17542.696483924785</v>
      </c>
      <c r="M26" s="761">
        <f>[7]CLASSALLOC!N$1587</f>
        <v>447905.16420811205</v>
      </c>
      <c r="N26" s="761">
        <f>[7]CLASSALLOC!O$1587</f>
        <v>2075961.6378748089</v>
      </c>
      <c r="O26" s="761">
        <f>[7]CLASSALLOC!P$1587</f>
        <v>1721765.2233223945</v>
      </c>
      <c r="P26" s="761">
        <f>[7]CLASSALLOC!Q$1587</f>
        <v>48137.349850609135</v>
      </c>
      <c r="Q26" s="761">
        <f>[7]CLASSALLOC!R$1587</f>
        <v>475263.77992973989</v>
      </c>
      <c r="R26" s="761">
        <f>[7]CLASSALLOC!S$1587</f>
        <v>773071.8566816448</v>
      </c>
      <c r="S26" s="761">
        <f>[7]CLASSALLOC!T$1587</f>
        <v>29285.087018535032</v>
      </c>
      <c r="T26" s="762"/>
    </row>
    <row r="27" spans="1:22">
      <c r="A27" s="758">
        <f>A26+1</f>
        <v>14</v>
      </c>
      <c r="C27" s="758" t="s">
        <v>876</v>
      </c>
      <c r="E27" s="761">
        <f>[7]CLASSALLOC!F$1764</f>
        <v>90238128.597339064</v>
      </c>
      <c r="F27" s="761"/>
      <c r="G27" s="761">
        <f>[7]CLASSALLOC!H$1764</f>
        <v>51686887.230727181</v>
      </c>
      <c r="H27" s="761">
        <f>[7]CLASSALLOC!I$1764</f>
        <v>11022625.102883011</v>
      </c>
      <c r="I27" s="761">
        <f>[7]CLASSALLOC!J$1764</f>
        <v>10704036.080482082</v>
      </c>
      <c r="J27" s="761">
        <f>[7]CLASSALLOC!K$1764</f>
        <v>6170644.9606641605</v>
      </c>
      <c r="K27" s="761">
        <f>[7]CLASSALLOC!L$1764</f>
        <v>4263025.9130688012</v>
      </c>
      <c r="L27" s="761">
        <f>[7]CLASSALLOC!M$1764</f>
        <v>20984.679220099388</v>
      </c>
      <c r="M27" s="761">
        <f>[7]CLASSALLOC!N$1764</f>
        <v>545285.62569270527</v>
      </c>
      <c r="N27" s="761">
        <f>[7]CLASSALLOC!O$1764</f>
        <v>2044093.6861795462</v>
      </c>
      <c r="O27" s="761">
        <f>[7]CLASSALLOC!P$1764</f>
        <v>1667049.9605221304</v>
      </c>
      <c r="P27" s="761">
        <f>[7]CLASSALLOC!Q$1764</f>
        <v>96591.963845943159</v>
      </c>
      <c r="Q27" s="761">
        <f>[7]CLASSALLOC!R$1764</f>
        <v>1020169.8481248664</v>
      </c>
      <c r="R27" s="761">
        <f>[7]CLASSALLOC!S$1764</f>
        <v>965273.26187948743</v>
      </c>
      <c r="S27" s="761">
        <f>[7]CLASSALLOC!T$1764</f>
        <v>31460.284049056132</v>
      </c>
      <c r="T27" s="762"/>
    </row>
    <row r="28" spans="1:22" s="760" customFormat="1">
      <c r="A28" s="760">
        <f>A27+1</f>
        <v>15</v>
      </c>
      <c r="C28" s="760" t="s">
        <v>970</v>
      </c>
      <c r="E28" s="757">
        <f>SUM(E24:E27)</f>
        <v>1761931966.9899802</v>
      </c>
      <c r="F28" s="757"/>
      <c r="G28" s="757">
        <f t="shared" ref="G28:S28" si="2">SUM(G24:G27)</f>
        <v>1001475010.0965297</v>
      </c>
      <c r="H28" s="757">
        <f t="shared" si="2"/>
        <v>225014596.42917901</v>
      </c>
      <c r="I28" s="757">
        <f t="shared" si="2"/>
        <v>209976656.0508379</v>
      </c>
      <c r="J28" s="757">
        <f t="shared" si="2"/>
        <v>127397305.75084716</v>
      </c>
      <c r="K28" s="757">
        <f t="shared" si="2"/>
        <v>86250002.925823629</v>
      </c>
      <c r="L28" s="757">
        <f t="shared" si="2"/>
        <v>347583.88281315513</v>
      </c>
      <c r="M28" s="757">
        <f t="shared" si="2"/>
        <v>8815213.8775021974</v>
      </c>
      <c r="N28" s="757">
        <f t="shared" si="2"/>
        <v>43218311.097213924</v>
      </c>
      <c r="O28" s="757">
        <f t="shared" si="2"/>
        <v>36141773.26238326</v>
      </c>
      <c r="P28" s="757">
        <f t="shared" si="2"/>
        <v>742835.38629521499</v>
      </c>
      <c r="Q28" s="757">
        <f t="shared" si="2"/>
        <v>7204650.2035416691</v>
      </c>
      <c r="R28" s="757">
        <f t="shared" si="2"/>
        <v>14746371.211582096</v>
      </c>
      <c r="S28" s="757">
        <f t="shared" si="2"/>
        <v>601656.81543157401</v>
      </c>
      <c r="T28" s="763"/>
      <c r="U28" s="782">
        <f>SUM(G28:S28)</f>
        <v>1761931966.9899809</v>
      </c>
      <c r="V28" s="782">
        <f>U28-E28</f>
        <v>0</v>
      </c>
    </row>
    <row r="29" spans="1:22">
      <c r="E29" s="764"/>
      <c r="F29" s="764"/>
      <c r="G29" s="764"/>
      <c r="H29" s="764"/>
      <c r="I29" s="764"/>
      <c r="J29" s="764"/>
      <c r="K29" s="764"/>
      <c r="L29" s="764"/>
      <c r="M29" s="764"/>
      <c r="N29" s="764"/>
      <c r="O29" s="764"/>
      <c r="P29" s="764"/>
      <c r="Q29" s="764"/>
      <c r="R29" s="764"/>
      <c r="S29" s="764"/>
    </row>
    <row r="30" spans="1:22">
      <c r="A30" s="758">
        <f>A28+1</f>
        <v>16</v>
      </c>
      <c r="C30" s="758" t="s">
        <v>971</v>
      </c>
      <c r="E30" s="761">
        <f>E21-E28</f>
        <v>305402483.13162446</v>
      </c>
      <c r="F30" s="761"/>
      <c r="G30" s="761">
        <f t="shared" ref="G30:S30" si="3">G21-G28</f>
        <v>121993258.89620066</v>
      </c>
      <c r="H30" s="761">
        <f t="shared" si="3"/>
        <v>57889558.577506185</v>
      </c>
      <c r="I30" s="761">
        <f t="shared" si="3"/>
        <v>53841703.431372643</v>
      </c>
      <c r="J30" s="761">
        <f t="shared" si="3"/>
        <v>30926345.779660881</v>
      </c>
      <c r="K30" s="761">
        <f t="shared" si="3"/>
        <v>20214135.717363879</v>
      </c>
      <c r="L30" s="761">
        <f t="shared" si="3"/>
        <v>-78193.839283896261</v>
      </c>
      <c r="M30" s="761">
        <f t="shared" si="3"/>
        <v>1970996.7754588407</v>
      </c>
      <c r="N30" s="761">
        <f>N21-N28</f>
        <v>6763856.2867098153</v>
      </c>
      <c r="O30" s="761">
        <f t="shared" si="3"/>
        <v>8865311.3092206791</v>
      </c>
      <c r="P30" s="761">
        <f t="shared" si="3"/>
        <v>103349722.85879332</v>
      </c>
      <c r="Q30" s="761">
        <f t="shared" si="3"/>
        <v>-102905232.47324879</v>
      </c>
      <c r="R30" s="761">
        <f t="shared" si="3"/>
        <v>2819861.8464809339</v>
      </c>
      <c r="S30" s="761">
        <f t="shared" si="3"/>
        <v>-248842.03461079835</v>
      </c>
      <c r="T30" s="762"/>
      <c r="U30" s="782">
        <f>SUM(G30:S30)</f>
        <v>305402483.13162434</v>
      </c>
      <c r="V30" s="782">
        <f>U30-E30</f>
        <v>0</v>
      </c>
    </row>
    <row r="31" spans="1:22">
      <c r="A31" s="758">
        <f>A30+1</f>
        <v>17</v>
      </c>
      <c r="C31" s="758" t="s">
        <v>972</v>
      </c>
      <c r="E31" s="766">
        <f>IF(E15=0, 0, E30/E15)</f>
        <v>5.9909296597986487E-2</v>
      </c>
      <c r="F31" s="765"/>
      <c r="G31" s="766">
        <f>IF(G15=0, 0, G30/G15)</f>
        <v>4.1779880329884736E-2</v>
      </c>
      <c r="H31" s="766">
        <f t="shared" ref="H31:S31" si="4">IF(H15=0, 0, H30/H15)</f>
        <v>9.296659786776236E-2</v>
      </c>
      <c r="I31" s="766">
        <f t="shared" si="4"/>
        <v>8.9039551553781696E-2</v>
      </c>
      <c r="J31" s="766">
        <f t="shared" si="4"/>
        <v>8.8717600038741781E-2</v>
      </c>
      <c r="K31" s="766">
        <f t="shared" si="4"/>
        <v>8.3936129985754393E-2</v>
      </c>
      <c r="L31" s="766">
        <f t="shared" si="4"/>
        <v>-6.5960196278942076E-2</v>
      </c>
      <c r="M31" s="766">
        <f t="shared" si="4"/>
        <v>6.3984326245896492E-2</v>
      </c>
      <c r="N31" s="766">
        <f>IF(N15=0, 0, N30/N15)</f>
        <v>5.8574057806912022E-2</v>
      </c>
      <c r="O31" s="766">
        <f t="shared" si="4"/>
        <v>9.4136297262288185E-2</v>
      </c>
      <c r="P31" s="766">
        <f t="shared" si="4"/>
        <v>18.940003599512881</v>
      </c>
      <c r="Q31" s="766">
        <f t="shared" si="4"/>
        <v>-1.7855693044708936</v>
      </c>
      <c r="R31" s="766">
        <f t="shared" si="4"/>
        <v>5.1711756750279045E-2</v>
      </c>
      <c r="S31" s="766">
        <f t="shared" si="4"/>
        <v>-0.14001444425376733</v>
      </c>
      <c r="T31" s="766"/>
    </row>
    <row r="32" spans="1:22">
      <c r="E32" s="765"/>
    </row>
    <row r="33" spans="1:22">
      <c r="C33" s="760" t="s">
        <v>973</v>
      </c>
      <c r="E33" s="765"/>
      <c r="F33" s="765"/>
      <c r="G33" s="765"/>
      <c r="H33" s="765"/>
      <c r="I33" s="765"/>
      <c r="J33" s="765"/>
      <c r="K33" s="765"/>
      <c r="L33" s="765"/>
      <c r="M33" s="765"/>
      <c r="N33" s="765"/>
      <c r="O33" s="765"/>
      <c r="P33" s="765"/>
      <c r="Q33" s="765"/>
      <c r="R33" s="765"/>
      <c r="S33" s="765"/>
      <c r="T33" s="765"/>
    </row>
    <row r="34" spans="1:22">
      <c r="A34" s="758">
        <f>A31+1</f>
        <v>18</v>
      </c>
      <c r="C34" s="758" t="s">
        <v>877</v>
      </c>
      <c r="E34" s="766">
        <v>7.7399999999999997E-2</v>
      </c>
      <c r="F34" s="765"/>
      <c r="G34" s="766">
        <v>7.7399999999999997E-2</v>
      </c>
      <c r="H34" s="766">
        <v>7.7399999999999997E-2</v>
      </c>
      <c r="I34" s="766">
        <v>7.7399999999999997E-2</v>
      </c>
      <c r="J34" s="766">
        <v>7.7399999999999997E-2</v>
      </c>
      <c r="K34" s="766">
        <v>7.7399999999999997E-2</v>
      </c>
      <c r="L34" s="766">
        <v>7.7399999999999997E-2</v>
      </c>
      <c r="M34" s="766">
        <v>7.7399999999999997E-2</v>
      </c>
      <c r="N34" s="766">
        <v>7.7399999999999997E-2</v>
      </c>
      <c r="O34" s="766">
        <v>7.7399999999999997E-2</v>
      </c>
      <c r="P34" s="766">
        <v>7.7399999999999997E-2</v>
      </c>
      <c r="Q34" s="766">
        <v>7.7399999999999997E-2</v>
      </c>
      <c r="R34" s="766">
        <v>7.7399999999999997E-2</v>
      </c>
      <c r="S34" s="766">
        <v>7.7399999999999997E-2</v>
      </c>
      <c r="T34" s="766"/>
    </row>
    <row r="35" spans="1:22">
      <c r="A35" s="758">
        <f t="shared" ref="A35:A42" si="5">A34+1</f>
        <v>19</v>
      </c>
      <c r="C35" s="758" t="s">
        <v>878</v>
      </c>
      <c r="E35" s="761">
        <f>E34*E15</f>
        <v>394565677.39408571</v>
      </c>
      <c r="F35" s="761"/>
      <c r="G35" s="761">
        <f t="shared" ref="G35:S35" si="6">G34*G15</f>
        <v>226000605.17195791</v>
      </c>
      <c r="H35" s="761">
        <f t="shared" si="6"/>
        <v>48196362.313616686</v>
      </c>
      <c r="I35" s="761">
        <f t="shared" si="6"/>
        <v>46803333.719297536</v>
      </c>
      <c r="J35" s="761">
        <f t="shared" si="6"/>
        <v>26981108.171326276</v>
      </c>
      <c r="K35" s="761">
        <f t="shared" si="6"/>
        <v>18640055.299064931</v>
      </c>
      <c r="L35" s="761">
        <f t="shared" si="6"/>
        <v>91755.384337838113</v>
      </c>
      <c r="M35" s="761">
        <f t="shared" si="6"/>
        <v>2384258.1358789895</v>
      </c>
      <c r="N35" s="761">
        <f t="shared" si="6"/>
        <v>8937787.4129383173</v>
      </c>
      <c r="O35" s="761">
        <f t="shared" si="6"/>
        <v>7289165.9783666488</v>
      </c>
      <c r="P35" s="761">
        <f t="shared" si="6"/>
        <v>422347.78400339565</v>
      </c>
      <c r="Q35" s="761">
        <f t="shared" si="6"/>
        <v>4460686.5572152259</v>
      </c>
      <c r="R35" s="761">
        <f t="shared" si="6"/>
        <v>4220651.562305443</v>
      </c>
      <c r="S35" s="761">
        <f t="shared" si="6"/>
        <v>137559.90377655311</v>
      </c>
      <c r="T35" s="762"/>
      <c r="U35" s="782">
        <f>SUM(G35:S35)</f>
        <v>394565677.39408571</v>
      </c>
      <c r="V35" s="782">
        <f>U35-E35</f>
        <v>0</v>
      </c>
    </row>
    <row r="36" spans="1:22">
      <c r="A36" s="758">
        <f t="shared" si="5"/>
        <v>20</v>
      </c>
      <c r="C36" s="758" t="s">
        <v>974</v>
      </c>
      <c r="E36" s="761">
        <f>E35-E30</f>
        <v>89163194.262461245</v>
      </c>
      <c r="F36" s="761"/>
      <c r="G36" s="761">
        <f>G35-G30</f>
        <v>104007346.27575725</v>
      </c>
      <c r="H36" s="761">
        <f t="shared" ref="H36:S36" si="7">H35-H30</f>
        <v>-9693196.263889499</v>
      </c>
      <c r="I36" s="761">
        <f t="shared" si="7"/>
        <v>-7038369.7120751068</v>
      </c>
      <c r="J36" s="761">
        <f t="shared" si="7"/>
        <v>-3945237.6083346047</v>
      </c>
      <c r="K36" s="761">
        <f t="shared" si="7"/>
        <v>-1574080.4182989486</v>
      </c>
      <c r="L36" s="761">
        <f t="shared" si="7"/>
        <v>169949.22362173436</v>
      </c>
      <c r="M36" s="761">
        <f t="shared" si="7"/>
        <v>413261.36042014882</v>
      </c>
      <c r="N36" s="761">
        <f t="shared" si="7"/>
        <v>2173931.126228502</v>
      </c>
      <c r="O36" s="761">
        <f t="shared" si="7"/>
        <v>-1576145.3308540303</v>
      </c>
      <c r="P36" s="761">
        <f t="shared" si="7"/>
        <v>-102927375.07478993</v>
      </c>
      <c r="Q36" s="761">
        <f t="shared" si="7"/>
        <v>107365919.03046402</v>
      </c>
      <c r="R36" s="761">
        <f t="shared" si="7"/>
        <v>1400789.715824509</v>
      </c>
      <c r="S36" s="761">
        <f t="shared" si="7"/>
        <v>386401.93838735146</v>
      </c>
      <c r="T36" s="762"/>
      <c r="U36" s="782">
        <f>SUM(G36:S36)</f>
        <v>89163194.262461424</v>
      </c>
      <c r="V36" s="782">
        <f>U36-E36</f>
        <v>1.7881393432617188E-7</v>
      </c>
    </row>
    <row r="37" spans="1:22">
      <c r="A37" s="758">
        <f t="shared" si="5"/>
        <v>21</v>
      </c>
      <c r="C37" s="758" t="s">
        <v>879</v>
      </c>
      <c r="E37" s="767">
        <f>+E36/E38</f>
        <v>0.61905099939986119</v>
      </c>
      <c r="F37" s="765"/>
      <c r="G37" s="762"/>
      <c r="H37" s="762"/>
      <c r="I37" s="762"/>
      <c r="J37" s="762"/>
      <c r="K37" s="762"/>
      <c r="L37" s="762"/>
      <c r="M37" s="762"/>
      <c r="N37" s="762"/>
      <c r="O37" s="762"/>
      <c r="P37" s="762"/>
      <c r="Q37" s="762"/>
      <c r="R37" s="762"/>
      <c r="S37" s="762"/>
      <c r="T37" s="762"/>
    </row>
    <row r="38" spans="1:22">
      <c r="A38" s="758">
        <f t="shared" si="5"/>
        <v>22</v>
      </c>
      <c r="C38" s="758" t="s">
        <v>975</v>
      </c>
      <c r="E38" s="762">
        <f>SUM(G38:T38)</f>
        <v>144032065.7730954</v>
      </c>
      <c r="F38" s="765"/>
      <c r="G38" s="762">
        <f>SUM(G36,G398:G401)</f>
        <v>135731004.24783039</v>
      </c>
      <c r="H38" s="762">
        <f t="shared" ref="H38:S38" si="8">SUM(H36,H398:H401)</f>
        <v>-3015224.8745837761</v>
      </c>
      <c r="I38" s="762">
        <f t="shared" si="8"/>
        <v>-623622.79310174007</v>
      </c>
      <c r="J38" s="762">
        <f t="shared" si="8"/>
        <v>-225369.15728056617</v>
      </c>
      <c r="K38" s="762">
        <f t="shared" si="8"/>
        <v>979623.46357677109</v>
      </c>
      <c r="L38" s="762">
        <f t="shared" si="8"/>
        <v>182289.90274486481</v>
      </c>
      <c r="M38" s="762">
        <f t="shared" si="8"/>
        <v>733306.92685302161</v>
      </c>
      <c r="N38" s="762">
        <f t="shared" si="8"/>
        <v>3403739.650118514</v>
      </c>
      <c r="O38" s="762">
        <f t="shared" si="8"/>
        <v>-570354.50098702114</v>
      </c>
      <c r="P38" s="762">
        <f t="shared" si="8"/>
        <v>-102873084.59802704</v>
      </c>
      <c r="Q38" s="762">
        <f t="shared" si="8"/>
        <v>107937549.95024823</v>
      </c>
      <c r="R38" s="762">
        <f t="shared" si="8"/>
        <v>1967064.7464585931</v>
      </c>
      <c r="S38" s="762">
        <f t="shared" si="8"/>
        <v>405142.80924519914</v>
      </c>
      <c r="T38" s="762"/>
      <c r="U38" s="782">
        <f>SUM(G38:S38)</f>
        <v>144032065.7730954</v>
      </c>
      <c r="V38" s="782">
        <f>U38-E38</f>
        <v>0</v>
      </c>
    </row>
    <row r="39" spans="1:22">
      <c r="A39" s="758">
        <f t="shared" si="5"/>
        <v>23</v>
      </c>
      <c r="C39" s="758" t="s">
        <v>880</v>
      </c>
      <c r="E39" s="761">
        <f>E38+E21</f>
        <v>2211366515.8947001</v>
      </c>
      <c r="F39" s="761"/>
      <c r="G39" s="761">
        <f>G38+G21</f>
        <v>1259199273.2405608</v>
      </c>
      <c r="H39" s="761">
        <f t="shared" ref="H39:S39" si="9">H38+H21</f>
        <v>279888930.13210142</v>
      </c>
      <c r="I39" s="761">
        <f t="shared" si="9"/>
        <v>263194736.68910882</v>
      </c>
      <c r="J39" s="761">
        <f t="shared" si="9"/>
        <v>158098282.37322748</v>
      </c>
      <c r="K39" s="761">
        <f t="shared" si="9"/>
        <v>107443762.10676427</v>
      </c>
      <c r="L39" s="761">
        <f t="shared" si="9"/>
        <v>451679.94627412368</v>
      </c>
      <c r="M39" s="761">
        <f t="shared" si="9"/>
        <v>11519517.57981406</v>
      </c>
      <c r="N39" s="761">
        <f t="shared" si="9"/>
        <v>53385907.034042254</v>
      </c>
      <c r="O39" s="761">
        <f t="shared" si="9"/>
        <v>44436730.070616916</v>
      </c>
      <c r="P39" s="761">
        <f t="shared" si="9"/>
        <v>1219473.647061497</v>
      </c>
      <c r="Q39" s="761">
        <f t="shared" si="9"/>
        <v>12236967.680541098</v>
      </c>
      <c r="R39" s="761">
        <f t="shared" si="9"/>
        <v>19533297.804521624</v>
      </c>
      <c r="S39" s="761">
        <f t="shared" si="9"/>
        <v>757957.59006597474</v>
      </c>
      <c r="T39" s="762"/>
      <c r="U39" s="782">
        <f>SUM(G39:S39)</f>
        <v>2211366515.8947001</v>
      </c>
      <c r="V39" s="782">
        <f>U39-E39</f>
        <v>0</v>
      </c>
    </row>
    <row r="40" spans="1:22">
      <c r="A40" s="758">
        <f t="shared" si="5"/>
        <v>24</v>
      </c>
      <c r="C40" s="758" t="s">
        <v>881</v>
      </c>
      <c r="E40" s="761">
        <f>SUM(E19:E20)</f>
        <v>103830975.86172239</v>
      </c>
      <c r="F40" s="761"/>
      <c r="G40" s="761">
        <f>SUM(G19:G20)</f>
        <v>56840815.014578462</v>
      </c>
      <c r="H40" s="761">
        <f t="shared" ref="H40:S40" si="10">SUM(H19:H20)</f>
        <v>15959884.01215307</v>
      </c>
      <c r="I40" s="761">
        <f t="shared" si="10"/>
        <v>10895539.487391245</v>
      </c>
      <c r="J40" s="761">
        <f t="shared" si="10"/>
        <v>6488916.5336180991</v>
      </c>
      <c r="K40" s="761">
        <f t="shared" si="10"/>
        <v>5069463.6452644048</v>
      </c>
      <c r="L40" s="761">
        <f t="shared" si="10"/>
        <v>21176.043534343105</v>
      </c>
      <c r="M40" s="761">
        <f t="shared" si="10"/>
        <v>448384.65317279199</v>
      </c>
      <c r="N40" s="761">
        <f t="shared" si="10"/>
        <v>2145545.2549625053</v>
      </c>
      <c r="O40" s="761">
        <f t="shared" si="10"/>
        <v>4646992.572430646</v>
      </c>
      <c r="P40" s="761">
        <f t="shared" si="10"/>
        <v>2872.0167694324045</v>
      </c>
      <c r="Q40" s="761">
        <f t="shared" si="10"/>
        <v>875824.88861197536</v>
      </c>
      <c r="R40" s="761">
        <f t="shared" si="10"/>
        <v>399136.05841466936</v>
      </c>
      <c r="S40" s="761">
        <f t="shared" si="10"/>
        <v>36425.680820775655</v>
      </c>
      <c r="T40" s="762"/>
      <c r="U40" s="782">
        <f>SUM(G40:S40)</f>
        <v>103830975.86172241</v>
      </c>
      <c r="V40" s="782">
        <f>U40-E40</f>
        <v>0</v>
      </c>
    </row>
    <row r="41" spans="1:22">
      <c r="A41" s="758">
        <f t="shared" si="5"/>
        <v>25</v>
      </c>
      <c r="C41" s="758" t="s">
        <v>882</v>
      </c>
      <c r="E41" s="761">
        <f>E39-E40</f>
        <v>2107535540.0329776</v>
      </c>
      <c r="F41" s="761"/>
      <c r="G41" s="761">
        <f t="shared" ref="G41:S41" si="11">G39-G40</f>
        <v>1202358458.2259822</v>
      </c>
      <c r="H41" s="761">
        <f t="shared" si="11"/>
        <v>263929046.11994836</v>
      </c>
      <c r="I41" s="761">
        <f t="shared" si="11"/>
        <v>252299197.20171759</v>
      </c>
      <c r="J41" s="761">
        <f t="shared" si="11"/>
        <v>151609365.83960938</v>
      </c>
      <c r="K41" s="761">
        <f t="shared" si="11"/>
        <v>102374298.46149987</v>
      </c>
      <c r="L41" s="761">
        <f t="shared" si="11"/>
        <v>430503.90273978055</v>
      </c>
      <c r="M41" s="761">
        <f t="shared" si="11"/>
        <v>11071132.926641267</v>
      </c>
      <c r="N41" s="761">
        <f t="shared" si="11"/>
        <v>51240361.77907975</v>
      </c>
      <c r="O41" s="761">
        <f t="shared" si="11"/>
        <v>39789737.498186268</v>
      </c>
      <c r="P41" s="761">
        <f t="shared" si="11"/>
        <v>1216601.6302920645</v>
      </c>
      <c r="Q41" s="761">
        <f t="shared" si="11"/>
        <v>11361142.791929122</v>
      </c>
      <c r="R41" s="761">
        <f t="shared" si="11"/>
        <v>19134161.746106956</v>
      </c>
      <c r="S41" s="761">
        <f t="shared" si="11"/>
        <v>721531.90924519906</v>
      </c>
      <c r="T41" s="762"/>
      <c r="U41" s="782">
        <f>SUM(G41:S41)</f>
        <v>2107535540.0329778</v>
      </c>
      <c r="V41" s="782">
        <f>U41-E41</f>
        <v>0</v>
      </c>
    </row>
    <row r="42" spans="1:22">
      <c r="A42" s="758">
        <f t="shared" si="5"/>
        <v>26</v>
      </c>
      <c r="C42" s="758" t="s">
        <v>976</v>
      </c>
      <c r="E42" s="766">
        <f>IF(E18=0,0,(E41/E18)-1)</f>
        <v>7.3354627410265438E-2</v>
      </c>
      <c r="F42" s="765"/>
      <c r="G42" s="766">
        <f t="shared" ref="G42:S42" si="12">IF(G18=0,0,(G41/G18)-1)</f>
        <v>0.12725249452524445</v>
      </c>
      <c r="H42" s="766">
        <f t="shared" si="12"/>
        <v>-1.1295334652997813E-2</v>
      </c>
      <c r="I42" s="766">
        <f t="shared" si="12"/>
        <v>-2.4656643995765171E-3</v>
      </c>
      <c r="J42" s="766">
        <f t="shared" si="12"/>
        <v>-1.4843056648742303E-3</v>
      </c>
      <c r="K42" s="766">
        <f t="shared" si="12"/>
        <v>9.6614882743775166E-3</v>
      </c>
      <c r="L42" s="766">
        <f t="shared" si="12"/>
        <v>0.73440620895114161</v>
      </c>
      <c r="M42" s="766">
        <f t="shared" si="12"/>
        <v>7.093434604800275E-2</v>
      </c>
      <c r="N42" s="766">
        <f t="shared" si="12"/>
        <v>7.1153428035584998E-2</v>
      </c>
      <c r="O42" s="766">
        <f t="shared" si="12"/>
        <v>-1.4131645215246458E-2</v>
      </c>
      <c r="P42" s="766">
        <f t="shared" si="12"/>
        <v>-0.98831198676472642</v>
      </c>
      <c r="Q42" s="766">
        <f t="shared" si="12"/>
        <v>-1.117638905051672</v>
      </c>
      <c r="R42" s="766">
        <f t="shared" si="12"/>
        <v>0.11458342353974493</v>
      </c>
      <c r="S42" s="766">
        <f t="shared" si="12"/>
        <v>1.2805207551246203</v>
      </c>
      <c r="T42" s="766"/>
    </row>
    <row r="43" spans="1:22">
      <c r="C43" s="765"/>
      <c r="E43" s="765"/>
      <c r="F43" s="765"/>
      <c r="G43" s="765"/>
      <c r="H43" s="765"/>
      <c r="I43" s="765"/>
      <c r="J43" s="765"/>
      <c r="K43" s="765"/>
      <c r="L43" s="765"/>
      <c r="M43" s="765"/>
      <c r="N43" s="765"/>
      <c r="O43" s="765"/>
      <c r="P43" s="765"/>
      <c r="Q43" s="765"/>
      <c r="R43" s="765"/>
      <c r="S43" s="765"/>
      <c r="T43" s="765"/>
    </row>
    <row r="44" spans="1:22">
      <c r="C44" s="760" t="s">
        <v>977</v>
      </c>
      <c r="E44" s="765"/>
      <c r="F44" s="765"/>
      <c r="G44" s="765"/>
      <c r="H44" s="765"/>
      <c r="I44" s="765"/>
      <c r="J44" s="765"/>
      <c r="K44" s="765"/>
      <c r="L44" s="765"/>
      <c r="M44" s="765"/>
      <c r="N44" s="765"/>
      <c r="O44" s="765"/>
      <c r="P44" s="765"/>
      <c r="Q44" s="765"/>
      <c r="R44" s="765"/>
      <c r="S44" s="765"/>
      <c r="T44" s="765"/>
    </row>
    <row r="45" spans="1:22">
      <c r="A45" s="758">
        <f>A42+1</f>
        <v>27</v>
      </c>
      <c r="C45" s="758" t="s">
        <v>978</v>
      </c>
      <c r="E45" s="766">
        <f>E46/E15</f>
        <v>7.7399999999999997E-2</v>
      </c>
      <c r="F45" s="765"/>
      <c r="G45" s="766">
        <v>7.7399999999999997E-2</v>
      </c>
      <c r="H45" s="766">
        <v>7.7399999999999997E-2</v>
      </c>
      <c r="I45" s="766">
        <v>7.7399999999999997E-2</v>
      </c>
      <c r="J45" s="766">
        <v>7.7399999999999997E-2</v>
      </c>
      <c r="K45" s="766">
        <v>7.7399999999999997E-2</v>
      </c>
      <c r="L45" s="766">
        <v>7.7399999999999997E-2</v>
      </c>
      <c r="M45" s="766">
        <v>7.7399999999999997E-2</v>
      </c>
      <c r="N45" s="766">
        <v>7.7399999999999997E-2</v>
      </c>
      <c r="O45" s="766">
        <v>7.7399999999999997E-2</v>
      </c>
      <c r="P45" s="766">
        <v>7.7399999999999997E-2</v>
      </c>
      <c r="Q45" s="766">
        <v>7.7399999999999997E-2</v>
      </c>
      <c r="R45" s="766">
        <v>7.7399999999999997E-2</v>
      </c>
      <c r="S45" s="766">
        <v>7.7399999999999997E-2</v>
      </c>
      <c r="T45" s="766"/>
    </row>
    <row r="46" spans="1:22">
      <c r="A46" s="758">
        <f t="shared" ref="A46:A51" si="13">A45+1</f>
        <v>28</v>
      </c>
      <c r="C46" s="758" t="s">
        <v>979</v>
      </c>
      <c r="E46" s="761">
        <f>SUM(G46:T46)</f>
        <v>394565677.39408571</v>
      </c>
      <c r="F46" s="761"/>
      <c r="G46" s="761">
        <f t="shared" ref="G46:S46" si="14">G45*G15</f>
        <v>226000605.17195791</v>
      </c>
      <c r="H46" s="761">
        <f t="shared" si="14"/>
        <v>48196362.313616686</v>
      </c>
      <c r="I46" s="761">
        <f t="shared" si="14"/>
        <v>46803333.719297536</v>
      </c>
      <c r="J46" s="761">
        <f t="shared" si="14"/>
        <v>26981108.171326276</v>
      </c>
      <c r="K46" s="761">
        <f t="shared" si="14"/>
        <v>18640055.299064931</v>
      </c>
      <c r="L46" s="761">
        <f t="shared" si="14"/>
        <v>91755.384337838113</v>
      </c>
      <c r="M46" s="761">
        <f t="shared" si="14"/>
        <v>2384258.1358789895</v>
      </c>
      <c r="N46" s="761">
        <f t="shared" si="14"/>
        <v>8937787.4129383173</v>
      </c>
      <c r="O46" s="761">
        <f t="shared" si="14"/>
        <v>7289165.9783666488</v>
      </c>
      <c r="P46" s="761">
        <f t="shared" si="14"/>
        <v>422347.78400339565</v>
      </c>
      <c r="Q46" s="761">
        <f t="shared" si="14"/>
        <v>4460686.5572152259</v>
      </c>
      <c r="R46" s="761">
        <f t="shared" si="14"/>
        <v>4220651.562305443</v>
      </c>
      <c r="S46" s="761">
        <f t="shared" si="14"/>
        <v>137559.90377655311</v>
      </c>
      <c r="T46" s="762"/>
      <c r="U46" s="782">
        <f>SUM(G46:S46)</f>
        <v>394565677.39408571</v>
      </c>
      <c r="V46" s="782">
        <f>U46-E46</f>
        <v>0</v>
      </c>
    </row>
    <row r="47" spans="1:22">
      <c r="A47" s="758">
        <f t="shared" si="13"/>
        <v>29</v>
      </c>
      <c r="C47" s="758" t="s">
        <v>974</v>
      </c>
      <c r="E47" s="761">
        <f>SUM(G47:T47)</f>
        <v>89163194.262461424</v>
      </c>
      <c r="F47" s="761"/>
      <c r="G47" s="761">
        <f>G46-G30</f>
        <v>104007346.27575725</v>
      </c>
      <c r="H47" s="761">
        <f t="shared" ref="H47:S47" si="15">H46-H30</f>
        <v>-9693196.263889499</v>
      </c>
      <c r="I47" s="761">
        <f t="shared" si="15"/>
        <v>-7038369.7120751068</v>
      </c>
      <c r="J47" s="761">
        <f t="shared" si="15"/>
        <v>-3945237.6083346047</v>
      </c>
      <c r="K47" s="761">
        <f t="shared" si="15"/>
        <v>-1574080.4182989486</v>
      </c>
      <c r="L47" s="761">
        <f t="shared" si="15"/>
        <v>169949.22362173436</v>
      </c>
      <c r="M47" s="761">
        <f t="shared" si="15"/>
        <v>413261.36042014882</v>
      </c>
      <c r="N47" s="761">
        <f t="shared" si="15"/>
        <v>2173931.126228502</v>
      </c>
      <c r="O47" s="761">
        <f t="shared" si="15"/>
        <v>-1576145.3308540303</v>
      </c>
      <c r="P47" s="761">
        <f t="shared" si="15"/>
        <v>-102927375.07478993</v>
      </c>
      <c r="Q47" s="761">
        <f t="shared" si="15"/>
        <v>107365919.03046402</v>
      </c>
      <c r="R47" s="761">
        <f t="shared" si="15"/>
        <v>1400789.715824509</v>
      </c>
      <c r="S47" s="761">
        <f t="shared" si="15"/>
        <v>386401.93838735146</v>
      </c>
      <c r="T47" s="762"/>
      <c r="U47" s="782">
        <f>SUM(G47:S47)</f>
        <v>89163194.262461424</v>
      </c>
      <c r="V47" s="782">
        <f>U47-E47</f>
        <v>0</v>
      </c>
    </row>
    <row r="48" spans="1:22" ht="13.5" thickBot="1">
      <c r="A48" s="758">
        <f t="shared" si="13"/>
        <v>30</v>
      </c>
      <c r="C48" s="758" t="s">
        <v>879</v>
      </c>
      <c r="E48" s="761">
        <f>E49/E47</f>
        <v>1.6153757945136147</v>
      </c>
      <c r="F48" s="761"/>
      <c r="G48" s="761"/>
      <c r="H48" s="761"/>
      <c r="I48" s="761"/>
      <c r="J48" s="761"/>
      <c r="K48" s="761"/>
      <c r="L48" s="761"/>
      <c r="M48" s="761"/>
      <c r="N48" s="761"/>
      <c r="O48" s="761"/>
      <c r="P48" s="761"/>
      <c r="Q48" s="761"/>
      <c r="R48" s="761"/>
      <c r="S48" s="761"/>
      <c r="T48" s="762"/>
    </row>
    <row r="49" spans="1:22" ht="18" customHeight="1" thickBot="1">
      <c r="A49" s="758">
        <f t="shared" si="13"/>
        <v>31</v>
      </c>
      <c r="C49" s="777" t="s">
        <v>994</v>
      </c>
      <c r="D49" s="777"/>
      <c r="E49" s="778">
        <f>SUM(G49:T49)</f>
        <v>144032065.7730954</v>
      </c>
      <c r="F49" s="778"/>
      <c r="G49" s="778">
        <f>+G38</f>
        <v>135731004.24783039</v>
      </c>
      <c r="H49" s="778">
        <f t="shared" ref="H49:S49" si="16">+H38</f>
        <v>-3015224.8745837761</v>
      </c>
      <c r="I49" s="778">
        <f t="shared" si="16"/>
        <v>-623622.79310174007</v>
      </c>
      <c r="J49" s="778">
        <f t="shared" si="16"/>
        <v>-225369.15728056617</v>
      </c>
      <c r="K49" s="778">
        <f t="shared" si="16"/>
        <v>979623.46357677109</v>
      </c>
      <c r="L49" s="778">
        <f t="shared" si="16"/>
        <v>182289.90274486481</v>
      </c>
      <c r="M49" s="778">
        <f t="shared" si="16"/>
        <v>733306.92685302161</v>
      </c>
      <c r="N49" s="778">
        <f t="shared" si="16"/>
        <v>3403739.650118514</v>
      </c>
      <c r="O49" s="778">
        <f t="shared" si="16"/>
        <v>-570354.50098702114</v>
      </c>
      <c r="P49" s="778">
        <f t="shared" si="16"/>
        <v>-102873084.59802704</v>
      </c>
      <c r="Q49" s="778">
        <f t="shared" si="16"/>
        <v>107937549.95024823</v>
      </c>
      <c r="R49" s="778">
        <f t="shared" si="16"/>
        <v>1967064.7464585931</v>
      </c>
      <c r="S49" s="951">
        <f t="shared" si="16"/>
        <v>405142.80924519914</v>
      </c>
      <c r="T49" s="762"/>
      <c r="U49" s="782">
        <f>SUM(G49:S49)</f>
        <v>144032065.7730954</v>
      </c>
      <c r="V49" s="782">
        <f>U49-E49</f>
        <v>0</v>
      </c>
    </row>
    <row r="50" spans="1:22">
      <c r="A50" s="758">
        <f t="shared" si="13"/>
        <v>32</v>
      </c>
      <c r="C50" s="758" t="s">
        <v>976</v>
      </c>
      <c r="E50" s="766">
        <f>IF(E18=0,0,(E51-E18)/E18)</f>
        <v>7.3354627410265563E-2</v>
      </c>
      <c r="F50" s="765"/>
      <c r="G50" s="766">
        <f t="shared" ref="G50:S50" si="17">IF(G18=0,0,(G51-G18)/G18)</f>
        <v>0.12725249452524451</v>
      </c>
      <c r="H50" s="766">
        <f t="shared" si="17"/>
        <v>-1.1295334652997936E-2</v>
      </c>
      <c r="I50" s="766">
        <f t="shared" si="17"/>
        <v>-2.4656643995765262E-3</v>
      </c>
      <c r="J50" s="766">
        <f t="shared" si="17"/>
        <v>-1.4843056648742501E-3</v>
      </c>
      <c r="K50" s="766">
        <f t="shared" si="17"/>
        <v>9.6614882743776206E-3</v>
      </c>
      <c r="L50" s="766">
        <f t="shared" si="17"/>
        <v>0.73440620895114161</v>
      </c>
      <c r="M50" s="766">
        <f t="shared" si="17"/>
        <v>7.0934346048002958E-2</v>
      </c>
      <c r="N50" s="766">
        <f t="shared" si="17"/>
        <v>7.115342803558497E-2</v>
      </c>
      <c r="O50" s="766">
        <f t="shared" si="17"/>
        <v>-1.4131645215246433E-2</v>
      </c>
      <c r="P50" s="766">
        <f t="shared" si="17"/>
        <v>-0.98831198676472654</v>
      </c>
      <c r="Q50" s="766">
        <f t="shared" si="17"/>
        <v>-1.1176389050516722</v>
      </c>
      <c r="R50" s="766">
        <f t="shared" si="17"/>
        <v>0.11458342353974499</v>
      </c>
      <c r="S50" s="766">
        <f t="shared" si="17"/>
        <v>1.2805207551246203</v>
      </c>
      <c r="T50" s="766"/>
    </row>
    <row r="51" spans="1:22">
      <c r="A51" s="758">
        <f t="shared" si="13"/>
        <v>33</v>
      </c>
      <c r="C51" s="758" t="s">
        <v>882</v>
      </c>
      <c r="E51" s="761">
        <f>SUM(G51:T51)</f>
        <v>2107535540.0329778</v>
      </c>
      <c r="F51" s="761"/>
      <c r="G51" s="761">
        <f>G49+G21-G20-G19</f>
        <v>1202358458.2259822</v>
      </c>
      <c r="H51" s="761">
        <f t="shared" ref="H51:S51" si="18">H49+H21-H20-H19</f>
        <v>263929046.11994833</v>
      </c>
      <c r="I51" s="761">
        <f t="shared" si="18"/>
        <v>252299197.20171759</v>
      </c>
      <c r="J51" s="761">
        <f t="shared" si="18"/>
        <v>151609365.83960938</v>
      </c>
      <c r="K51" s="761">
        <f t="shared" si="18"/>
        <v>102374298.46149987</v>
      </c>
      <c r="L51" s="761">
        <f t="shared" si="18"/>
        <v>430503.90273978055</v>
      </c>
      <c r="M51" s="761">
        <f t="shared" si="18"/>
        <v>11071132.926641269</v>
      </c>
      <c r="N51" s="761">
        <f t="shared" si="18"/>
        <v>51240361.77907975</v>
      </c>
      <c r="O51" s="761">
        <f t="shared" si="18"/>
        <v>39789737.498186268</v>
      </c>
      <c r="P51" s="761">
        <f t="shared" si="18"/>
        <v>1216601.6302920645</v>
      </c>
      <c r="Q51" s="761">
        <f t="shared" si="18"/>
        <v>11361142.791929122</v>
      </c>
      <c r="R51" s="761">
        <f t="shared" si="18"/>
        <v>19134161.746106956</v>
      </c>
      <c r="S51" s="761">
        <f t="shared" si="18"/>
        <v>721531.90924519906</v>
      </c>
      <c r="T51" s="762"/>
      <c r="U51" s="782">
        <f>SUM(G51:S51)</f>
        <v>2107535540.0329778</v>
      </c>
      <c r="V51" s="782">
        <f>U51-E51</f>
        <v>0</v>
      </c>
    </row>
    <row r="52" spans="1:22">
      <c r="E52" s="765"/>
      <c r="F52" s="765"/>
      <c r="G52" s="765"/>
      <c r="H52" s="765"/>
      <c r="I52" s="765"/>
      <c r="J52" s="765"/>
      <c r="K52" s="765"/>
      <c r="L52" s="765"/>
      <c r="M52" s="765"/>
      <c r="N52" s="765"/>
      <c r="O52" s="765"/>
      <c r="P52" s="765"/>
      <c r="Q52" s="765"/>
      <c r="R52" s="765"/>
      <c r="S52" s="765"/>
      <c r="T52" s="765"/>
    </row>
    <row r="53" spans="1:22" s="760" customFormat="1">
      <c r="A53" s="760">
        <f>A51+1</f>
        <v>34</v>
      </c>
      <c r="C53" s="760" t="s">
        <v>980</v>
      </c>
      <c r="E53" s="768">
        <f>+E18/E51</f>
        <v>0.93165853527156095</v>
      </c>
      <c r="F53" s="769"/>
      <c r="G53" s="768">
        <f t="shared" ref="G53:S53" si="19">+G18/G51</f>
        <v>0.88711269645152713</v>
      </c>
      <c r="H53" s="768">
        <f t="shared" si="19"/>
        <v>1.0114243768122948</v>
      </c>
      <c r="I53" s="768">
        <f t="shared" si="19"/>
        <v>1.0024717589275685</v>
      </c>
      <c r="J53" s="768">
        <f t="shared" si="19"/>
        <v>1.0014865121032099</v>
      </c>
      <c r="K53" s="768">
        <f t="shared" si="19"/>
        <v>0.99043096286569254</v>
      </c>
      <c r="L53" s="768">
        <f t="shared" si="19"/>
        <v>0.57656620164242622</v>
      </c>
      <c r="M53" s="768">
        <f t="shared" si="19"/>
        <v>0.93376405723677913</v>
      </c>
      <c r="N53" s="768">
        <f t="shared" si="19"/>
        <v>0.93357307536598655</v>
      </c>
      <c r="O53" s="768">
        <f t="shared" si="19"/>
        <v>1.0143342112023992</v>
      </c>
      <c r="P53" s="768">
        <f t="shared" si="19"/>
        <v>85.557740213886376</v>
      </c>
      <c r="Q53" s="768">
        <f t="shared" si="19"/>
        <v>-8.5005891508490077</v>
      </c>
      <c r="R53" s="768">
        <f t="shared" si="19"/>
        <v>0.89719618906959364</v>
      </c>
      <c r="S53" s="768">
        <f t="shared" si="19"/>
        <v>0.43849633806352029</v>
      </c>
      <c r="T53" s="768"/>
      <c r="U53" s="782"/>
      <c r="V53" s="782"/>
    </row>
    <row r="54" spans="1:22" s="760" customFormat="1">
      <c r="A54" s="760">
        <f>A53+1</f>
        <v>35</v>
      </c>
      <c r="C54" s="760" t="s">
        <v>981</v>
      </c>
      <c r="E54" s="768">
        <f>+E53/$E$53</f>
        <v>1</v>
      </c>
      <c r="F54" s="769"/>
      <c r="G54" s="768">
        <f t="shared" ref="G54:S54" si="20">+G53/$E$53</f>
        <v>0.95218651777064489</v>
      </c>
      <c r="H54" s="768">
        <f t="shared" si="20"/>
        <v>1.0856170351270207</v>
      </c>
      <c r="I54" s="768">
        <f t="shared" si="20"/>
        <v>1.0760077012930138</v>
      </c>
      <c r="J54" s="768">
        <f t="shared" si="20"/>
        <v>1.0749501820549472</v>
      </c>
      <c r="K54" s="768">
        <f t="shared" si="20"/>
        <v>1.0630836571222959</v>
      </c>
      <c r="L54" s="768">
        <f t="shared" si="20"/>
        <v>0.61886000054125845</v>
      </c>
      <c r="M54" s="768">
        <f t="shared" si="20"/>
        <v>1.0022599717444809</v>
      </c>
      <c r="N54" s="768">
        <f t="shared" si="20"/>
        <v>1.0020549804697143</v>
      </c>
      <c r="O54" s="768">
        <f t="shared" si="20"/>
        <v>1.0887403193346368</v>
      </c>
      <c r="P54" s="768">
        <f t="shared" si="20"/>
        <v>91.833796369340305</v>
      </c>
      <c r="Q54" s="768">
        <f t="shared" si="20"/>
        <v>-9.1241467007772812</v>
      </c>
      <c r="R54" s="768">
        <f t="shared" si="20"/>
        <v>0.96300968123270381</v>
      </c>
      <c r="S54" s="768">
        <f t="shared" si="20"/>
        <v>0.47066207356293566</v>
      </c>
      <c r="T54" s="768"/>
      <c r="U54" s="782"/>
      <c r="V54" s="782"/>
    </row>
    <row r="55" spans="1:22">
      <c r="G55" s="770"/>
      <c r="H55" s="770"/>
      <c r="I55" s="770"/>
      <c r="J55" s="770"/>
      <c r="K55" s="770"/>
      <c r="L55" s="771"/>
      <c r="M55" s="771"/>
      <c r="N55" s="771"/>
      <c r="O55" s="771"/>
      <c r="P55" s="771"/>
      <c r="Q55" s="771"/>
      <c r="R55" s="771"/>
      <c r="S55" s="771"/>
      <c r="T55" s="771"/>
    </row>
    <row r="56" spans="1:22">
      <c r="E56" s="761"/>
      <c r="F56" s="765"/>
      <c r="G56" s="761"/>
      <c r="H56" s="761"/>
      <c r="I56" s="761"/>
      <c r="J56" s="765"/>
      <c r="K56" s="765"/>
      <c r="L56" s="765"/>
      <c r="M56" s="765"/>
      <c r="N56" s="765"/>
      <c r="O56" s="765"/>
      <c r="P56" s="765"/>
      <c r="Q56" s="765"/>
      <c r="R56" s="765"/>
      <c r="S56" s="765"/>
      <c r="T56" s="765"/>
    </row>
    <row r="57" spans="1:22">
      <c r="E57" s="761"/>
      <c r="F57" s="765"/>
      <c r="G57" s="761"/>
      <c r="H57" s="761"/>
      <c r="I57" s="761"/>
      <c r="J57" s="765"/>
      <c r="K57" s="765"/>
      <c r="L57" s="765"/>
      <c r="M57" s="765"/>
      <c r="N57" s="765"/>
      <c r="O57" s="765"/>
      <c r="P57" s="765"/>
      <c r="Q57" s="765"/>
      <c r="R57" s="765"/>
      <c r="S57" s="765"/>
      <c r="T57" s="765"/>
    </row>
    <row r="58" spans="1:22">
      <c r="A58" s="1326" t="str">
        <f>A1</f>
        <v>Puget Sound Energy</v>
      </c>
      <c r="B58" s="1326"/>
      <c r="C58" s="1326"/>
      <c r="D58" s="1326"/>
      <c r="E58" s="1326"/>
      <c r="F58" s="1326"/>
      <c r="G58" s="1326"/>
      <c r="H58" s="1326"/>
      <c r="I58" s="1326"/>
      <c r="J58" s="1326"/>
      <c r="K58" s="1326"/>
      <c r="L58" s="1326"/>
      <c r="M58" s="1326"/>
      <c r="N58" s="1326"/>
      <c r="O58" s="1326"/>
      <c r="P58" s="1326"/>
      <c r="Q58" s="1326"/>
      <c r="R58" s="1326"/>
      <c r="S58" s="1326"/>
    </row>
    <row r="59" spans="1:22">
      <c r="A59" s="1326" t="str">
        <f>A2</f>
        <v>ELECTRIC COST OF SERVICE SUMMARY</v>
      </c>
      <c r="B59" s="1326"/>
      <c r="C59" s="1326"/>
      <c r="D59" s="1326"/>
      <c r="E59" s="1326"/>
      <c r="F59" s="1326"/>
      <c r="G59" s="1326"/>
      <c r="H59" s="1326"/>
      <c r="I59" s="1326"/>
      <c r="J59" s="1326"/>
      <c r="K59" s="1326"/>
      <c r="L59" s="1326"/>
      <c r="M59" s="1326"/>
      <c r="N59" s="1326"/>
      <c r="O59" s="1326"/>
      <c r="P59" s="1326"/>
      <c r="Q59" s="1326"/>
      <c r="R59" s="1326"/>
      <c r="S59" s="1326"/>
    </row>
    <row r="60" spans="1:22">
      <c r="A60" s="1326" t="s">
        <v>1139</v>
      </c>
      <c r="B60" s="1326"/>
      <c r="C60" s="1326"/>
      <c r="D60" s="1326"/>
      <c r="E60" s="1326"/>
      <c r="F60" s="1326"/>
      <c r="G60" s="1326"/>
      <c r="H60" s="1326"/>
      <c r="I60" s="1326"/>
      <c r="J60" s="1326"/>
      <c r="K60" s="1326"/>
      <c r="L60" s="1326"/>
      <c r="M60" s="1326"/>
      <c r="N60" s="1326"/>
      <c r="O60" s="1326"/>
      <c r="P60" s="1326"/>
      <c r="Q60" s="1326"/>
      <c r="R60" s="1326"/>
      <c r="S60" s="1326"/>
    </row>
    <row r="61" spans="1:22" ht="15" customHeight="1">
      <c r="A61" s="1326" t="s">
        <v>982</v>
      </c>
      <c r="B61" s="1326"/>
      <c r="C61" s="1326"/>
      <c r="D61" s="1326"/>
      <c r="E61" s="1326"/>
      <c r="F61" s="1326"/>
      <c r="G61" s="1326"/>
      <c r="H61" s="1326"/>
      <c r="I61" s="1326"/>
      <c r="J61" s="1326"/>
      <c r="K61" s="1326"/>
      <c r="L61" s="1326"/>
      <c r="M61" s="1326"/>
      <c r="N61" s="1326"/>
      <c r="O61" s="1326"/>
      <c r="P61" s="1326"/>
      <c r="Q61" s="1326"/>
      <c r="R61" s="1326"/>
      <c r="S61" s="1326"/>
    </row>
    <row r="63" spans="1:22" s="772" customFormat="1" ht="39" customHeight="1">
      <c r="E63" s="772" t="s">
        <v>983</v>
      </c>
      <c r="G63" s="772" t="str">
        <f>[7]INPUTS!$C$18</f>
        <v>Residential Sch 7</v>
      </c>
      <c r="H63" s="772" t="str">
        <f>[7]INPUTS!$C$19</f>
        <v>Sec Volt Sch 24 (kW&lt; 50)</v>
      </c>
      <c r="I63" s="772" t="str">
        <f>[7]INPUTS!$C$20</f>
        <v>Sec Volt Sch 25 (kW &gt; 50 &amp; &lt; 350)</v>
      </c>
      <c r="J63" s="772" t="str">
        <f>[7]INPUTS!$C$21</f>
        <v>Sec Volt Sch 26 (kW &gt; 350)</v>
      </c>
      <c r="K63" s="772" t="str">
        <f>[7]INPUTS!$C$22</f>
        <v>Pri Volt Sch 31 (General Service)</v>
      </c>
      <c r="L63" s="772" t="str">
        <f>[7]INPUTS!$C$23</f>
        <v>Pri Volt Sch 35 (Irrigation)</v>
      </c>
      <c r="M63" s="772" t="str">
        <f>[7]INPUTS!$B$24</f>
        <v>Pri Svc 43</v>
      </c>
      <c r="N63" s="772" t="str">
        <f>[7]INPUTS!$B$25</f>
        <v>Campus 40</v>
      </c>
      <c r="O63" s="772" t="str">
        <f>[7]INPUTS!$B$26</f>
        <v>High Volt 46/49</v>
      </c>
      <c r="P63" s="772" t="str">
        <f>[7]INPUTS!$B$27</f>
        <v>Choice/Retail Wheeling PV</v>
      </c>
      <c r="Q63" s="772" t="str">
        <f>[7]INPUTS!$B$28</f>
        <v>Choice/Retail Wheeling HV</v>
      </c>
      <c r="R63" s="772" t="str">
        <f>[7]INPUTS!$B$29</f>
        <v>Lighting 50-59</v>
      </c>
      <c r="S63" s="772" t="str">
        <f>[7]INPUTS!$B$30</f>
        <v>Firm Resale Small</v>
      </c>
      <c r="U63" s="784"/>
      <c r="V63" s="784"/>
    </row>
    <row r="64" spans="1:22" s="759" customFormat="1">
      <c r="C64" s="759" t="s">
        <v>856</v>
      </c>
      <c r="E64" s="759" t="s">
        <v>857</v>
      </c>
      <c r="G64" s="759" t="s">
        <v>858</v>
      </c>
      <c r="H64" s="759" t="s">
        <v>859</v>
      </c>
      <c r="I64" s="759" t="s">
        <v>860</v>
      </c>
      <c r="J64" s="759" t="s">
        <v>861</v>
      </c>
      <c r="K64" s="759" t="s">
        <v>862</v>
      </c>
      <c r="L64" s="759" t="s">
        <v>961</v>
      </c>
      <c r="M64" s="759" t="s">
        <v>962</v>
      </c>
      <c r="N64" s="759" t="s">
        <v>863</v>
      </c>
      <c r="O64" s="759" t="s">
        <v>864</v>
      </c>
      <c r="P64" s="759" t="s">
        <v>865</v>
      </c>
      <c r="Q64" s="759" t="s">
        <v>866</v>
      </c>
      <c r="R64" s="759" t="s">
        <v>867</v>
      </c>
      <c r="S64" s="759" t="s">
        <v>963</v>
      </c>
      <c r="U64" s="783"/>
      <c r="V64" s="783"/>
    </row>
    <row r="65" spans="2:20">
      <c r="B65" s="760" t="str">
        <f>[7]INPUTS!$F$11</f>
        <v>Production</v>
      </c>
      <c r="E65" s="765"/>
      <c r="F65" s="765"/>
      <c r="G65" s="765"/>
      <c r="H65" s="765"/>
      <c r="I65" s="765"/>
      <c r="J65" s="765"/>
      <c r="K65" s="765"/>
      <c r="L65" s="765"/>
      <c r="M65" s="765"/>
      <c r="N65" s="765"/>
      <c r="O65" s="765"/>
      <c r="P65" s="765"/>
      <c r="Q65" s="765"/>
      <c r="R65" s="765"/>
      <c r="S65" s="765"/>
      <c r="T65" s="765"/>
    </row>
    <row r="66" spans="2:20">
      <c r="B66" s="758" t="str">
        <f>IF(OR((B65="~"),(C66="~")),"~","")</f>
        <v/>
      </c>
      <c r="C66" s="758" t="str">
        <f>IF(B65="~","~",[7]INPUTS!$C$42)</f>
        <v>Demand</v>
      </c>
      <c r="E66" s="762">
        <f t="shared" ref="E66:E71" si="21">SUM(G66:T66)</f>
        <v>575875736.31799269</v>
      </c>
      <c r="F66" s="765"/>
      <c r="G66" s="762">
        <f>[7]CLASSALLOC!H82</f>
        <v>350896964.67566985</v>
      </c>
      <c r="H66" s="762">
        <f>[7]CLASSALLOC!I82</f>
        <v>70682735.700002983</v>
      </c>
      <c r="I66" s="762">
        <f>[7]CLASSALLOC!J82</f>
        <v>65902768.471700437</v>
      </c>
      <c r="J66" s="762">
        <f>[7]CLASSALLOC!K82</f>
        <v>37427892.051086783</v>
      </c>
      <c r="K66" s="762">
        <f>[7]CLASSALLOC!L82</f>
        <v>25649456.34017732</v>
      </c>
      <c r="L66" s="762">
        <f>[7]CLASSALLOC!M82</f>
        <v>590.52879394886781</v>
      </c>
      <c r="M66" s="762">
        <f>[7]CLASSALLOC!N82</f>
        <v>0</v>
      </c>
      <c r="N66" s="762">
        <f>[7]CLASSALLOC!O82</f>
        <v>13264637.537561808</v>
      </c>
      <c r="O66" s="762">
        <f>[7]CLASSALLOC!P82</f>
        <v>9814946.8164848108</v>
      </c>
      <c r="P66" s="762">
        <f>[7]CLASSALLOC!Q82</f>
        <v>0</v>
      </c>
      <c r="Q66" s="762">
        <f>[7]CLASSALLOC!R82</f>
        <v>0</v>
      </c>
      <c r="R66" s="762">
        <f>[7]CLASSALLOC!S82</f>
        <v>2012143.2602268085</v>
      </c>
      <c r="S66" s="762">
        <f>[7]CLASSALLOC!T82</f>
        <v>223600.93628802229</v>
      </c>
      <c r="T66" s="762"/>
    </row>
    <row r="67" spans="2:20">
      <c r="B67" s="758" t="str">
        <f>IF(OR((B65="~"),(C67="~")),"~","")</f>
        <v/>
      </c>
      <c r="C67" s="758" t="str">
        <f>IF(B65="~","~",[7]INPUTS!$C$43)</f>
        <v>Energy</v>
      </c>
      <c r="E67" s="762">
        <f t="shared" si="21"/>
        <v>1727627208.953979</v>
      </c>
      <c r="F67" s="765"/>
      <c r="G67" s="762">
        <f>[7]CLASSALLOC!H83</f>
        <v>879824748.83575726</v>
      </c>
      <c r="H67" s="762">
        <f>[7]CLASSALLOC!I83</f>
        <v>231031538.46595693</v>
      </c>
      <c r="I67" s="762">
        <f>[7]CLASSALLOC!J83</f>
        <v>237869941.46741977</v>
      </c>
      <c r="J67" s="762">
        <f>[7]CLASSALLOC!K83</f>
        <v>156925498.95967638</v>
      </c>
      <c r="K67" s="762">
        <f>[7]CLASSALLOC!L83</f>
        <v>102441472.21072349</v>
      </c>
      <c r="L67" s="762">
        <f>[7]CLASSALLOC!M83</f>
        <v>355761.6305469987</v>
      </c>
      <c r="M67" s="762">
        <f>[7]CLASSALLOC!N83</f>
        <v>9677290.686061427</v>
      </c>
      <c r="N67" s="762">
        <f>[7]CLASSALLOC!O83</f>
        <v>53622884.380009636</v>
      </c>
      <c r="O67" s="762">
        <f>[7]CLASSALLOC!P83</f>
        <v>49005135.582630202</v>
      </c>
      <c r="P67" s="762">
        <f>[7]CLASSALLOC!Q83</f>
        <v>0</v>
      </c>
      <c r="Q67" s="762">
        <f>[7]CLASSALLOC!R83</f>
        <v>0</v>
      </c>
      <c r="R67" s="762">
        <f>[7]CLASSALLOC!S83</f>
        <v>6313289.1830192721</v>
      </c>
      <c r="S67" s="762">
        <f>[7]CLASSALLOC!T83</f>
        <v>559647.55217790708</v>
      </c>
      <c r="T67" s="762"/>
    </row>
    <row r="68" spans="2:20">
      <c r="B68" s="758" t="str">
        <f>IF(OR((B65="~"),(C68="~")),"~","")</f>
        <v/>
      </c>
      <c r="C68" s="758" t="str">
        <f>IF(B65="~","~",[7]INPUTS!$C$44)</f>
        <v>Customer</v>
      </c>
      <c r="E68" s="762">
        <f t="shared" si="21"/>
        <v>0</v>
      </c>
      <c r="F68" s="765"/>
      <c r="G68" s="762">
        <f>[7]CLASSALLOC!H84</f>
        <v>0</v>
      </c>
      <c r="H68" s="762">
        <f>[7]CLASSALLOC!I84</f>
        <v>0</v>
      </c>
      <c r="I68" s="762">
        <f>[7]CLASSALLOC!J84</f>
        <v>0</v>
      </c>
      <c r="J68" s="762">
        <f>[7]CLASSALLOC!K84</f>
        <v>0</v>
      </c>
      <c r="K68" s="762">
        <f>[7]CLASSALLOC!L84</f>
        <v>0</v>
      </c>
      <c r="L68" s="762">
        <f>[7]CLASSALLOC!M84</f>
        <v>0</v>
      </c>
      <c r="M68" s="762">
        <f>[7]CLASSALLOC!N84</f>
        <v>0</v>
      </c>
      <c r="N68" s="762">
        <f>[7]CLASSALLOC!O84</f>
        <v>0</v>
      </c>
      <c r="O68" s="762">
        <f>[7]CLASSALLOC!P84</f>
        <v>0</v>
      </c>
      <c r="P68" s="762">
        <f>[7]CLASSALLOC!Q84</f>
        <v>0</v>
      </c>
      <c r="Q68" s="762">
        <f>[7]CLASSALLOC!R84</f>
        <v>0</v>
      </c>
      <c r="R68" s="762">
        <f>[7]CLASSALLOC!S84</f>
        <v>0</v>
      </c>
      <c r="S68" s="762">
        <f>[7]CLASSALLOC!T84</f>
        <v>0</v>
      </c>
      <c r="T68" s="762"/>
    </row>
    <row r="69" spans="2:20">
      <c r="B69" s="758" t="str">
        <f>IF(OR((B65="~"),(C69="~")),"~","")</f>
        <v>~</v>
      </c>
      <c r="C69" s="758" t="str">
        <f>IF(B65="~","~",[7]INPUTS!$C$45)</f>
        <v>~</v>
      </c>
      <c r="E69" s="762">
        <f t="shared" si="21"/>
        <v>0</v>
      </c>
      <c r="F69" s="765"/>
      <c r="G69" s="762">
        <f>[7]CLASSALLOC!H85</f>
        <v>0</v>
      </c>
      <c r="H69" s="762">
        <f>[7]CLASSALLOC!I85</f>
        <v>0</v>
      </c>
      <c r="I69" s="762">
        <f>[7]CLASSALLOC!J85</f>
        <v>0</v>
      </c>
      <c r="J69" s="762">
        <f>[7]CLASSALLOC!K85</f>
        <v>0</v>
      </c>
      <c r="K69" s="762">
        <f>[7]CLASSALLOC!L85</f>
        <v>0</v>
      </c>
      <c r="L69" s="762">
        <f>[7]CLASSALLOC!M85</f>
        <v>0</v>
      </c>
      <c r="M69" s="762">
        <f>[7]CLASSALLOC!N85</f>
        <v>0</v>
      </c>
      <c r="N69" s="762">
        <f>[7]CLASSALLOC!O85</f>
        <v>0</v>
      </c>
      <c r="O69" s="762">
        <f>[7]CLASSALLOC!P85</f>
        <v>0</v>
      </c>
      <c r="P69" s="762">
        <f>[7]CLASSALLOC!Q85</f>
        <v>0</v>
      </c>
      <c r="Q69" s="762">
        <f>[7]CLASSALLOC!R85</f>
        <v>0</v>
      </c>
      <c r="R69" s="762">
        <f>[7]CLASSALLOC!S85</f>
        <v>0</v>
      </c>
      <c r="S69" s="762">
        <f>[7]CLASSALLOC!T85</f>
        <v>0</v>
      </c>
      <c r="T69" s="762"/>
    </row>
    <row r="70" spans="2:20">
      <c r="B70" s="758" t="str">
        <f>IF(OR((B65="~"),(C70="~")),"~","")</f>
        <v>~</v>
      </c>
      <c r="C70" s="758" t="str">
        <f>IF(B65="~","~",[7]INPUTS!$C$46)</f>
        <v>~</v>
      </c>
      <c r="E70" s="762">
        <f t="shared" si="21"/>
        <v>0</v>
      </c>
      <c r="F70" s="765"/>
      <c r="G70" s="762">
        <f>[7]CLASSALLOC!H86</f>
        <v>0</v>
      </c>
      <c r="H70" s="762">
        <f>[7]CLASSALLOC!I86</f>
        <v>0</v>
      </c>
      <c r="I70" s="762">
        <f>[7]CLASSALLOC!J86</f>
        <v>0</v>
      </c>
      <c r="J70" s="762">
        <f>[7]CLASSALLOC!K86</f>
        <v>0</v>
      </c>
      <c r="K70" s="762">
        <f>[7]CLASSALLOC!L86</f>
        <v>0</v>
      </c>
      <c r="L70" s="762">
        <f>[7]CLASSALLOC!M86</f>
        <v>0</v>
      </c>
      <c r="M70" s="762">
        <f>[7]CLASSALLOC!N86</f>
        <v>0</v>
      </c>
      <c r="N70" s="762">
        <f>[7]CLASSALLOC!O86</f>
        <v>0</v>
      </c>
      <c r="O70" s="762">
        <f>[7]CLASSALLOC!P86</f>
        <v>0</v>
      </c>
      <c r="P70" s="762">
        <f>[7]CLASSALLOC!Q86</f>
        <v>0</v>
      </c>
      <c r="Q70" s="762">
        <f>[7]CLASSALLOC!R86</f>
        <v>0</v>
      </c>
      <c r="R70" s="762">
        <f>[7]CLASSALLOC!S86</f>
        <v>0</v>
      </c>
      <c r="S70" s="762">
        <f>[7]CLASSALLOC!T86</f>
        <v>0</v>
      </c>
      <c r="T70" s="762"/>
    </row>
    <row r="71" spans="2:20">
      <c r="B71" s="758" t="str">
        <f>IF(OR((B65="~"),(C71="~")),"~","")</f>
        <v>~</v>
      </c>
      <c r="C71" s="758" t="str">
        <f>IF(B65="~","~",[7]INPUTS!$C$47)</f>
        <v>~</v>
      </c>
      <c r="E71" s="762">
        <f t="shared" si="21"/>
        <v>0</v>
      </c>
      <c r="F71" s="765"/>
      <c r="G71" s="762">
        <f>[7]CLASSALLOC!H87</f>
        <v>0</v>
      </c>
      <c r="H71" s="762">
        <f>[7]CLASSALLOC!I87</f>
        <v>0</v>
      </c>
      <c r="I71" s="762">
        <f>[7]CLASSALLOC!J87</f>
        <v>0</v>
      </c>
      <c r="J71" s="762">
        <f>[7]CLASSALLOC!K87</f>
        <v>0</v>
      </c>
      <c r="K71" s="762">
        <f>[7]CLASSALLOC!L87</f>
        <v>0</v>
      </c>
      <c r="L71" s="762">
        <f>[7]CLASSALLOC!M87</f>
        <v>0</v>
      </c>
      <c r="M71" s="762">
        <f>[7]CLASSALLOC!N87</f>
        <v>0</v>
      </c>
      <c r="N71" s="762">
        <f>[7]CLASSALLOC!O87</f>
        <v>0</v>
      </c>
      <c r="O71" s="762">
        <f>[7]CLASSALLOC!P87</f>
        <v>0</v>
      </c>
      <c r="P71" s="762">
        <f>[7]CLASSALLOC!Q87</f>
        <v>0</v>
      </c>
      <c r="Q71" s="762">
        <f>[7]CLASSALLOC!R87</f>
        <v>0</v>
      </c>
      <c r="R71" s="762">
        <f>[7]CLASSALLOC!S87</f>
        <v>0</v>
      </c>
      <c r="S71" s="762">
        <f>[7]CLASSALLOC!T87</f>
        <v>0</v>
      </c>
      <c r="T71" s="762"/>
    </row>
    <row r="72" spans="2:20">
      <c r="B72" s="758" t="str">
        <f>IF(OR((B65="~"),(C72="~")),"~","")</f>
        <v/>
      </c>
      <c r="C72" s="760" t="str">
        <f>IF(B65="~","~","Sub-total")</f>
        <v>Sub-total</v>
      </c>
      <c r="D72" s="760"/>
      <c r="E72" s="763">
        <f>SUM(E66:E71)</f>
        <v>2303502945.2719717</v>
      </c>
      <c r="F72" s="769"/>
      <c r="G72" s="763">
        <f t="shared" ref="G72:S72" si="22">SUM(G66:G71)</f>
        <v>1230721713.5114272</v>
      </c>
      <c r="H72" s="763">
        <f t="shared" si="22"/>
        <v>301714274.16595989</v>
      </c>
      <c r="I72" s="763">
        <f t="shared" si="22"/>
        <v>303772709.93912023</v>
      </c>
      <c r="J72" s="763">
        <f t="shared" si="22"/>
        <v>194353391.01076317</v>
      </c>
      <c r="K72" s="763">
        <f t="shared" si="22"/>
        <v>128090928.55090082</v>
      </c>
      <c r="L72" s="763">
        <f t="shared" si="22"/>
        <v>356352.15934094758</v>
      </c>
      <c r="M72" s="763">
        <f t="shared" si="22"/>
        <v>9677290.686061427</v>
      </c>
      <c r="N72" s="763">
        <f t="shared" si="22"/>
        <v>66887521.91757144</v>
      </c>
      <c r="O72" s="763">
        <f t="shared" si="22"/>
        <v>58820082.399115011</v>
      </c>
      <c r="P72" s="763">
        <f t="shared" si="22"/>
        <v>0</v>
      </c>
      <c r="Q72" s="763">
        <f t="shared" si="22"/>
        <v>0</v>
      </c>
      <c r="R72" s="763">
        <f t="shared" si="22"/>
        <v>8325432.4432460805</v>
      </c>
      <c r="S72" s="763">
        <f t="shared" si="22"/>
        <v>783248.4884659294</v>
      </c>
      <c r="T72" s="763"/>
    </row>
    <row r="73" spans="2:20">
      <c r="B73" s="758" t="str">
        <f>IF(OR((B65="~"),(C73="~")),"~","")</f>
        <v/>
      </c>
      <c r="E73" s="765"/>
      <c r="F73" s="765"/>
      <c r="G73" s="765"/>
      <c r="H73" s="765"/>
      <c r="I73" s="765"/>
      <c r="J73" s="765"/>
      <c r="K73" s="765"/>
      <c r="L73" s="765"/>
      <c r="M73" s="765"/>
      <c r="N73" s="765"/>
      <c r="O73" s="765"/>
      <c r="P73" s="765"/>
      <c r="Q73" s="765"/>
      <c r="R73" s="765"/>
      <c r="S73" s="765"/>
      <c r="T73" s="765"/>
    </row>
    <row r="74" spans="2:20">
      <c r="B74" s="760" t="str">
        <f>[7]INPUTS!$F$12</f>
        <v>Transmission</v>
      </c>
      <c r="E74" s="765"/>
      <c r="F74" s="765"/>
      <c r="G74" s="765"/>
      <c r="H74" s="765"/>
      <c r="I74" s="765"/>
      <c r="J74" s="765"/>
      <c r="K74" s="765"/>
      <c r="L74" s="765"/>
      <c r="M74" s="765"/>
      <c r="N74" s="765"/>
      <c r="O74" s="765"/>
      <c r="P74" s="765"/>
      <c r="Q74" s="765"/>
      <c r="R74" s="765"/>
      <c r="S74" s="765"/>
      <c r="T74" s="765"/>
    </row>
    <row r="75" spans="2:20">
      <c r="B75" s="758" t="str">
        <f>IF(OR((B74="~"),(C75="~")),"~","")</f>
        <v/>
      </c>
      <c r="C75" s="758" t="str">
        <f>IF(B74="~","~",[7]INPUTS!$C$42)</f>
        <v>Demand</v>
      </c>
      <c r="E75" s="762">
        <f t="shared" ref="E75:E80" si="23">SUM(G75:T75)</f>
        <v>212408905.37166855</v>
      </c>
      <c r="F75" s="765"/>
      <c r="G75" s="762">
        <f>[7]CLASSALLOC!H91</f>
        <v>122755347.67716026</v>
      </c>
      <c r="H75" s="762">
        <f>[7]CLASSALLOC!I91</f>
        <v>24727155.459000502</v>
      </c>
      <c r="I75" s="762">
        <f>[7]CLASSALLOC!J91</f>
        <v>23054965.049664661</v>
      </c>
      <c r="J75" s="762">
        <f>[7]CLASSALLOC!K91</f>
        <v>13093512.808812702</v>
      </c>
      <c r="K75" s="762">
        <f>[7]CLASSALLOC!L91</f>
        <v>8973026.9786711689</v>
      </c>
      <c r="L75" s="762">
        <f>[7]CLASSALLOC!M91</f>
        <v>206.58647612289735</v>
      </c>
      <c r="M75" s="762">
        <f>[7]CLASSALLOC!N91</f>
        <v>0</v>
      </c>
      <c r="N75" s="762">
        <f>[7]CLASSALLOC!O91</f>
        <v>4640408.3154151393</v>
      </c>
      <c r="O75" s="762">
        <f>[7]CLASSALLOC!P91</f>
        <v>3433592.5647121174</v>
      </c>
      <c r="P75" s="762">
        <f>[7]CLASSALLOC!Q91</f>
        <v>2991069.4245613967</v>
      </c>
      <c r="Q75" s="762">
        <f>[7]CLASSALLOC!R91</f>
        <v>7957483.3450391097</v>
      </c>
      <c r="R75" s="762">
        <f>[7]CLASSALLOC!S91</f>
        <v>703914.16954460472</v>
      </c>
      <c r="S75" s="762">
        <f>[7]CLASSALLOC!T91</f>
        <v>78222.992610793357</v>
      </c>
      <c r="T75" s="762"/>
    </row>
    <row r="76" spans="2:20">
      <c r="B76" s="758" t="str">
        <f>IF(OR((B74="~"),(C76="~")),"~","")</f>
        <v/>
      </c>
      <c r="C76" s="758" t="str">
        <f>IF(B74="~","~",[7]INPUTS!$C$43)</f>
        <v>Energy</v>
      </c>
      <c r="E76" s="762">
        <f t="shared" si="23"/>
        <v>636698067.17983937</v>
      </c>
      <c r="F76" s="765"/>
      <c r="G76" s="762">
        <f>[7]CLASSALLOC!H92</f>
        <v>299465403.5946086</v>
      </c>
      <c r="H76" s="762">
        <f>[7]CLASSALLOC!I92</f>
        <v>78636061.330785021</v>
      </c>
      <c r="I76" s="762">
        <f>[7]CLASSALLOC!J92</f>
        <v>80963644.315334529</v>
      </c>
      <c r="J76" s="762">
        <f>[7]CLASSALLOC!K92</f>
        <v>53412634.666653894</v>
      </c>
      <c r="K76" s="762">
        <f>[7]CLASSALLOC!L92</f>
        <v>34867940.30402638</v>
      </c>
      <c r="L76" s="762">
        <f>[7]CLASSALLOC!M92</f>
        <v>121090.3653440206</v>
      </c>
      <c r="M76" s="762">
        <f>[7]CLASSALLOC!N92</f>
        <v>3293853.4234670908</v>
      </c>
      <c r="N76" s="762">
        <f>[7]CLASSALLOC!O92</f>
        <v>18251587.869079497</v>
      </c>
      <c r="O76" s="762">
        <f>[7]CLASSALLOC!P92</f>
        <v>16679847.577463878</v>
      </c>
      <c r="P76" s="762">
        <f>[7]CLASSALLOC!Q92</f>
        <v>2441841.6643327018</v>
      </c>
      <c r="Q76" s="762">
        <f>[7]CLASSALLOC!R92</f>
        <v>46224824.858680628</v>
      </c>
      <c r="R76" s="762">
        <f>[7]CLASSALLOC!S92</f>
        <v>2148850.3201394668</v>
      </c>
      <c r="S76" s="762">
        <f>[7]CLASSALLOC!T92</f>
        <v>190486.88992377708</v>
      </c>
      <c r="T76" s="762"/>
    </row>
    <row r="77" spans="2:20">
      <c r="B77" s="758" t="str">
        <f>IF(OR((B74="~"),(C77="~")),"~","")</f>
        <v/>
      </c>
      <c r="C77" s="758" t="str">
        <f>IF(B74="~","~",[7]INPUTS!$C$44)</f>
        <v>Customer</v>
      </c>
      <c r="E77" s="762">
        <f t="shared" si="23"/>
        <v>0</v>
      </c>
      <c r="F77" s="765"/>
      <c r="G77" s="762">
        <f>[7]CLASSALLOC!H93</f>
        <v>0</v>
      </c>
      <c r="H77" s="762">
        <f>[7]CLASSALLOC!I93</f>
        <v>0</v>
      </c>
      <c r="I77" s="762">
        <f>[7]CLASSALLOC!J93</f>
        <v>0</v>
      </c>
      <c r="J77" s="762">
        <f>[7]CLASSALLOC!K93</f>
        <v>0</v>
      </c>
      <c r="K77" s="762">
        <f>[7]CLASSALLOC!L93</f>
        <v>0</v>
      </c>
      <c r="L77" s="762">
        <f>[7]CLASSALLOC!M93</f>
        <v>0</v>
      </c>
      <c r="M77" s="762">
        <f>[7]CLASSALLOC!N93</f>
        <v>0</v>
      </c>
      <c r="N77" s="762">
        <f>[7]CLASSALLOC!O93</f>
        <v>0</v>
      </c>
      <c r="O77" s="762">
        <f>[7]CLASSALLOC!P93</f>
        <v>0</v>
      </c>
      <c r="P77" s="762">
        <f>[7]CLASSALLOC!Q93</f>
        <v>0</v>
      </c>
      <c r="Q77" s="762">
        <f>[7]CLASSALLOC!R93</f>
        <v>0</v>
      </c>
      <c r="R77" s="762">
        <f>[7]CLASSALLOC!S93</f>
        <v>0</v>
      </c>
      <c r="S77" s="762">
        <f>[7]CLASSALLOC!T93</f>
        <v>0</v>
      </c>
      <c r="T77" s="762"/>
    </row>
    <row r="78" spans="2:20">
      <c r="B78" s="758" t="str">
        <f>IF(OR((B74="~"),(C78="~")),"~","")</f>
        <v>~</v>
      </c>
      <c r="C78" s="758" t="str">
        <f>IF(B74="~","~",[7]INPUTS!$C$45)</f>
        <v>~</v>
      </c>
      <c r="E78" s="762">
        <f t="shared" si="23"/>
        <v>0</v>
      </c>
      <c r="F78" s="765"/>
      <c r="G78" s="762">
        <f>[7]CLASSALLOC!H94</f>
        <v>0</v>
      </c>
      <c r="H78" s="762">
        <f>[7]CLASSALLOC!I94</f>
        <v>0</v>
      </c>
      <c r="I78" s="762">
        <f>[7]CLASSALLOC!J94</f>
        <v>0</v>
      </c>
      <c r="J78" s="762">
        <f>[7]CLASSALLOC!K94</f>
        <v>0</v>
      </c>
      <c r="K78" s="762">
        <f>[7]CLASSALLOC!L94</f>
        <v>0</v>
      </c>
      <c r="L78" s="762">
        <f>[7]CLASSALLOC!M94</f>
        <v>0</v>
      </c>
      <c r="M78" s="762">
        <f>[7]CLASSALLOC!N94</f>
        <v>0</v>
      </c>
      <c r="N78" s="762">
        <f>[7]CLASSALLOC!O94</f>
        <v>0</v>
      </c>
      <c r="O78" s="762">
        <f>[7]CLASSALLOC!P94</f>
        <v>0</v>
      </c>
      <c r="P78" s="762">
        <f>[7]CLASSALLOC!Q94</f>
        <v>0</v>
      </c>
      <c r="Q78" s="762">
        <f>[7]CLASSALLOC!R94</f>
        <v>0</v>
      </c>
      <c r="R78" s="762">
        <f>[7]CLASSALLOC!S94</f>
        <v>0</v>
      </c>
      <c r="S78" s="762">
        <f>[7]CLASSALLOC!T94</f>
        <v>0</v>
      </c>
      <c r="T78" s="762"/>
    </row>
    <row r="79" spans="2:20">
      <c r="B79" s="758" t="str">
        <f>IF(OR((B74="~"),(C79="~")),"~","")</f>
        <v>~</v>
      </c>
      <c r="C79" s="758" t="str">
        <f>IF(B74="~","~",[7]INPUTS!$C$46)</f>
        <v>~</v>
      </c>
      <c r="E79" s="762">
        <f t="shared" si="23"/>
        <v>0</v>
      </c>
      <c r="F79" s="765"/>
      <c r="G79" s="762">
        <f>[7]CLASSALLOC!H95</f>
        <v>0</v>
      </c>
      <c r="H79" s="762">
        <f>[7]CLASSALLOC!I95</f>
        <v>0</v>
      </c>
      <c r="I79" s="762">
        <f>[7]CLASSALLOC!J95</f>
        <v>0</v>
      </c>
      <c r="J79" s="762">
        <f>[7]CLASSALLOC!K95</f>
        <v>0</v>
      </c>
      <c r="K79" s="762">
        <f>[7]CLASSALLOC!L95</f>
        <v>0</v>
      </c>
      <c r="L79" s="762">
        <f>[7]CLASSALLOC!M95</f>
        <v>0</v>
      </c>
      <c r="M79" s="762">
        <f>[7]CLASSALLOC!N95</f>
        <v>0</v>
      </c>
      <c r="N79" s="762">
        <f>[7]CLASSALLOC!O95</f>
        <v>0</v>
      </c>
      <c r="O79" s="762">
        <f>[7]CLASSALLOC!P95</f>
        <v>0</v>
      </c>
      <c r="P79" s="762">
        <f>[7]CLASSALLOC!Q95</f>
        <v>0</v>
      </c>
      <c r="Q79" s="762">
        <f>[7]CLASSALLOC!R95</f>
        <v>0</v>
      </c>
      <c r="R79" s="762">
        <f>[7]CLASSALLOC!S95</f>
        <v>0</v>
      </c>
      <c r="S79" s="762">
        <f>[7]CLASSALLOC!T95</f>
        <v>0</v>
      </c>
      <c r="T79" s="762"/>
    </row>
    <row r="80" spans="2:20">
      <c r="B80" s="758" t="str">
        <f>IF(OR((B74="~"),(C80="~")),"~","")</f>
        <v>~</v>
      </c>
      <c r="C80" s="758" t="str">
        <f>IF(B74="~","~",[7]INPUTS!$C$47)</f>
        <v>~</v>
      </c>
      <c r="E80" s="762">
        <f t="shared" si="23"/>
        <v>0</v>
      </c>
      <c r="F80" s="765"/>
      <c r="G80" s="762">
        <f>[7]CLASSALLOC!H96</f>
        <v>0</v>
      </c>
      <c r="H80" s="762">
        <f>[7]CLASSALLOC!I96</f>
        <v>0</v>
      </c>
      <c r="I80" s="762">
        <f>[7]CLASSALLOC!J96</f>
        <v>0</v>
      </c>
      <c r="J80" s="762">
        <f>[7]CLASSALLOC!K96</f>
        <v>0</v>
      </c>
      <c r="K80" s="762">
        <f>[7]CLASSALLOC!L96</f>
        <v>0</v>
      </c>
      <c r="L80" s="762">
        <f>[7]CLASSALLOC!M96</f>
        <v>0</v>
      </c>
      <c r="M80" s="762">
        <f>[7]CLASSALLOC!N96</f>
        <v>0</v>
      </c>
      <c r="N80" s="762">
        <f>[7]CLASSALLOC!O96</f>
        <v>0</v>
      </c>
      <c r="O80" s="762">
        <f>[7]CLASSALLOC!P96</f>
        <v>0</v>
      </c>
      <c r="P80" s="762">
        <f>[7]CLASSALLOC!Q96</f>
        <v>0</v>
      </c>
      <c r="Q80" s="762">
        <f>[7]CLASSALLOC!R96</f>
        <v>0</v>
      </c>
      <c r="R80" s="762">
        <f>[7]CLASSALLOC!S96</f>
        <v>0</v>
      </c>
      <c r="S80" s="762">
        <f>[7]CLASSALLOC!T96</f>
        <v>0</v>
      </c>
      <c r="T80" s="762"/>
    </row>
    <row r="81" spans="2:20">
      <c r="B81" s="758" t="str">
        <f>IF(OR((B74="~"),(C81="~")),"~","")</f>
        <v/>
      </c>
      <c r="C81" s="760" t="str">
        <f>IF(B74="~","~","Sub-total")</f>
        <v>Sub-total</v>
      </c>
      <c r="D81" s="760"/>
      <c r="E81" s="763">
        <f>SUM(E75:E80)</f>
        <v>849106972.55150795</v>
      </c>
      <c r="F81" s="769"/>
      <c r="G81" s="763">
        <f t="shared" ref="G81:S81" si="24">SUM(G75:G80)</f>
        <v>422220751.27176887</v>
      </c>
      <c r="H81" s="763">
        <f t="shared" si="24"/>
        <v>103363216.78978552</v>
      </c>
      <c r="I81" s="763">
        <f t="shared" si="24"/>
        <v>104018609.36499919</v>
      </c>
      <c r="J81" s="763">
        <f t="shared" si="24"/>
        <v>66506147.475466594</v>
      </c>
      <c r="K81" s="763">
        <f t="shared" si="24"/>
        <v>43840967.282697551</v>
      </c>
      <c r="L81" s="763">
        <f t="shared" si="24"/>
        <v>121296.9518201435</v>
      </c>
      <c r="M81" s="763">
        <f t="shared" si="24"/>
        <v>3293853.4234670908</v>
      </c>
      <c r="N81" s="763">
        <f t="shared" si="24"/>
        <v>22891996.184494637</v>
      </c>
      <c r="O81" s="763">
        <f t="shared" si="24"/>
        <v>20113440.142175995</v>
      </c>
      <c r="P81" s="763">
        <f t="shared" si="24"/>
        <v>5432911.088894099</v>
      </c>
      <c r="Q81" s="763">
        <f t="shared" si="24"/>
        <v>54182308.203719735</v>
      </c>
      <c r="R81" s="763">
        <f t="shared" si="24"/>
        <v>2852764.4896840714</v>
      </c>
      <c r="S81" s="763">
        <f t="shared" si="24"/>
        <v>268709.88253457041</v>
      </c>
      <c r="T81" s="763"/>
    </row>
    <row r="82" spans="2:20">
      <c r="B82" s="758" t="str">
        <f>IF(OR((B74="~"),(C82="~")),"~","")</f>
        <v/>
      </c>
      <c r="E82" s="765"/>
      <c r="F82" s="765"/>
      <c r="G82" s="765"/>
      <c r="H82" s="765"/>
      <c r="I82" s="765"/>
      <c r="J82" s="765"/>
      <c r="K82" s="765"/>
      <c r="L82" s="765"/>
      <c r="M82" s="765"/>
      <c r="N82" s="765"/>
      <c r="O82" s="765"/>
      <c r="P82" s="765"/>
      <c r="Q82" s="765"/>
      <c r="R82" s="765"/>
      <c r="S82" s="765"/>
      <c r="T82" s="765"/>
    </row>
    <row r="83" spans="2:20">
      <c r="B83" s="760" t="str">
        <f>[7]INPUTS!$F$13</f>
        <v>Distribution</v>
      </c>
      <c r="E83" s="765"/>
      <c r="F83" s="765"/>
      <c r="G83" s="765"/>
      <c r="H83" s="765"/>
      <c r="I83" s="765"/>
      <c r="J83" s="765"/>
      <c r="K83" s="765"/>
      <c r="L83" s="765"/>
      <c r="M83" s="765"/>
      <c r="N83" s="765"/>
      <c r="O83" s="765"/>
      <c r="P83" s="765"/>
      <c r="Q83" s="765"/>
      <c r="R83" s="765"/>
      <c r="S83" s="765"/>
      <c r="T83" s="765"/>
    </row>
    <row r="84" spans="2:20">
      <c r="B84" s="758" t="str">
        <f>IF(OR((B83="~"),(C84="~")),"~","")</f>
        <v/>
      </c>
      <c r="C84" s="758" t="str">
        <f>IF(B83="~","~",[7]INPUTS!$C$42)</f>
        <v>Demand</v>
      </c>
      <c r="E84" s="762">
        <f t="shared" ref="E84:E89" si="25">SUM(G84:T84)</f>
        <v>1552723734.2545757</v>
      </c>
      <c r="F84" s="765"/>
      <c r="G84" s="762">
        <f>[7]CLASSALLOC!H100</f>
        <v>972729454.0602324</v>
      </c>
      <c r="H84" s="762">
        <f>[7]CLASSALLOC!I100</f>
        <v>195156571.17138171</v>
      </c>
      <c r="I84" s="762">
        <f>[7]CLASSALLOC!J100</f>
        <v>179440113.59198242</v>
      </c>
      <c r="J84" s="762">
        <f>[7]CLASSALLOC!K100</f>
        <v>82872894.674228027</v>
      </c>
      <c r="K84" s="762">
        <f>[7]CLASSALLOC!L100</f>
        <v>62540197.501315035</v>
      </c>
      <c r="L84" s="762">
        <f>[7]CLASSALLOC!M100</f>
        <v>693661.207229894</v>
      </c>
      <c r="M84" s="762">
        <f>[7]CLASSALLOC!N100</f>
        <v>15705795.09143563</v>
      </c>
      <c r="N84" s="762">
        <f>[7]CLASSALLOC!O100</f>
        <v>24183041.743898824</v>
      </c>
      <c r="O84" s="762">
        <f>[7]CLASSALLOC!P100</f>
        <v>14950266.583970841</v>
      </c>
      <c r="P84" s="762">
        <f>[7]CLASSALLOC!Q100</f>
        <v>0</v>
      </c>
      <c r="Q84" s="762">
        <f>[7]CLASSALLOC!R100</f>
        <v>2928525.4659910724</v>
      </c>
      <c r="R84" s="762">
        <f>[7]CLASSALLOC!S100</f>
        <v>940460.55532554467</v>
      </c>
      <c r="S84" s="762">
        <f>[7]CLASSALLOC!T100</f>
        <v>582752.60758440197</v>
      </c>
      <c r="T84" s="762"/>
    </row>
    <row r="85" spans="2:20">
      <c r="B85" s="758" t="str">
        <f>IF(OR((B83="~"),(C85="~")),"~","")</f>
        <v/>
      </c>
      <c r="C85" s="758" t="str">
        <f>IF(B83="~","~",[7]INPUTS!$C$43)</f>
        <v>Energy</v>
      </c>
      <c r="E85" s="762">
        <f t="shared" si="25"/>
        <v>0</v>
      </c>
      <c r="F85" s="765"/>
      <c r="G85" s="762">
        <f>[7]CLASSALLOC!H101</f>
        <v>0</v>
      </c>
      <c r="H85" s="762">
        <f>[7]CLASSALLOC!I101</f>
        <v>0</v>
      </c>
      <c r="I85" s="762">
        <f>[7]CLASSALLOC!J101</f>
        <v>0</v>
      </c>
      <c r="J85" s="762">
        <f>[7]CLASSALLOC!K101</f>
        <v>0</v>
      </c>
      <c r="K85" s="762">
        <f>[7]CLASSALLOC!L101</f>
        <v>0</v>
      </c>
      <c r="L85" s="762">
        <f>[7]CLASSALLOC!M101</f>
        <v>0</v>
      </c>
      <c r="M85" s="762">
        <f>[7]CLASSALLOC!N101</f>
        <v>0</v>
      </c>
      <c r="N85" s="762">
        <f>[7]CLASSALLOC!O101</f>
        <v>0</v>
      </c>
      <c r="O85" s="762">
        <f>[7]CLASSALLOC!P101</f>
        <v>0</v>
      </c>
      <c r="P85" s="762">
        <f>[7]CLASSALLOC!Q101</f>
        <v>0</v>
      </c>
      <c r="Q85" s="762">
        <f>[7]CLASSALLOC!R101</f>
        <v>0</v>
      </c>
      <c r="R85" s="762">
        <f>[7]CLASSALLOC!S101</f>
        <v>0</v>
      </c>
      <c r="S85" s="762">
        <f>[7]CLASSALLOC!T101</f>
        <v>0</v>
      </c>
      <c r="T85" s="762"/>
    </row>
    <row r="86" spans="2:20">
      <c r="B86" s="758" t="str">
        <f>IF(OR((B83="~"),(C86="~")),"~","")</f>
        <v/>
      </c>
      <c r="C86" s="758" t="str">
        <f>IF(B83="~","~",[7]INPUTS!$C$44)</f>
        <v>Customer</v>
      </c>
      <c r="E86" s="762">
        <f t="shared" si="25"/>
        <v>392414117.8713724</v>
      </c>
      <c r="F86" s="765"/>
      <c r="G86" s="762">
        <f>[7]CLASSALLOC!H102</f>
        <v>294232540.74259114</v>
      </c>
      <c r="H86" s="762">
        <f>[7]CLASSALLOC!I102</f>
        <v>22457957.428644028</v>
      </c>
      <c r="I86" s="762">
        <f>[7]CLASSALLOC!J102</f>
        <v>17462801.203349654</v>
      </c>
      <c r="J86" s="762">
        <f>[7]CLASSALLOC!K102</f>
        <v>4860695.6680470444</v>
      </c>
      <c r="K86" s="762">
        <f>[7]CLASSALLOC!L102</f>
        <v>6355494.5083027137</v>
      </c>
      <c r="L86" s="762">
        <f>[7]CLASSALLOC!M102</f>
        <v>14159.763493228655</v>
      </c>
      <c r="M86" s="762">
        <f>[7]CLASSALLOC!N102</f>
        <v>2127429.4796429477</v>
      </c>
      <c r="N86" s="762">
        <f>[7]CLASSALLOC!O102</f>
        <v>1512729.7268815867</v>
      </c>
      <c r="O86" s="762">
        <f>[7]CLASSALLOC!P102</f>
        <v>291481.91306690685</v>
      </c>
      <c r="P86" s="762">
        <f>[7]CLASSALLOC!Q102</f>
        <v>23778.626912045976</v>
      </c>
      <c r="Q86" s="762">
        <f>[7]CLASSALLOC!R102</f>
        <v>520775.59663579834</v>
      </c>
      <c r="R86" s="762">
        <f>[7]CLASSALLOC!S102</f>
        <v>42411724.453675091</v>
      </c>
      <c r="S86" s="762">
        <f>[7]CLASSALLOC!T102</f>
        <v>142548.76013025429</v>
      </c>
      <c r="T86" s="762"/>
    </row>
    <row r="87" spans="2:20">
      <c r="B87" s="758" t="str">
        <f>IF(OR((B83="~"),(C87="~")),"~","")</f>
        <v>~</v>
      </c>
      <c r="C87" s="758" t="str">
        <f>IF(B83="~","~",[7]INPUTS!$C$45)</f>
        <v>~</v>
      </c>
      <c r="E87" s="762">
        <f t="shared" si="25"/>
        <v>0</v>
      </c>
      <c r="F87" s="765"/>
      <c r="G87" s="762">
        <f>[7]CLASSALLOC!H103</f>
        <v>0</v>
      </c>
      <c r="H87" s="762">
        <f>[7]CLASSALLOC!I103</f>
        <v>0</v>
      </c>
      <c r="I87" s="762">
        <f>[7]CLASSALLOC!J103</f>
        <v>0</v>
      </c>
      <c r="J87" s="762">
        <f>[7]CLASSALLOC!K103</f>
        <v>0</v>
      </c>
      <c r="K87" s="762">
        <f>[7]CLASSALLOC!L103</f>
        <v>0</v>
      </c>
      <c r="L87" s="762">
        <f>[7]CLASSALLOC!M103</f>
        <v>0</v>
      </c>
      <c r="M87" s="762">
        <f>[7]CLASSALLOC!N103</f>
        <v>0</v>
      </c>
      <c r="N87" s="762">
        <f>[7]CLASSALLOC!O103</f>
        <v>0</v>
      </c>
      <c r="O87" s="762">
        <f>[7]CLASSALLOC!P103</f>
        <v>0</v>
      </c>
      <c r="P87" s="762">
        <f>[7]CLASSALLOC!Q103</f>
        <v>0</v>
      </c>
      <c r="Q87" s="762">
        <f>[7]CLASSALLOC!R103</f>
        <v>0</v>
      </c>
      <c r="R87" s="762">
        <f>[7]CLASSALLOC!S103</f>
        <v>0</v>
      </c>
      <c r="S87" s="762">
        <f>[7]CLASSALLOC!T103</f>
        <v>0</v>
      </c>
      <c r="T87" s="762"/>
    </row>
    <row r="88" spans="2:20">
      <c r="B88" s="758" t="str">
        <f>IF(OR((B83="~"),(C88="~")),"~","")</f>
        <v>~</v>
      </c>
      <c r="C88" s="758" t="str">
        <f>IF(B83="~","~",[7]INPUTS!$C$46)</f>
        <v>~</v>
      </c>
      <c r="E88" s="762">
        <f t="shared" si="25"/>
        <v>0</v>
      </c>
      <c r="F88" s="765"/>
      <c r="G88" s="762">
        <f>[7]CLASSALLOC!H104</f>
        <v>0</v>
      </c>
      <c r="H88" s="762">
        <f>[7]CLASSALLOC!I104</f>
        <v>0</v>
      </c>
      <c r="I88" s="762">
        <f>[7]CLASSALLOC!J104</f>
        <v>0</v>
      </c>
      <c r="J88" s="762">
        <f>[7]CLASSALLOC!K104</f>
        <v>0</v>
      </c>
      <c r="K88" s="762">
        <f>[7]CLASSALLOC!L104</f>
        <v>0</v>
      </c>
      <c r="L88" s="762">
        <f>[7]CLASSALLOC!M104</f>
        <v>0</v>
      </c>
      <c r="M88" s="762">
        <f>[7]CLASSALLOC!N104</f>
        <v>0</v>
      </c>
      <c r="N88" s="762">
        <f>[7]CLASSALLOC!O104</f>
        <v>0</v>
      </c>
      <c r="O88" s="762">
        <f>[7]CLASSALLOC!P104</f>
        <v>0</v>
      </c>
      <c r="P88" s="762">
        <f>[7]CLASSALLOC!Q104</f>
        <v>0</v>
      </c>
      <c r="Q88" s="762">
        <f>[7]CLASSALLOC!R104</f>
        <v>0</v>
      </c>
      <c r="R88" s="762">
        <f>[7]CLASSALLOC!S104</f>
        <v>0</v>
      </c>
      <c r="S88" s="762">
        <f>[7]CLASSALLOC!T104</f>
        <v>0</v>
      </c>
      <c r="T88" s="762"/>
    </row>
    <row r="89" spans="2:20">
      <c r="B89" s="758" t="str">
        <f>IF(OR((B83="~"),(C89="~")),"~","")</f>
        <v>~</v>
      </c>
      <c r="C89" s="758" t="str">
        <f>IF(B83="~","~",[7]INPUTS!$C$47)</f>
        <v>~</v>
      </c>
      <c r="E89" s="762">
        <f t="shared" si="25"/>
        <v>0</v>
      </c>
      <c r="F89" s="765"/>
      <c r="G89" s="762">
        <f>[7]CLASSALLOC!H105</f>
        <v>0</v>
      </c>
      <c r="H89" s="762">
        <f>[7]CLASSALLOC!I105</f>
        <v>0</v>
      </c>
      <c r="I89" s="762">
        <f>[7]CLASSALLOC!J105</f>
        <v>0</v>
      </c>
      <c r="J89" s="762">
        <f>[7]CLASSALLOC!K105</f>
        <v>0</v>
      </c>
      <c r="K89" s="762">
        <f>[7]CLASSALLOC!L105</f>
        <v>0</v>
      </c>
      <c r="L89" s="762">
        <f>[7]CLASSALLOC!M105</f>
        <v>0</v>
      </c>
      <c r="M89" s="762">
        <f>[7]CLASSALLOC!N105</f>
        <v>0</v>
      </c>
      <c r="N89" s="762">
        <f>[7]CLASSALLOC!O105</f>
        <v>0</v>
      </c>
      <c r="O89" s="762">
        <f>[7]CLASSALLOC!P105</f>
        <v>0</v>
      </c>
      <c r="P89" s="762">
        <f>[7]CLASSALLOC!Q105</f>
        <v>0</v>
      </c>
      <c r="Q89" s="762">
        <f>[7]CLASSALLOC!R105</f>
        <v>0</v>
      </c>
      <c r="R89" s="762">
        <f>[7]CLASSALLOC!S105</f>
        <v>0</v>
      </c>
      <c r="S89" s="762">
        <f>[7]CLASSALLOC!T105</f>
        <v>0</v>
      </c>
      <c r="T89" s="762"/>
    </row>
    <row r="90" spans="2:20">
      <c r="B90" s="758" t="str">
        <f>IF(OR((B83="~"),(C90="~")),"~","")</f>
        <v/>
      </c>
      <c r="C90" s="760" t="str">
        <f>IF(B83="~","~","Sub-total")</f>
        <v>Sub-total</v>
      </c>
      <c r="D90" s="760"/>
      <c r="E90" s="763">
        <f>SUM(E84:E89)</f>
        <v>1945137852.1259482</v>
      </c>
      <c r="F90" s="769"/>
      <c r="G90" s="763">
        <f t="shared" ref="G90:S90" si="26">SUM(G84:G89)</f>
        <v>1266961994.8028235</v>
      </c>
      <c r="H90" s="763">
        <f t="shared" si="26"/>
        <v>217614528.60002574</v>
      </c>
      <c r="I90" s="763">
        <f t="shared" si="26"/>
        <v>196902914.79533207</v>
      </c>
      <c r="J90" s="763">
        <f t="shared" si="26"/>
        <v>87733590.342275068</v>
      </c>
      <c r="K90" s="763">
        <f t="shared" si="26"/>
        <v>68895692.009617746</v>
      </c>
      <c r="L90" s="763">
        <f t="shared" si="26"/>
        <v>707820.97072312271</v>
      </c>
      <c r="M90" s="763">
        <f t="shared" si="26"/>
        <v>17833224.571078576</v>
      </c>
      <c r="N90" s="763">
        <f t="shared" si="26"/>
        <v>25695771.47078041</v>
      </c>
      <c r="O90" s="763">
        <f t="shared" si="26"/>
        <v>15241748.497037748</v>
      </c>
      <c r="P90" s="763">
        <f t="shared" si="26"/>
        <v>23778.626912045976</v>
      </c>
      <c r="Q90" s="763">
        <f t="shared" si="26"/>
        <v>3449301.0626268708</v>
      </c>
      <c r="R90" s="763">
        <f t="shared" si="26"/>
        <v>43352185.009000637</v>
      </c>
      <c r="S90" s="763">
        <f t="shared" si="26"/>
        <v>725301.36771465628</v>
      </c>
      <c r="T90" s="763"/>
    </row>
    <row r="91" spans="2:20">
      <c r="B91" s="758" t="str">
        <f>IF(OR((B83="~"),(C91="~")),"~","")</f>
        <v/>
      </c>
      <c r="E91" s="765"/>
      <c r="F91" s="765"/>
      <c r="G91" s="765"/>
      <c r="H91" s="765"/>
      <c r="I91" s="765"/>
      <c r="J91" s="765"/>
      <c r="K91" s="765"/>
      <c r="L91" s="765"/>
      <c r="M91" s="765"/>
      <c r="N91" s="765"/>
      <c r="O91" s="765"/>
      <c r="P91" s="765"/>
      <c r="Q91" s="765"/>
      <c r="R91" s="765"/>
      <c r="S91" s="765"/>
      <c r="T91" s="765"/>
    </row>
    <row r="92" spans="2:20">
      <c r="B92" s="760" t="str">
        <f>[7]INPUTS!$F$14</f>
        <v>~</v>
      </c>
      <c r="E92" s="765"/>
      <c r="F92" s="765"/>
      <c r="G92" s="765"/>
      <c r="H92" s="765"/>
      <c r="I92" s="765"/>
      <c r="J92" s="765"/>
      <c r="K92" s="765"/>
      <c r="L92" s="765"/>
      <c r="M92" s="765"/>
      <c r="N92" s="765"/>
      <c r="O92" s="765"/>
      <c r="P92" s="765"/>
      <c r="Q92" s="765"/>
      <c r="R92" s="765"/>
      <c r="S92" s="765"/>
      <c r="T92" s="765"/>
    </row>
    <row r="93" spans="2:20">
      <c r="B93" s="758" t="str">
        <f>IF(OR((B92="~"),(C93="~")),"~","")</f>
        <v>~</v>
      </c>
      <c r="C93" s="758" t="str">
        <f>IF(B92="~","~",[7]INPUTS!$C$42)</f>
        <v>~</v>
      </c>
      <c r="E93" s="762">
        <f t="shared" ref="E93:E98" si="27">SUM(G93:T93)</f>
        <v>0</v>
      </c>
      <c r="F93" s="765"/>
      <c r="G93" s="762">
        <f>[7]CLASSALLOC!H109</f>
        <v>0</v>
      </c>
      <c r="H93" s="762">
        <f>[7]CLASSALLOC!I109</f>
        <v>0</v>
      </c>
      <c r="I93" s="762">
        <f>[7]CLASSALLOC!J109</f>
        <v>0</v>
      </c>
      <c r="J93" s="762">
        <f>[7]CLASSALLOC!K109</f>
        <v>0</v>
      </c>
      <c r="K93" s="762">
        <f>[7]CLASSALLOC!L109</f>
        <v>0</v>
      </c>
      <c r="L93" s="762">
        <f>[7]CLASSALLOC!M109</f>
        <v>0</v>
      </c>
      <c r="M93" s="762">
        <f>[7]CLASSALLOC!N109</f>
        <v>0</v>
      </c>
      <c r="N93" s="762">
        <f>[7]CLASSALLOC!O109</f>
        <v>0</v>
      </c>
      <c r="O93" s="762">
        <f>[7]CLASSALLOC!P109</f>
        <v>0</v>
      </c>
      <c r="P93" s="762">
        <f>[7]CLASSALLOC!Q109</f>
        <v>0</v>
      </c>
      <c r="Q93" s="762">
        <f>[7]CLASSALLOC!R109</f>
        <v>0</v>
      </c>
      <c r="R93" s="762">
        <f>[7]CLASSALLOC!S109</f>
        <v>0</v>
      </c>
      <c r="S93" s="762">
        <f>[7]CLASSALLOC!T109</f>
        <v>0</v>
      </c>
      <c r="T93" s="762"/>
    </row>
    <row r="94" spans="2:20">
      <c r="B94" s="758" t="str">
        <f>IF(OR((B92="~"),(C94="~")),"~","")</f>
        <v>~</v>
      </c>
      <c r="C94" s="758" t="str">
        <f>IF(B92="~","~",[7]INPUTS!$C$43)</f>
        <v>~</v>
      </c>
      <c r="E94" s="762">
        <f t="shared" si="27"/>
        <v>0</v>
      </c>
      <c r="F94" s="765"/>
      <c r="G94" s="762">
        <f>[7]CLASSALLOC!H110</f>
        <v>0</v>
      </c>
      <c r="H94" s="762">
        <f>[7]CLASSALLOC!I110</f>
        <v>0</v>
      </c>
      <c r="I94" s="762">
        <f>[7]CLASSALLOC!J110</f>
        <v>0</v>
      </c>
      <c r="J94" s="762">
        <f>[7]CLASSALLOC!K110</f>
        <v>0</v>
      </c>
      <c r="K94" s="762">
        <f>[7]CLASSALLOC!L110</f>
        <v>0</v>
      </c>
      <c r="L94" s="762">
        <f>[7]CLASSALLOC!M110</f>
        <v>0</v>
      </c>
      <c r="M94" s="762">
        <f>[7]CLASSALLOC!N110</f>
        <v>0</v>
      </c>
      <c r="N94" s="762">
        <f>[7]CLASSALLOC!O110</f>
        <v>0</v>
      </c>
      <c r="O94" s="762">
        <f>[7]CLASSALLOC!P110</f>
        <v>0</v>
      </c>
      <c r="P94" s="762">
        <f>[7]CLASSALLOC!Q110</f>
        <v>0</v>
      </c>
      <c r="Q94" s="762">
        <f>[7]CLASSALLOC!R110</f>
        <v>0</v>
      </c>
      <c r="R94" s="762">
        <f>[7]CLASSALLOC!S110</f>
        <v>0</v>
      </c>
      <c r="S94" s="762">
        <f>[7]CLASSALLOC!T110</f>
        <v>0</v>
      </c>
      <c r="T94" s="762"/>
    </row>
    <row r="95" spans="2:20">
      <c r="B95" s="758" t="str">
        <f>IF(OR((B92="~"),(C95="~")),"~","")</f>
        <v>~</v>
      </c>
      <c r="C95" s="758" t="str">
        <f>IF(B92="~","~",[7]INPUTS!$C$44)</f>
        <v>~</v>
      </c>
      <c r="E95" s="762">
        <f t="shared" si="27"/>
        <v>0</v>
      </c>
      <c r="F95" s="765"/>
      <c r="G95" s="762">
        <f>[7]CLASSALLOC!H111</f>
        <v>0</v>
      </c>
      <c r="H95" s="762">
        <f>[7]CLASSALLOC!I111</f>
        <v>0</v>
      </c>
      <c r="I95" s="762">
        <f>[7]CLASSALLOC!J111</f>
        <v>0</v>
      </c>
      <c r="J95" s="762">
        <f>[7]CLASSALLOC!K111</f>
        <v>0</v>
      </c>
      <c r="K95" s="762">
        <f>[7]CLASSALLOC!L111</f>
        <v>0</v>
      </c>
      <c r="L95" s="762">
        <f>[7]CLASSALLOC!M111</f>
        <v>0</v>
      </c>
      <c r="M95" s="762">
        <f>[7]CLASSALLOC!N111</f>
        <v>0</v>
      </c>
      <c r="N95" s="762">
        <f>[7]CLASSALLOC!O111</f>
        <v>0</v>
      </c>
      <c r="O95" s="762">
        <f>[7]CLASSALLOC!P111</f>
        <v>0</v>
      </c>
      <c r="P95" s="762">
        <f>[7]CLASSALLOC!Q111</f>
        <v>0</v>
      </c>
      <c r="Q95" s="762">
        <f>[7]CLASSALLOC!R111</f>
        <v>0</v>
      </c>
      <c r="R95" s="762">
        <f>[7]CLASSALLOC!S111</f>
        <v>0</v>
      </c>
      <c r="S95" s="762">
        <f>[7]CLASSALLOC!T111</f>
        <v>0</v>
      </c>
      <c r="T95" s="762"/>
    </row>
    <row r="96" spans="2:20">
      <c r="B96" s="758" t="str">
        <f>IF(OR((B92="~"),(C96="~")),"~","")</f>
        <v>~</v>
      </c>
      <c r="C96" s="758" t="str">
        <f>IF(B92="~","~",[7]INPUTS!$C$45)</f>
        <v>~</v>
      </c>
      <c r="E96" s="762">
        <f t="shared" si="27"/>
        <v>0</v>
      </c>
      <c r="F96" s="765"/>
      <c r="G96" s="762">
        <f>[7]CLASSALLOC!H112</f>
        <v>0</v>
      </c>
      <c r="H96" s="762">
        <f>[7]CLASSALLOC!I112</f>
        <v>0</v>
      </c>
      <c r="I96" s="762">
        <f>[7]CLASSALLOC!J112</f>
        <v>0</v>
      </c>
      <c r="J96" s="762">
        <f>[7]CLASSALLOC!K112</f>
        <v>0</v>
      </c>
      <c r="K96" s="762">
        <f>[7]CLASSALLOC!L112</f>
        <v>0</v>
      </c>
      <c r="L96" s="762">
        <f>[7]CLASSALLOC!M112</f>
        <v>0</v>
      </c>
      <c r="M96" s="762">
        <f>[7]CLASSALLOC!N112</f>
        <v>0</v>
      </c>
      <c r="N96" s="762">
        <f>[7]CLASSALLOC!O112</f>
        <v>0</v>
      </c>
      <c r="O96" s="762">
        <f>[7]CLASSALLOC!P112</f>
        <v>0</v>
      </c>
      <c r="P96" s="762">
        <f>[7]CLASSALLOC!Q112</f>
        <v>0</v>
      </c>
      <c r="Q96" s="762">
        <f>[7]CLASSALLOC!R112</f>
        <v>0</v>
      </c>
      <c r="R96" s="762">
        <f>[7]CLASSALLOC!S112</f>
        <v>0</v>
      </c>
      <c r="S96" s="762">
        <f>[7]CLASSALLOC!T112</f>
        <v>0</v>
      </c>
      <c r="T96" s="762"/>
    </row>
    <row r="97" spans="2:20">
      <c r="B97" s="758" t="str">
        <f>IF(OR((B92="~"),(C97="~")),"~","")</f>
        <v>~</v>
      </c>
      <c r="C97" s="758" t="str">
        <f>IF(B92="~","~",[7]INPUTS!$C$46)</f>
        <v>~</v>
      </c>
      <c r="E97" s="762">
        <f t="shared" si="27"/>
        <v>0</v>
      </c>
      <c r="F97" s="765"/>
      <c r="G97" s="762">
        <f>[7]CLASSALLOC!H113</f>
        <v>0</v>
      </c>
      <c r="H97" s="762">
        <f>[7]CLASSALLOC!I113</f>
        <v>0</v>
      </c>
      <c r="I97" s="762">
        <f>[7]CLASSALLOC!J113</f>
        <v>0</v>
      </c>
      <c r="J97" s="762">
        <f>[7]CLASSALLOC!K113</f>
        <v>0</v>
      </c>
      <c r="K97" s="762">
        <f>[7]CLASSALLOC!L113</f>
        <v>0</v>
      </c>
      <c r="L97" s="762">
        <f>[7]CLASSALLOC!M113</f>
        <v>0</v>
      </c>
      <c r="M97" s="762">
        <f>[7]CLASSALLOC!N113</f>
        <v>0</v>
      </c>
      <c r="N97" s="762">
        <f>[7]CLASSALLOC!O113</f>
        <v>0</v>
      </c>
      <c r="O97" s="762">
        <f>[7]CLASSALLOC!P113</f>
        <v>0</v>
      </c>
      <c r="P97" s="762">
        <f>[7]CLASSALLOC!Q113</f>
        <v>0</v>
      </c>
      <c r="Q97" s="762">
        <f>[7]CLASSALLOC!R113</f>
        <v>0</v>
      </c>
      <c r="R97" s="762">
        <f>[7]CLASSALLOC!S113</f>
        <v>0</v>
      </c>
      <c r="S97" s="762">
        <f>[7]CLASSALLOC!T113</f>
        <v>0</v>
      </c>
      <c r="T97" s="762"/>
    </row>
    <row r="98" spans="2:20">
      <c r="B98" s="758" t="str">
        <f>IF(OR((B92="~"),(C98="~")),"~","")</f>
        <v>~</v>
      </c>
      <c r="C98" s="758" t="str">
        <f>IF(B92="~","~",[7]INPUTS!$C$47)</f>
        <v>~</v>
      </c>
      <c r="E98" s="762">
        <f t="shared" si="27"/>
        <v>0</v>
      </c>
      <c r="F98" s="765"/>
      <c r="G98" s="762">
        <f>[7]CLASSALLOC!H114</f>
        <v>0</v>
      </c>
      <c r="H98" s="762">
        <f>[7]CLASSALLOC!I114</f>
        <v>0</v>
      </c>
      <c r="I98" s="762">
        <f>[7]CLASSALLOC!J114</f>
        <v>0</v>
      </c>
      <c r="J98" s="762">
        <f>[7]CLASSALLOC!K114</f>
        <v>0</v>
      </c>
      <c r="K98" s="762">
        <f>[7]CLASSALLOC!L114</f>
        <v>0</v>
      </c>
      <c r="L98" s="762">
        <f>[7]CLASSALLOC!M114</f>
        <v>0</v>
      </c>
      <c r="M98" s="762">
        <f>[7]CLASSALLOC!N114</f>
        <v>0</v>
      </c>
      <c r="N98" s="762">
        <f>[7]CLASSALLOC!O114</f>
        <v>0</v>
      </c>
      <c r="O98" s="762">
        <f>[7]CLASSALLOC!P114</f>
        <v>0</v>
      </c>
      <c r="P98" s="762">
        <f>[7]CLASSALLOC!Q114</f>
        <v>0</v>
      </c>
      <c r="Q98" s="762">
        <f>[7]CLASSALLOC!R114</f>
        <v>0</v>
      </c>
      <c r="R98" s="762">
        <f>[7]CLASSALLOC!S114</f>
        <v>0</v>
      </c>
      <c r="S98" s="762">
        <f>[7]CLASSALLOC!T114</f>
        <v>0</v>
      </c>
      <c r="T98" s="762"/>
    </row>
    <row r="99" spans="2:20">
      <c r="B99" s="758" t="str">
        <f>IF(OR((B92="~"),(C99="~")),"~","")</f>
        <v>~</v>
      </c>
      <c r="C99" s="760" t="str">
        <f>IF(B92="~","~","Sub-total")</f>
        <v>~</v>
      </c>
      <c r="D99" s="760"/>
      <c r="E99" s="763">
        <f>SUM(E93:E98)</f>
        <v>0</v>
      </c>
      <c r="F99" s="769"/>
      <c r="G99" s="763">
        <f t="shared" ref="G99:S99" si="28">SUM(G93:G98)</f>
        <v>0</v>
      </c>
      <c r="H99" s="763">
        <f t="shared" si="28"/>
        <v>0</v>
      </c>
      <c r="I99" s="763">
        <f t="shared" si="28"/>
        <v>0</v>
      </c>
      <c r="J99" s="763">
        <f t="shared" si="28"/>
        <v>0</v>
      </c>
      <c r="K99" s="763">
        <f t="shared" si="28"/>
        <v>0</v>
      </c>
      <c r="L99" s="763">
        <f t="shared" si="28"/>
        <v>0</v>
      </c>
      <c r="M99" s="763">
        <f t="shared" si="28"/>
        <v>0</v>
      </c>
      <c r="N99" s="763">
        <f t="shared" si="28"/>
        <v>0</v>
      </c>
      <c r="O99" s="763">
        <f t="shared" si="28"/>
        <v>0</v>
      </c>
      <c r="P99" s="763">
        <f t="shared" si="28"/>
        <v>0</v>
      </c>
      <c r="Q99" s="763">
        <f t="shared" si="28"/>
        <v>0</v>
      </c>
      <c r="R99" s="763">
        <f t="shared" si="28"/>
        <v>0</v>
      </c>
      <c r="S99" s="763">
        <f t="shared" si="28"/>
        <v>0</v>
      </c>
      <c r="T99" s="763"/>
    </row>
    <row r="100" spans="2:20">
      <c r="B100" s="758" t="str">
        <f>IF(OR((B92="~"),(C100="~")),"~","")</f>
        <v>~</v>
      </c>
      <c r="E100" s="765"/>
      <c r="F100" s="765"/>
      <c r="G100" s="765"/>
      <c r="H100" s="765"/>
      <c r="I100" s="765"/>
      <c r="J100" s="765"/>
      <c r="K100" s="765"/>
      <c r="L100" s="765"/>
      <c r="M100" s="765"/>
      <c r="N100" s="765"/>
      <c r="O100" s="765"/>
      <c r="P100" s="765"/>
      <c r="Q100" s="765"/>
      <c r="R100" s="765"/>
      <c r="S100" s="765"/>
      <c r="T100" s="765"/>
    </row>
    <row r="101" spans="2:20">
      <c r="B101" s="760" t="str">
        <f>[7]INPUTS!$F$15</f>
        <v>~</v>
      </c>
      <c r="E101" s="765"/>
      <c r="F101" s="765"/>
      <c r="G101" s="765"/>
      <c r="H101" s="765"/>
      <c r="I101" s="765"/>
      <c r="J101" s="765"/>
      <c r="K101" s="765"/>
      <c r="L101" s="765"/>
      <c r="M101" s="765"/>
      <c r="N101" s="765"/>
      <c r="O101" s="765"/>
      <c r="P101" s="765"/>
      <c r="Q101" s="765"/>
      <c r="R101" s="765"/>
      <c r="S101" s="765"/>
      <c r="T101" s="765"/>
    </row>
    <row r="102" spans="2:20">
      <c r="B102" s="758" t="str">
        <f>IF(OR((B101="~"),(C102="~")),"~","")</f>
        <v>~</v>
      </c>
      <c r="C102" s="758" t="str">
        <f>IF(B101="~","~",[7]INPUTS!$C$42)</f>
        <v>~</v>
      </c>
      <c r="E102" s="762">
        <f t="shared" ref="E102:E107" si="29">SUM(G102:T102)</f>
        <v>0</v>
      </c>
      <c r="F102" s="765"/>
      <c r="G102" s="762">
        <f>[7]CLASSALLOC!H118</f>
        <v>0</v>
      </c>
      <c r="H102" s="762">
        <f>[7]CLASSALLOC!I118</f>
        <v>0</v>
      </c>
      <c r="I102" s="762">
        <f>[7]CLASSALLOC!J118</f>
        <v>0</v>
      </c>
      <c r="J102" s="762">
        <f>[7]CLASSALLOC!K118</f>
        <v>0</v>
      </c>
      <c r="K102" s="762">
        <f>[7]CLASSALLOC!L118</f>
        <v>0</v>
      </c>
      <c r="L102" s="762">
        <f>[7]CLASSALLOC!M118</f>
        <v>0</v>
      </c>
      <c r="M102" s="762">
        <f>[7]CLASSALLOC!N118</f>
        <v>0</v>
      </c>
      <c r="N102" s="762">
        <f>[7]CLASSALLOC!O118</f>
        <v>0</v>
      </c>
      <c r="O102" s="762">
        <f>[7]CLASSALLOC!P118</f>
        <v>0</v>
      </c>
      <c r="P102" s="762">
        <f>[7]CLASSALLOC!Q118</f>
        <v>0</v>
      </c>
      <c r="Q102" s="762">
        <f>[7]CLASSALLOC!R118</f>
        <v>0</v>
      </c>
      <c r="R102" s="762">
        <f>[7]CLASSALLOC!S118</f>
        <v>0</v>
      </c>
      <c r="S102" s="762">
        <f>[7]CLASSALLOC!T118</f>
        <v>0</v>
      </c>
      <c r="T102" s="762"/>
    </row>
    <row r="103" spans="2:20">
      <c r="B103" s="758" t="str">
        <f>IF(OR((B101="~"),(C103="~")),"~","")</f>
        <v>~</v>
      </c>
      <c r="C103" s="758" t="str">
        <f>IF(B101="~","~",[7]INPUTS!$C$43)</f>
        <v>~</v>
      </c>
      <c r="E103" s="762">
        <f t="shared" si="29"/>
        <v>0</v>
      </c>
      <c r="F103" s="765"/>
      <c r="G103" s="762">
        <f>[7]CLASSALLOC!H119</f>
        <v>0</v>
      </c>
      <c r="H103" s="762">
        <f>[7]CLASSALLOC!I119</f>
        <v>0</v>
      </c>
      <c r="I103" s="762">
        <f>[7]CLASSALLOC!J119</f>
        <v>0</v>
      </c>
      <c r="J103" s="762">
        <f>[7]CLASSALLOC!K119</f>
        <v>0</v>
      </c>
      <c r="K103" s="762">
        <f>[7]CLASSALLOC!L119</f>
        <v>0</v>
      </c>
      <c r="L103" s="762">
        <f>[7]CLASSALLOC!M119</f>
        <v>0</v>
      </c>
      <c r="M103" s="762">
        <f>[7]CLASSALLOC!N119</f>
        <v>0</v>
      </c>
      <c r="N103" s="762">
        <f>[7]CLASSALLOC!O119</f>
        <v>0</v>
      </c>
      <c r="O103" s="762">
        <f>[7]CLASSALLOC!P119</f>
        <v>0</v>
      </c>
      <c r="P103" s="762">
        <f>[7]CLASSALLOC!Q119</f>
        <v>0</v>
      </c>
      <c r="Q103" s="762">
        <f>[7]CLASSALLOC!R119</f>
        <v>0</v>
      </c>
      <c r="R103" s="762">
        <f>[7]CLASSALLOC!S119</f>
        <v>0</v>
      </c>
      <c r="S103" s="762">
        <f>[7]CLASSALLOC!T119</f>
        <v>0</v>
      </c>
      <c r="T103" s="762"/>
    </row>
    <row r="104" spans="2:20">
      <c r="B104" s="758" t="str">
        <f>IF(OR((B101="~"),(C104="~")),"~","")</f>
        <v>~</v>
      </c>
      <c r="C104" s="758" t="str">
        <f>IF(B101="~","~",[7]INPUTS!$C$44)</f>
        <v>~</v>
      </c>
      <c r="E104" s="762">
        <f t="shared" si="29"/>
        <v>0</v>
      </c>
      <c r="F104" s="765"/>
      <c r="G104" s="762">
        <f>[7]CLASSALLOC!H120</f>
        <v>0</v>
      </c>
      <c r="H104" s="762">
        <f>[7]CLASSALLOC!I120</f>
        <v>0</v>
      </c>
      <c r="I104" s="762">
        <f>[7]CLASSALLOC!J120</f>
        <v>0</v>
      </c>
      <c r="J104" s="762">
        <f>[7]CLASSALLOC!K120</f>
        <v>0</v>
      </c>
      <c r="K104" s="762">
        <f>[7]CLASSALLOC!L120</f>
        <v>0</v>
      </c>
      <c r="L104" s="762">
        <f>[7]CLASSALLOC!M120</f>
        <v>0</v>
      </c>
      <c r="M104" s="762">
        <f>[7]CLASSALLOC!N120</f>
        <v>0</v>
      </c>
      <c r="N104" s="762">
        <f>[7]CLASSALLOC!O120</f>
        <v>0</v>
      </c>
      <c r="O104" s="762">
        <f>[7]CLASSALLOC!P120</f>
        <v>0</v>
      </c>
      <c r="P104" s="762">
        <f>[7]CLASSALLOC!Q120</f>
        <v>0</v>
      </c>
      <c r="Q104" s="762">
        <f>[7]CLASSALLOC!R120</f>
        <v>0</v>
      </c>
      <c r="R104" s="762">
        <f>[7]CLASSALLOC!S120</f>
        <v>0</v>
      </c>
      <c r="S104" s="762">
        <f>[7]CLASSALLOC!T120</f>
        <v>0</v>
      </c>
      <c r="T104" s="762"/>
    </row>
    <row r="105" spans="2:20">
      <c r="B105" s="758" t="str">
        <f>IF(OR((B101="~"),(C105="~")),"~","")</f>
        <v>~</v>
      </c>
      <c r="C105" s="758" t="str">
        <f>IF(B101="~","~",[7]INPUTS!$C$45)</f>
        <v>~</v>
      </c>
      <c r="E105" s="762">
        <f t="shared" si="29"/>
        <v>0</v>
      </c>
      <c r="F105" s="765"/>
      <c r="G105" s="762">
        <f>[7]CLASSALLOC!H121</f>
        <v>0</v>
      </c>
      <c r="H105" s="762">
        <f>[7]CLASSALLOC!I121</f>
        <v>0</v>
      </c>
      <c r="I105" s="762">
        <f>[7]CLASSALLOC!J121</f>
        <v>0</v>
      </c>
      <c r="J105" s="762">
        <f>[7]CLASSALLOC!K121</f>
        <v>0</v>
      </c>
      <c r="K105" s="762">
        <f>[7]CLASSALLOC!L121</f>
        <v>0</v>
      </c>
      <c r="L105" s="762">
        <f>[7]CLASSALLOC!M121</f>
        <v>0</v>
      </c>
      <c r="M105" s="762">
        <f>[7]CLASSALLOC!N121</f>
        <v>0</v>
      </c>
      <c r="N105" s="762">
        <f>[7]CLASSALLOC!O121</f>
        <v>0</v>
      </c>
      <c r="O105" s="762">
        <f>[7]CLASSALLOC!P121</f>
        <v>0</v>
      </c>
      <c r="P105" s="762">
        <f>[7]CLASSALLOC!Q121</f>
        <v>0</v>
      </c>
      <c r="Q105" s="762">
        <f>[7]CLASSALLOC!R121</f>
        <v>0</v>
      </c>
      <c r="R105" s="762">
        <f>[7]CLASSALLOC!S121</f>
        <v>0</v>
      </c>
      <c r="S105" s="762">
        <f>[7]CLASSALLOC!T121</f>
        <v>0</v>
      </c>
      <c r="T105" s="762"/>
    </row>
    <row r="106" spans="2:20">
      <c r="B106" s="758" t="str">
        <f>IF(OR((B101="~"),(C106="~")),"~","")</f>
        <v>~</v>
      </c>
      <c r="C106" s="758" t="str">
        <f>IF(B101="~","~",[7]INPUTS!$C$46)</f>
        <v>~</v>
      </c>
      <c r="E106" s="762">
        <f t="shared" si="29"/>
        <v>0</v>
      </c>
      <c r="F106" s="765"/>
      <c r="G106" s="762">
        <f>[7]CLASSALLOC!H122</f>
        <v>0</v>
      </c>
      <c r="H106" s="762">
        <f>[7]CLASSALLOC!I122</f>
        <v>0</v>
      </c>
      <c r="I106" s="762">
        <f>[7]CLASSALLOC!J122</f>
        <v>0</v>
      </c>
      <c r="J106" s="762">
        <f>[7]CLASSALLOC!K122</f>
        <v>0</v>
      </c>
      <c r="K106" s="762">
        <f>[7]CLASSALLOC!L122</f>
        <v>0</v>
      </c>
      <c r="L106" s="762">
        <f>[7]CLASSALLOC!M122</f>
        <v>0</v>
      </c>
      <c r="M106" s="762">
        <f>[7]CLASSALLOC!N122</f>
        <v>0</v>
      </c>
      <c r="N106" s="762">
        <f>[7]CLASSALLOC!O122</f>
        <v>0</v>
      </c>
      <c r="O106" s="762">
        <f>[7]CLASSALLOC!P122</f>
        <v>0</v>
      </c>
      <c r="P106" s="762">
        <f>[7]CLASSALLOC!Q122</f>
        <v>0</v>
      </c>
      <c r="Q106" s="762">
        <f>[7]CLASSALLOC!R122</f>
        <v>0</v>
      </c>
      <c r="R106" s="762">
        <f>[7]CLASSALLOC!S122</f>
        <v>0</v>
      </c>
      <c r="S106" s="762">
        <f>[7]CLASSALLOC!T122</f>
        <v>0</v>
      </c>
      <c r="T106" s="762"/>
    </row>
    <row r="107" spans="2:20">
      <c r="B107" s="758" t="str">
        <f>IF(OR((B101="~"),(C107="~")),"~","")</f>
        <v>~</v>
      </c>
      <c r="C107" s="758" t="str">
        <f>IF(B101="~","~",[7]INPUTS!$C$47)</f>
        <v>~</v>
      </c>
      <c r="E107" s="762">
        <f t="shared" si="29"/>
        <v>0</v>
      </c>
      <c r="F107" s="765"/>
      <c r="G107" s="762">
        <f>[7]CLASSALLOC!H123</f>
        <v>0</v>
      </c>
      <c r="H107" s="762">
        <f>[7]CLASSALLOC!I123</f>
        <v>0</v>
      </c>
      <c r="I107" s="762">
        <f>[7]CLASSALLOC!J123</f>
        <v>0</v>
      </c>
      <c r="J107" s="762">
        <f>[7]CLASSALLOC!K123</f>
        <v>0</v>
      </c>
      <c r="K107" s="762">
        <f>[7]CLASSALLOC!L123</f>
        <v>0</v>
      </c>
      <c r="L107" s="762">
        <f>[7]CLASSALLOC!M123</f>
        <v>0</v>
      </c>
      <c r="M107" s="762">
        <f>[7]CLASSALLOC!N123</f>
        <v>0</v>
      </c>
      <c r="N107" s="762">
        <f>[7]CLASSALLOC!O123</f>
        <v>0</v>
      </c>
      <c r="O107" s="762">
        <f>[7]CLASSALLOC!P123</f>
        <v>0</v>
      </c>
      <c r="P107" s="762">
        <f>[7]CLASSALLOC!Q123</f>
        <v>0</v>
      </c>
      <c r="Q107" s="762">
        <f>[7]CLASSALLOC!R123</f>
        <v>0</v>
      </c>
      <c r="R107" s="762">
        <f>[7]CLASSALLOC!S123</f>
        <v>0</v>
      </c>
      <c r="S107" s="762">
        <f>[7]CLASSALLOC!T123</f>
        <v>0</v>
      </c>
      <c r="T107" s="762"/>
    </row>
    <row r="108" spans="2:20">
      <c r="B108" s="758" t="str">
        <f>IF(OR((B101="~"),(C108="~")),"~","")</f>
        <v>~</v>
      </c>
      <c r="C108" s="760" t="str">
        <f>IF(B101="~","~","Sub-total")</f>
        <v>~</v>
      </c>
      <c r="D108" s="760"/>
      <c r="E108" s="763">
        <f>SUM(E102:E107)</f>
        <v>0</v>
      </c>
      <c r="F108" s="769"/>
      <c r="G108" s="763">
        <f t="shared" ref="G108:S108" si="30">SUM(G102:G107)</f>
        <v>0</v>
      </c>
      <c r="H108" s="763">
        <f t="shared" si="30"/>
        <v>0</v>
      </c>
      <c r="I108" s="763">
        <f t="shared" si="30"/>
        <v>0</v>
      </c>
      <c r="J108" s="763">
        <f t="shared" si="30"/>
        <v>0</v>
      </c>
      <c r="K108" s="763">
        <f t="shared" si="30"/>
        <v>0</v>
      </c>
      <c r="L108" s="763">
        <f t="shared" si="30"/>
        <v>0</v>
      </c>
      <c r="M108" s="763">
        <f t="shared" si="30"/>
        <v>0</v>
      </c>
      <c r="N108" s="763">
        <f t="shared" si="30"/>
        <v>0</v>
      </c>
      <c r="O108" s="763">
        <f t="shared" si="30"/>
        <v>0</v>
      </c>
      <c r="P108" s="763">
        <f t="shared" si="30"/>
        <v>0</v>
      </c>
      <c r="Q108" s="763">
        <f t="shared" si="30"/>
        <v>0</v>
      </c>
      <c r="R108" s="763">
        <f t="shared" si="30"/>
        <v>0</v>
      </c>
      <c r="S108" s="763">
        <f t="shared" si="30"/>
        <v>0</v>
      </c>
      <c r="T108" s="763"/>
    </row>
    <row r="109" spans="2:20">
      <c r="B109" s="758" t="str">
        <f>IF(OR((B101="~"),(C109="~")),"~","")</f>
        <v>~</v>
      </c>
      <c r="E109" s="765"/>
      <c r="F109" s="765"/>
      <c r="G109" s="765"/>
      <c r="H109" s="765"/>
      <c r="I109" s="765"/>
      <c r="J109" s="765"/>
      <c r="K109" s="765"/>
      <c r="L109" s="765"/>
      <c r="M109" s="765"/>
      <c r="N109" s="765"/>
      <c r="O109" s="765"/>
      <c r="P109" s="765"/>
      <c r="Q109" s="765"/>
      <c r="R109" s="765"/>
      <c r="S109" s="765"/>
      <c r="T109" s="765"/>
    </row>
    <row r="110" spans="2:20">
      <c r="B110" s="760" t="str">
        <f>[7]INPUTS!$F$16</f>
        <v>~</v>
      </c>
      <c r="E110" s="765"/>
      <c r="F110" s="765"/>
      <c r="G110" s="765"/>
      <c r="H110" s="765"/>
      <c r="I110" s="765"/>
      <c r="J110" s="765"/>
      <c r="K110" s="765"/>
      <c r="L110" s="765"/>
      <c r="M110" s="765"/>
      <c r="N110" s="765"/>
      <c r="O110" s="765"/>
      <c r="P110" s="765"/>
      <c r="Q110" s="765"/>
      <c r="R110" s="765"/>
      <c r="S110" s="765"/>
      <c r="T110" s="765"/>
    </row>
    <row r="111" spans="2:20">
      <c r="B111" s="758" t="str">
        <f>IF(OR((B110="~"),(C111="~")),"~","")</f>
        <v>~</v>
      </c>
      <c r="C111" s="758" t="str">
        <f>IF(B110="~","~",[7]INPUTS!$C$42)</f>
        <v>~</v>
      </c>
      <c r="E111" s="762">
        <f t="shared" ref="E111:E116" si="31">SUM(G111:T111)</f>
        <v>0</v>
      </c>
      <c r="F111" s="765"/>
      <c r="G111" s="762">
        <f>[7]CLASSALLOC!H127</f>
        <v>0</v>
      </c>
      <c r="H111" s="762">
        <f>[7]CLASSALLOC!I127</f>
        <v>0</v>
      </c>
      <c r="I111" s="762">
        <f>[7]CLASSALLOC!J127</f>
        <v>0</v>
      </c>
      <c r="J111" s="762">
        <f>[7]CLASSALLOC!K127</f>
        <v>0</v>
      </c>
      <c r="K111" s="762">
        <f>[7]CLASSALLOC!L127</f>
        <v>0</v>
      </c>
      <c r="L111" s="762">
        <f>[7]CLASSALLOC!M127</f>
        <v>0</v>
      </c>
      <c r="M111" s="762">
        <f>[7]CLASSALLOC!N127</f>
        <v>0</v>
      </c>
      <c r="N111" s="762">
        <f>[7]CLASSALLOC!O127</f>
        <v>0</v>
      </c>
      <c r="O111" s="762">
        <f>[7]CLASSALLOC!P127</f>
        <v>0</v>
      </c>
      <c r="P111" s="762">
        <f>[7]CLASSALLOC!Q127</f>
        <v>0</v>
      </c>
      <c r="Q111" s="762">
        <f>[7]CLASSALLOC!R127</f>
        <v>0</v>
      </c>
      <c r="R111" s="762">
        <f>[7]CLASSALLOC!S127</f>
        <v>0</v>
      </c>
      <c r="S111" s="762">
        <f>[7]CLASSALLOC!T127</f>
        <v>0</v>
      </c>
      <c r="T111" s="762"/>
    </row>
    <row r="112" spans="2:20">
      <c r="B112" s="758" t="str">
        <f>IF(OR((B110="~"),(C112="~")),"~","")</f>
        <v>~</v>
      </c>
      <c r="C112" s="758" t="str">
        <f>IF(B110="~","~",[7]INPUTS!$C$43)</f>
        <v>~</v>
      </c>
      <c r="E112" s="762">
        <f t="shared" si="31"/>
        <v>0</v>
      </c>
      <c r="F112" s="765"/>
      <c r="G112" s="762">
        <f>[7]CLASSALLOC!H128</f>
        <v>0</v>
      </c>
      <c r="H112" s="762">
        <f>[7]CLASSALLOC!I128</f>
        <v>0</v>
      </c>
      <c r="I112" s="762">
        <f>[7]CLASSALLOC!J128</f>
        <v>0</v>
      </c>
      <c r="J112" s="762">
        <f>[7]CLASSALLOC!K128</f>
        <v>0</v>
      </c>
      <c r="K112" s="762">
        <f>[7]CLASSALLOC!L128</f>
        <v>0</v>
      </c>
      <c r="L112" s="762">
        <f>[7]CLASSALLOC!M128</f>
        <v>0</v>
      </c>
      <c r="M112" s="762">
        <f>[7]CLASSALLOC!N128</f>
        <v>0</v>
      </c>
      <c r="N112" s="762">
        <f>[7]CLASSALLOC!O128</f>
        <v>0</v>
      </c>
      <c r="O112" s="762">
        <f>[7]CLASSALLOC!P128</f>
        <v>0</v>
      </c>
      <c r="P112" s="762">
        <f>[7]CLASSALLOC!Q128</f>
        <v>0</v>
      </c>
      <c r="Q112" s="762">
        <f>[7]CLASSALLOC!R128</f>
        <v>0</v>
      </c>
      <c r="R112" s="762">
        <f>[7]CLASSALLOC!S128</f>
        <v>0</v>
      </c>
      <c r="S112" s="762">
        <f>[7]CLASSALLOC!T128</f>
        <v>0</v>
      </c>
      <c r="T112" s="762"/>
    </row>
    <row r="113" spans="2:20">
      <c r="B113" s="758" t="str">
        <f>IF(OR((B110="~"),(C113="~")),"~","")</f>
        <v>~</v>
      </c>
      <c r="C113" s="758" t="str">
        <f>IF(B110="~","~",[7]INPUTS!$C$44)</f>
        <v>~</v>
      </c>
      <c r="E113" s="762">
        <f t="shared" si="31"/>
        <v>0</v>
      </c>
      <c r="F113" s="765"/>
      <c r="G113" s="762">
        <f>[7]CLASSALLOC!H129</f>
        <v>0</v>
      </c>
      <c r="H113" s="762">
        <f>[7]CLASSALLOC!I129</f>
        <v>0</v>
      </c>
      <c r="I113" s="762">
        <f>[7]CLASSALLOC!J129</f>
        <v>0</v>
      </c>
      <c r="J113" s="762">
        <f>[7]CLASSALLOC!K129</f>
        <v>0</v>
      </c>
      <c r="K113" s="762">
        <f>[7]CLASSALLOC!L129</f>
        <v>0</v>
      </c>
      <c r="L113" s="762">
        <f>[7]CLASSALLOC!M129</f>
        <v>0</v>
      </c>
      <c r="M113" s="762">
        <f>[7]CLASSALLOC!N129</f>
        <v>0</v>
      </c>
      <c r="N113" s="762">
        <f>[7]CLASSALLOC!O129</f>
        <v>0</v>
      </c>
      <c r="O113" s="762">
        <f>[7]CLASSALLOC!P129</f>
        <v>0</v>
      </c>
      <c r="P113" s="762">
        <f>[7]CLASSALLOC!Q129</f>
        <v>0</v>
      </c>
      <c r="Q113" s="762">
        <f>[7]CLASSALLOC!R129</f>
        <v>0</v>
      </c>
      <c r="R113" s="762">
        <f>[7]CLASSALLOC!S129</f>
        <v>0</v>
      </c>
      <c r="S113" s="762">
        <f>[7]CLASSALLOC!T129</f>
        <v>0</v>
      </c>
      <c r="T113" s="762"/>
    </row>
    <row r="114" spans="2:20">
      <c r="B114" s="758" t="str">
        <f>IF(OR((B110="~"),(C114="~")),"~","")</f>
        <v>~</v>
      </c>
      <c r="C114" s="758" t="str">
        <f>IF(B110="~","~",[7]INPUTS!$C$45)</f>
        <v>~</v>
      </c>
      <c r="E114" s="762">
        <f t="shared" si="31"/>
        <v>0</v>
      </c>
      <c r="F114" s="765"/>
      <c r="G114" s="762">
        <f>[7]CLASSALLOC!H130</f>
        <v>0</v>
      </c>
      <c r="H114" s="762">
        <f>[7]CLASSALLOC!I130</f>
        <v>0</v>
      </c>
      <c r="I114" s="762">
        <f>[7]CLASSALLOC!J130</f>
        <v>0</v>
      </c>
      <c r="J114" s="762">
        <f>[7]CLASSALLOC!K130</f>
        <v>0</v>
      </c>
      <c r="K114" s="762">
        <f>[7]CLASSALLOC!L130</f>
        <v>0</v>
      </c>
      <c r="L114" s="762">
        <f>[7]CLASSALLOC!M130</f>
        <v>0</v>
      </c>
      <c r="M114" s="762">
        <f>[7]CLASSALLOC!N130</f>
        <v>0</v>
      </c>
      <c r="N114" s="762">
        <f>[7]CLASSALLOC!O130</f>
        <v>0</v>
      </c>
      <c r="O114" s="762">
        <f>[7]CLASSALLOC!P130</f>
        <v>0</v>
      </c>
      <c r="P114" s="762">
        <f>[7]CLASSALLOC!Q130</f>
        <v>0</v>
      </c>
      <c r="Q114" s="762">
        <f>[7]CLASSALLOC!R130</f>
        <v>0</v>
      </c>
      <c r="R114" s="762">
        <f>[7]CLASSALLOC!S130</f>
        <v>0</v>
      </c>
      <c r="S114" s="762">
        <f>[7]CLASSALLOC!T130</f>
        <v>0</v>
      </c>
      <c r="T114" s="762"/>
    </row>
    <row r="115" spans="2:20">
      <c r="B115" s="758" t="str">
        <f>IF(OR((B110="~"),(C115="~")),"~","")</f>
        <v>~</v>
      </c>
      <c r="C115" s="758" t="str">
        <f>IF(B110="~","~",[7]INPUTS!$C$46)</f>
        <v>~</v>
      </c>
      <c r="E115" s="762">
        <f t="shared" si="31"/>
        <v>0</v>
      </c>
      <c r="F115" s="765"/>
      <c r="G115" s="762">
        <f>[7]CLASSALLOC!H131</f>
        <v>0</v>
      </c>
      <c r="H115" s="762">
        <f>[7]CLASSALLOC!I131</f>
        <v>0</v>
      </c>
      <c r="I115" s="762">
        <f>[7]CLASSALLOC!J131</f>
        <v>0</v>
      </c>
      <c r="J115" s="762">
        <f>[7]CLASSALLOC!K131</f>
        <v>0</v>
      </c>
      <c r="K115" s="762">
        <f>[7]CLASSALLOC!L131</f>
        <v>0</v>
      </c>
      <c r="L115" s="762">
        <f>[7]CLASSALLOC!M131</f>
        <v>0</v>
      </c>
      <c r="M115" s="762">
        <f>[7]CLASSALLOC!N131</f>
        <v>0</v>
      </c>
      <c r="N115" s="762">
        <f>[7]CLASSALLOC!O131</f>
        <v>0</v>
      </c>
      <c r="O115" s="762">
        <f>[7]CLASSALLOC!P131</f>
        <v>0</v>
      </c>
      <c r="P115" s="762">
        <f>[7]CLASSALLOC!Q131</f>
        <v>0</v>
      </c>
      <c r="Q115" s="762">
        <f>[7]CLASSALLOC!R131</f>
        <v>0</v>
      </c>
      <c r="R115" s="762">
        <f>[7]CLASSALLOC!S131</f>
        <v>0</v>
      </c>
      <c r="S115" s="762">
        <f>[7]CLASSALLOC!T131</f>
        <v>0</v>
      </c>
      <c r="T115" s="762"/>
    </row>
    <row r="116" spans="2:20">
      <c r="B116" s="758" t="str">
        <f>IF(OR((B110="~"),(C116="~")),"~","")</f>
        <v>~</v>
      </c>
      <c r="C116" s="758" t="str">
        <f>IF(B110="~","~",[7]INPUTS!$C$47)</f>
        <v>~</v>
      </c>
      <c r="E116" s="762">
        <f t="shared" si="31"/>
        <v>0</v>
      </c>
      <c r="F116" s="765"/>
      <c r="G116" s="762">
        <f>[7]CLASSALLOC!H132</f>
        <v>0</v>
      </c>
      <c r="H116" s="762">
        <f>[7]CLASSALLOC!I132</f>
        <v>0</v>
      </c>
      <c r="I116" s="762">
        <f>[7]CLASSALLOC!J132</f>
        <v>0</v>
      </c>
      <c r="J116" s="762">
        <f>[7]CLASSALLOC!K132</f>
        <v>0</v>
      </c>
      <c r="K116" s="762">
        <f>[7]CLASSALLOC!L132</f>
        <v>0</v>
      </c>
      <c r="L116" s="762">
        <f>[7]CLASSALLOC!M132</f>
        <v>0</v>
      </c>
      <c r="M116" s="762">
        <f>[7]CLASSALLOC!N132</f>
        <v>0</v>
      </c>
      <c r="N116" s="762">
        <f>[7]CLASSALLOC!O132</f>
        <v>0</v>
      </c>
      <c r="O116" s="762">
        <f>[7]CLASSALLOC!P132</f>
        <v>0</v>
      </c>
      <c r="P116" s="762">
        <f>[7]CLASSALLOC!Q132</f>
        <v>0</v>
      </c>
      <c r="Q116" s="762">
        <f>[7]CLASSALLOC!R132</f>
        <v>0</v>
      </c>
      <c r="R116" s="762">
        <f>[7]CLASSALLOC!S132</f>
        <v>0</v>
      </c>
      <c r="S116" s="762">
        <f>[7]CLASSALLOC!T132</f>
        <v>0</v>
      </c>
      <c r="T116" s="762"/>
    </row>
    <row r="117" spans="2:20">
      <c r="B117" s="758" t="str">
        <f>IF(OR((B110="~"),(C117="~")),"~","")</f>
        <v>~</v>
      </c>
      <c r="C117" s="760" t="str">
        <f>IF(B110="~","~","Sub-total")</f>
        <v>~</v>
      </c>
      <c r="D117" s="760"/>
      <c r="E117" s="763">
        <f>SUM(E111:E116)</f>
        <v>0</v>
      </c>
      <c r="F117" s="769"/>
      <c r="G117" s="763">
        <f t="shared" ref="G117:S117" si="32">SUM(G111:G116)</f>
        <v>0</v>
      </c>
      <c r="H117" s="763">
        <f t="shared" si="32"/>
        <v>0</v>
      </c>
      <c r="I117" s="763">
        <f t="shared" si="32"/>
        <v>0</v>
      </c>
      <c r="J117" s="763">
        <f t="shared" si="32"/>
        <v>0</v>
      </c>
      <c r="K117" s="763">
        <f t="shared" si="32"/>
        <v>0</v>
      </c>
      <c r="L117" s="763">
        <f t="shared" si="32"/>
        <v>0</v>
      </c>
      <c r="M117" s="763">
        <f t="shared" si="32"/>
        <v>0</v>
      </c>
      <c r="N117" s="763">
        <f t="shared" si="32"/>
        <v>0</v>
      </c>
      <c r="O117" s="763">
        <f t="shared" si="32"/>
        <v>0</v>
      </c>
      <c r="P117" s="763">
        <f t="shared" si="32"/>
        <v>0</v>
      </c>
      <c r="Q117" s="763">
        <f t="shared" si="32"/>
        <v>0</v>
      </c>
      <c r="R117" s="763">
        <f t="shared" si="32"/>
        <v>0</v>
      </c>
      <c r="S117" s="763">
        <f t="shared" si="32"/>
        <v>0</v>
      </c>
      <c r="T117" s="763"/>
    </row>
    <row r="118" spans="2:20">
      <c r="B118" s="758" t="str">
        <f>IF(OR((B110="~"),(C118="~")),"~","")</f>
        <v>~</v>
      </c>
      <c r="E118" s="765"/>
      <c r="F118" s="765"/>
      <c r="G118" s="765"/>
      <c r="H118" s="765"/>
      <c r="I118" s="765"/>
      <c r="J118" s="765"/>
      <c r="K118" s="765"/>
      <c r="L118" s="765"/>
      <c r="M118" s="765"/>
      <c r="N118" s="765"/>
      <c r="O118" s="765"/>
      <c r="P118" s="765"/>
      <c r="Q118" s="765"/>
      <c r="R118" s="765"/>
      <c r="S118" s="765"/>
      <c r="T118" s="765"/>
    </row>
    <row r="119" spans="2:20">
      <c r="B119" s="760" t="str">
        <f>[7]INPUTS!$F$17</f>
        <v>~</v>
      </c>
      <c r="E119" s="765"/>
      <c r="F119" s="765"/>
      <c r="G119" s="765"/>
      <c r="H119" s="765"/>
      <c r="I119" s="765"/>
      <c r="J119" s="765"/>
      <c r="K119" s="765"/>
      <c r="L119" s="765"/>
      <c r="M119" s="765"/>
      <c r="N119" s="765"/>
      <c r="O119" s="765"/>
      <c r="P119" s="765"/>
      <c r="Q119" s="765"/>
      <c r="R119" s="765"/>
      <c r="S119" s="765"/>
      <c r="T119" s="765"/>
    </row>
    <row r="120" spans="2:20">
      <c r="B120" s="758" t="str">
        <f>IF(OR((B119="~"),(C120="~")),"~","")</f>
        <v>~</v>
      </c>
      <c r="C120" s="758" t="str">
        <f>IF(B119="~","~",[7]INPUTS!$C$42)</f>
        <v>~</v>
      </c>
      <c r="E120" s="762">
        <f t="shared" ref="E120:E125" si="33">SUM(G120:T120)</f>
        <v>0</v>
      </c>
      <c r="F120" s="765"/>
      <c r="G120" s="762">
        <f>[7]CLASSALLOC!H136</f>
        <v>0</v>
      </c>
      <c r="H120" s="762">
        <f>[7]CLASSALLOC!I136</f>
        <v>0</v>
      </c>
      <c r="I120" s="762">
        <f>[7]CLASSALLOC!J136</f>
        <v>0</v>
      </c>
      <c r="J120" s="762">
        <f>[7]CLASSALLOC!K136</f>
        <v>0</v>
      </c>
      <c r="K120" s="762">
        <f>[7]CLASSALLOC!L136</f>
        <v>0</v>
      </c>
      <c r="L120" s="762">
        <f>[7]CLASSALLOC!M136</f>
        <v>0</v>
      </c>
      <c r="M120" s="762">
        <f>[7]CLASSALLOC!N136</f>
        <v>0</v>
      </c>
      <c r="N120" s="762">
        <f>[7]CLASSALLOC!O136</f>
        <v>0</v>
      </c>
      <c r="O120" s="762">
        <f>[7]CLASSALLOC!P136</f>
        <v>0</v>
      </c>
      <c r="P120" s="762">
        <f>[7]CLASSALLOC!Q136</f>
        <v>0</v>
      </c>
      <c r="Q120" s="762">
        <f>[7]CLASSALLOC!R136</f>
        <v>0</v>
      </c>
      <c r="R120" s="762">
        <f>[7]CLASSALLOC!S136</f>
        <v>0</v>
      </c>
      <c r="S120" s="762">
        <f>[7]CLASSALLOC!T136</f>
        <v>0</v>
      </c>
      <c r="T120" s="762"/>
    </row>
    <row r="121" spans="2:20">
      <c r="B121" s="758" t="str">
        <f>IF(OR((B119="~"),(C121="~")),"~","")</f>
        <v>~</v>
      </c>
      <c r="C121" s="758" t="str">
        <f>IF(B119="~","~",[7]INPUTS!$C$43)</f>
        <v>~</v>
      </c>
      <c r="E121" s="762">
        <f t="shared" si="33"/>
        <v>0</v>
      </c>
      <c r="F121" s="765"/>
      <c r="G121" s="762">
        <f>[7]CLASSALLOC!H137</f>
        <v>0</v>
      </c>
      <c r="H121" s="762">
        <f>[7]CLASSALLOC!I137</f>
        <v>0</v>
      </c>
      <c r="I121" s="762">
        <f>[7]CLASSALLOC!J137</f>
        <v>0</v>
      </c>
      <c r="J121" s="762">
        <f>[7]CLASSALLOC!K137</f>
        <v>0</v>
      </c>
      <c r="K121" s="762">
        <f>[7]CLASSALLOC!L137</f>
        <v>0</v>
      </c>
      <c r="L121" s="762">
        <f>[7]CLASSALLOC!M137</f>
        <v>0</v>
      </c>
      <c r="M121" s="762">
        <f>[7]CLASSALLOC!N137</f>
        <v>0</v>
      </c>
      <c r="N121" s="762">
        <f>[7]CLASSALLOC!O137</f>
        <v>0</v>
      </c>
      <c r="O121" s="762">
        <f>[7]CLASSALLOC!P137</f>
        <v>0</v>
      </c>
      <c r="P121" s="762">
        <f>[7]CLASSALLOC!Q137</f>
        <v>0</v>
      </c>
      <c r="Q121" s="762">
        <f>[7]CLASSALLOC!R137</f>
        <v>0</v>
      </c>
      <c r="R121" s="762">
        <f>[7]CLASSALLOC!S137</f>
        <v>0</v>
      </c>
      <c r="S121" s="762">
        <f>[7]CLASSALLOC!T137</f>
        <v>0</v>
      </c>
      <c r="T121" s="762"/>
    </row>
    <row r="122" spans="2:20">
      <c r="B122" s="758" t="str">
        <f>IF(OR((B119="~"),(C122="~")),"~","")</f>
        <v>~</v>
      </c>
      <c r="C122" s="758" t="str">
        <f>IF(B119="~","~",[7]INPUTS!$C$44)</f>
        <v>~</v>
      </c>
      <c r="E122" s="762">
        <f t="shared" si="33"/>
        <v>0</v>
      </c>
      <c r="F122" s="765"/>
      <c r="G122" s="762">
        <f>[7]CLASSALLOC!H138</f>
        <v>0</v>
      </c>
      <c r="H122" s="762">
        <f>[7]CLASSALLOC!I138</f>
        <v>0</v>
      </c>
      <c r="I122" s="762">
        <f>[7]CLASSALLOC!J138</f>
        <v>0</v>
      </c>
      <c r="J122" s="762">
        <f>[7]CLASSALLOC!K138</f>
        <v>0</v>
      </c>
      <c r="K122" s="762">
        <f>[7]CLASSALLOC!L138</f>
        <v>0</v>
      </c>
      <c r="L122" s="762">
        <f>[7]CLASSALLOC!M138</f>
        <v>0</v>
      </c>
      <c r="M122" s="762">
        <f>[7]CLASSALLOC!N138</f>
        <v>0</v>
      </c>
      <c r="N122" s="762">
        <f>[7]CLASSALLOC!O138</f>
        <v>0</v>
      </c>
      <c r="O122" s="762">
        <f>[7]CLASSALLOC!P138</f>
        <v>0</v>
      </c>
      <c r="P122" s="762">
        <f>[7]CLASSALLOC!Q138</f>
        <v>0</v>
      </c>
      <c r="Q122" s="762">
        <f>[7]CLASSALLOC!R138</f>
        <v>0</v>
      </c>
      <c r="R122" s="762">
        <f>[7]CLASSALLOC!S138</f>
        <v>0</v>
      </c>
      <c r="S122" s="762">
        <f>[7]CLASSALLOC!T138</f>
        <v>0</v>
      </c>
      <c r="T122" s="762"/>
    </row>
    <row r="123" spans="2:20">
      <c r="B123" s="758" t="str">
        <f>IF(OR((B119="~"),(C123="~")),"~","")</f>
        <v>~</v>
      </c>
      <c r="C123" s="758" t="str">
        <f>IF(B119="~","~",[7]INPUTS!$C$45)</f>
        <v>~</v>
      </c>
      <c r="E123" s="762">
        <f t="shared" si="33"/>
        <v>0</v>
      </c>
      <c r="F123" s="765"/>
      <c r="G123" s="762">
        <f>[7]CLASSALLOC!H139</f>
        <v>0</v>
      </c>
      <c r="H123" s="762">
        <f>[7]CLASSALLOC!I139</f>
        <v>0</v>
      </c>
      <c r="I123" s="762">
        <f>[7]CLASSALLOC!J139</f>
        <v>0</v>
      </c>
      <c r="J123" s="762">
        <f>[7]CLASSALLOC!K139</f>
        <v>0</v>
      </c>
      <c r="K123" s="762">
        <f>[7]CLASSALLOC!L139</f>
        <v>0</v>
      </c>
      <c r="L123" s="762">
        <f>[7]CLASSALLOC!M139</f>
        <v>0</v>
      </c>
      <c r="M123" s="762">
        <f>[7]CLASSALLOC!N139</f>
        <v>0</v>
      </c>
      <c r="N123" s="762">
        <f>[7]CLASSALLOC!O139</f>
        <v>0</v>
      </c>
      <c r="O123" s="762">
        <f>[7]CLASSALLOC!P139</f>
        <v>0</v>
      </c>
      <c r="P123" s="762">
        <f>[7]CLASSALLOC!Q139</f>
        <v>0</v>
      </c>
      <c r="Q123" s="762">
        <f>[7]CLASSALLOC!R139</f>
        <v>0</v>
      </c>
      <c r="R123" s="762">
        <f>[7]CLASSALLOC!S139</f>
        <v>0</v>
      </c>
      <c r="S123" s="762">
        <f>[7]CLASSALLOC!T139</f>
        <v>0</v>
      </c>
      <c r="T123" s="762"/>
    </row>
    <row r="124" spans="2:20">
      <c r="B124" s="758" t="str">
        <f>IF(OR((B119="~"),(C124="~")),"~","")</f>
        <v>~</v>
      </c>
      <c r="C124" s="758" t="str">
        <f>IF(B119="~","~",[7]INPUTS!$C$46)</f>
        <v>~</v>
      </c>
      <c r="E124" s="762">
        <f t="shared" si="33"/>
        <v>0</v>
      </c>
      <c r="F124" s="765"/>
      <c r="G124" s="762">
        <f>[7]CLASSALLOC!H140</f>
        <v>0</v>
      </c>
      <c r="H124" s="762">
        <f>[7]CLASSALLOC!I140</f>
        <v>0</v>
      </c>
      <c r="I124" s="762">
        <f>[7]CLASSALLOC!J140</f>
        <v>0</v>
      </c>
      <c r="J124" s="762">
        <f>[7]CLASSALLOC!K140</f>
        <v>0</v>
      </c>
      <c r="K124" s="762">
        <f>[7]CLASSALLOC!L140</f>
        <v>0</v>
      </c>
      <c r="L124" s="762">
        <f>[7]CLASSALLOC!M140</f>
        <v>0</v>
      </c>
      <c r="M124" s="762">
        <f>[7]CLASSALLOC!N140</f>
        <v>0</v>
      </c>
      <c r="N124" s="762">
        <f>[7]CLASSALLOC!O140</f>
        <v>0</v>
      </c>
      <c r="O124" s="762">
        <f>[7]CLASSALLOC!P140</f>
        <v>0</v>
      </c>
      <c r="P124" s="762">
        <f>[7]CLASSALLOC!Q140</f>
        <v>0</v>
      </c>
      <c r="Q124" s="762">
        <f>[7]CLASSALLOC!R140</f>
        <v>0</v>
      </c>
      <c r="R124" s="762">
        <f>[7]CLASSALLOC!S140</f>
        <v>0</v>
      </c>
      <c r="S124" s="762">
        <f>[7]CLASSALLOC!T140</f>
        <v>0</v>
      </c>
      <c r="T124" s="762"/>
    </row>
    <row r="125" spans="2:20">
      <c r="B125" s="758" t="str">
        <f>IF(OR((B119="~"),(C125="~")),"~","")</f>
        <v>~</v>
      </c>
      <c r="C125" s="758" t="str">
        <f>IF(B119="~","~",[7]INPUTS!$C$47)</f>
        <v>~</v>
      </c>
      <c r="E125" s="762">
        <f t="shared" si="33"/>
        <v>0</v>
      </c>
      <c r="F125" s="765"/>
      <c r="G125" s="762">
        <f>[7]CLASSALLOC!H141</f>
        <v>0</v>
      </c>
      <c r="H125" s="762">
        <f>[7]CLASSALLOC!I141</f>
        <v>0</v>
      </c>
      <c r="I125" s="762">
        <f>[7]CLASSALLOC!J141</f>
        <v>0</v>
      </c>
      <c r="J125" s="762">
        <f>[7]CLASSALLOC!K141</f>
        <v>0</v>
      </c>
      <c r="K125" s="762">
        <f>[7]CLASSALLOC!L141</f>
        <v>0</v>
      </c>
      <c r="L125" s="762">
        <f>[7]CLASSALLOC!M141</f>
        <v>0</v>
      </c>
      <c r="M125" s="762">
        <f>[7]CLASSALLOC!N141</f>
        <v>0</v>
      </c>
      <c r="N125" s="762">
        <f>[7]CLASSALLOC!O141</f>
        <v>0</v>
      </c>
      <c r="O125" s="762">
        <f>[7]CLASSALLOC!P141</f>
        <v>0</v>
      </c>
      <c r="P125" s="762">
        <f>[7]CLASSALLOC!Q141</f>
        <v>0</v>
      </c>
      <c r="Q125" s="762">
        <f>[7]CLASSALLOC!R141</f>
        <v>0</v>
      </c>
      <c r="R125" s="762">
        <f>[7]CLASSALLOC!S141</f>
        <v>0</v>
      </c>
      <c r="S125" s="762">
        <f>[7]CLASSALLOC!T141</f>
        <v>0</v>
      </c>
      <c r="T125" s="762"/>
    </row>
    <row r="126" spans="2:20">
      <c r="B126" s="758" t="str">
        <f>IF(OR((B119="~"),(C126="~")),"~","")</f>
        <v>~</v>
      </c>
      <c r="C126" s="760" t="str">
        <f>IF(B119="~","~","Sub-total")</f>
        <v>~</v>
      </c>
      <c r="D126" s="760"/>
      <c r="E126" s="763">
        <f>SUM(E120:E125)</f>
        <v>0</v>
      </c>
      <c r="F126" s="769"/>
      <c r="G126" s="763">
        <f t="shared" ref="G126:S126" si="34">SUM(G120:G125)</f>
        <v>0</v>
      </c>
      <c r="H126" s="763">
        <f t="shared" si="34"/>
        <v>0</v>
      </c>
      <c r="I126" s="763">
        <f t="shared" si="34"/>
        <v>0</v>
      </c>
      <c r="J126" s="763">
        <f t="shared" si="34"/>
        <v>0</v>
      </c>
      <c r="K126" s="763">
        <f t="shared" si="34"/>
        <v>0</v>
      </c>
      <c r="L126" s="763">
        <f t="shared" si="34"/>
        <v>0</v>
      </c>
      <c r="M126" s="763">
        <f t="shared" si="34"/>
        <v>0</v>
      </c>
      <c r="N126" s="763">
        <f t="shared" si="34"/>
        <v>0</v>
      </c>
      <c r="O126" s="763">
        <f t="shared" si="34"/>
        <v>0</v>
      </c>
      <c r="P126" s="763">
        <f t="shared" si="34"/>
        <v>0</v>
      </c>
      <c r="Q126" s="763">
        <f t="shared" si="34"/>
        <v>0</v>
      </c>
      <c r="R126" s="763">
        <f t="shared" si="34"/>
        <v>0</v>
      </c>
      <c r="S126" s="763">
        <f t="shared" si="34"/>
        <v>0</v>
      </c>
      <c r="T126" s="763"/>
    </row>
    <row r="127" spans="2:20">
      <c r="B127" s="758" t="str">
        <f>IF(OR((B119="~"),(C127="~")),"~","")</f>
        <v>~</v>
      </c>
      <c r="E127" s="765"/>
      <c r="F127" s="765"/>
      <c r="G127" s="765"/>
      <c r="H127" s="765"/>
      <c r="I127" s="765"/>
      <c r="J127" s="765"/>
      <c r="K127" s="765"/>
      <c r="L127" s="765"/>
      <c r="M127" s="765"/>
      <c r="N127" s="765"/>
      <c r="O127" s="765"/>
      <c r="P127" s="765"/>
      <c r="Q127" s="765"/>
      <c r="R127" s="765"/>
      <c r="S127" s="765"/>
      <c r="T127" s="765"/>
    </row>
    <row r="128" spans="2:20">
      <c r="B128" s="760" t="str">
        <f>[7]INPUTS!$F$18</f>
        <v>~</v>
      </c>
      <c r="E128" s="765"/>
      <c r="F128" s="765"/>
      <c r="G128" s="765"/>
      <c r="H128" s="765"/>
      <c r="I128" s="765"/>
      <c r="J128" s="765"/>
      <c r="K128" s="765"/>
      <c r="L128" s="765"/>
      <c r="M128" s="765"/>
      <c r="N128" s="765"/>
      <c r="O128" s="765"/>
      <c r="P128" s="765"/>
      <c r="Q128" s="765"/>
      <c r="R128" s="765"/>
      <c r="S128" s="765"/>
      <c r="T128" s="765"/>
    </row>
    <row r="129" spans="2:20">
      <c r="B129" s="758" t="str">
        <f>IF(OR((B128="~"),(C129="~")),"~","")</f>
        <v>~</v>
      </c>
      <c r="C129" s="758" t="str">
        <f>IF(B128="~","~",[7]INPUTS!$C$42)</f>
        <v>~</v>
      </c>
      <c r="E129" s="762">
        <f t="shared" ref="E129:E134" si="35">SUM(G129:T129)</f>
        <v>0</v>
      </c>
      <c r="F129" s="765"/>
      <c r="G129" s="762">
        <f>[7]CLASSALLOC!H145</f>
        <v>0</v>
      </c>
      <c r="H129" s="762">
        <f>[7]CLASSALLOC!I145</f>
        <v>0</v>
      </c>
      <c r="I129" s="762">
        <f>[7]CLASSALLOC!J145</f>
        <v>0</v>
      </c>
      <c r="J129" s="762">
        <f>[7]CLASSALLOC!K145</f>
        <v>0</v>
      </c>
      <c r="K129" s="762">
        <f>[7]CLASSALLOC!L145</f>
        <v>0</v>
      </c>
      <c r="L129" s="762">
        <f>[7]CLASSALLOC!M145</f>
        <v>0</v>
      </c>
      <c r="M129" s="762">
        <f>[7]CLASSALLOC!N145</f>
        <v>0</v>
      </c>
      <c r="N129" s="762">
        <f>[7]CLASSALLOC!O145</f>
        <v>0</v>
      </c>
      <c r="O129" s="762">
        <f>[7]CLASSALLOC!P145</f>
        <v>0</v>
      </c>
      <c r="P129" s="762">
        <f>[7]CLASSALLOC!Q145</f>
        <v>0</v>
      </c>
      <c r="Q129" s="762">
        <f>[7]CLASSALLOC!R145</f>
        <v>0</v>
      </c>
      <c r="R129" s="762">
        <f>[7]CLASSALLOC!S145</f>
        <v>0</v>
      </c>
      <c r="S129" s="762">
        <f>[7]CLASSALLOC!T145</f>
        <v>0</v>
      </c>
      <c r="T129" s="762"/>
    </row>
    <row r="130" spans="2:20">
      <c r="B130" s="758" t="str">
        <f>IF(OR((B128="~"),(C130="~")),"~","")</f>
        <v>~</v>
      </c>
      <c r="C130" s="758" t="str">
        <f>IF(B128="~","~",[7]INPUTS!$C$43)</f>
        <v>~</v>
      </c>
      <c r="E130" s="762">
        <f t="shared" si="35"/>
        <v>0</v>
      </c>
      <c r="F130" s="765"/>
      <c r="G130" s="762">
        <f>[7]CLASSALLOC!H146</f>
        <v>0</v>
      </c>
      <c r="H130" s="762">
        <f>[7]CLASSALLOC!I146</f>
        <v>0</v>
      </c>
      <c r="I130" s="762">
        <f>[7]CLASSALLOC!J146</f>
        <v>0</v>
      </c>
      <c r="J130" s="762">
        <f>[7]CLASSALLOC!K146</f>
        <v>0</v>
      </c>
      <c r="K130" s="762">
        <f>[7]CLASSALLOC!L146</f>
        <v>0</v>
      </c>
      <c r="L130" s="762">
        <f>[7]CLASSALLOC!M146</f>
        <v>0</v>
      </c>
      <c r="M130" s="762">
        <f>[7]CLASSALLOC!N146</f>
        <v>0</v>
      </c>
      <c r="N130" s="762">
        <f>[7]CLASSALLOC!O146</f>
        <v>0</v>
      </c>
      <c r="O130" s="762">
        <f>[7]CLASSALLOC!P146</f>
        <v>0</v>
      </c>
      <c r="P130" s="762">
        <f>[7]CLASSALLOC!Q146</f>
        <v>0</v>
      </c>
      <c r="Q130" s="762">
        <f>[7]CLASSALLOC!R146</f>
        <v>0</v>
      </c>
      <c r="R130" s="762">
        <f>[7]CLASSALLOC!S146</f>
        <v>0</v>
      </c>
      <c r="S130" s="762">
        <f>[7]CLASSALLOC!T146</f>
        <v>0</v>
      </c>
      <c r="T130" s="762"/>
    </row>
    <row r="131" spans="2:20">
      <c r="B131" s="758" t="str">
        <f>IF(OR((B128="~"),(C131="~")),"~","")</f>
        <v>~</v>
      </c>
      <c r="C131" s="758" t="str">
        <f>IF(B128="~","~",[7]INPUTS!$C$44)</f>
        <v>~</v>
      </c>
      <c r="E131" s="762">
        <f t="shared" si="35"/>
        <v>0</v>
      </c>
      <c r="F131" s="765"/>
      <c r="G131" s="762">
        <f>[7]CLASSALLOC!H147</f>
        <v>0</v>
      </c>
      <c r="H131" s="762">
        <f>[7]CLASSALLOC!I147</f>
        <v>0</v>
      </c>
      <c r="I131" s="762">
        <f>[7]CLASSALLOC!J147</f>
        <v>0</v>
      </c>
      <c r="J131" s="762">
        <f>[7]CLASSALLOC!K147</f>
        <v>0</v>
      </c>
      <c r="K131" s="762">
        <f>[7]CLASSALLOC!L147</f>
        <v>0</v>
      </c>
      <c r="L131" s="762">
        <f>[7]CLASSALLOC!M147</f>
        <v>0</v>
      </c>
      <c r="M131" s="762">
        <f>[7]CLASSALLOC!N147</f>
        <v>0</v>
      </c>
      <c r="N131" s="762">
        <f>[7]CLASSALLOC!O147</f>
        <v>0</v>
      </c>
      <c r="O131" s="762">
        <f>[7]CLASSALLOC!P147</f>
        <v>0</v>
      </c>
      <c r="P131" s="762">
        <f>[7]CLASSALLOC!Q147</f>
        <v>0</v>
      </c>
      <c r="Q131" s="762">
        <f>[7]CLASSALLOC!R147</f>
        <v>0</v>
      </c>
      <c r="R131" s="762">
        <f>[7]CLASSALLOC!S147</f>
        <v>0</v>
      </c>
      <c r="S131" s="762">
        <f>[7]CLASSALLOC!T147</f>
        <v>0</v>
      </c>
      <c r="T131" s="762"/>
    </row>
    <row r="132" spans="2:20">
      <c r="B132" s="758" t="str">
        <f>IF(OR((B128="~"),(C132="~")),"~","")</f>
        <v>~</v>
      </c>
      <c r="C132" s="758" t="str">
        <f>IF(B128="~","~",[7]INPUTS!$C$45)</f>
        <v>~</v>
      </c>
      <c r="E132" s="762">
        <f t="shared" si="35"/>
        <v>0</v>
      </c>
      <c r="F132" s="765"/>
      <c r="G132" s="762">
        <f>[7]CLASSALLOC!H148</f>
        <v>0</v>
      </c>
      <c r="H132" s="762">
        <f>[7]CLASSALLOC!I148</f>
        <v>0</v>
      </c>
      <c r="I132" s="762">
        <f>[7]CLASSALLOC!J148</f>
        <v>0</v>
      </c>
      <c r="J132" s="762">
        <f>[7]CLASSALLOC!K148</f>
        <v>0</v>
      </c>
      <c r="K132" s="762">
        <f>[7]CLASSALLOC!L148</f>
        <v>0</v>
      </c>
      <c r="L132" s="762">
        <f>[7]CLASSALLOC!M148</f>
        <v>0</v>
      </c>
      <c r="M132" s="762">
        <f>[7]CLASSALLOC!N148</f>
        <v>0</v>
      </c>
      <c r="N132" s="762">
        <f>[7]CLASSALLOC!O148</f>
        <v>0</v>
      </c>
      <c r="O132" s="762">
        <f>[7]CLASSALLOC!P148</f>
        <v>0</v>
      </c>
      <c r="P132" s="762">
        <f>[7]CLASSALLOC!Q148</f>
        <v>0</v>
      </c>
      <c r="Q132" s="762">
        <f>[7]CLASSALLOC!R148</f>
        <v>0</v>
      </c>
      <c r="R132" s="762">
        <f>[7]CLASSALLOC!S148</f>
        <v>0</v>
      </c>
      <c r="S132" s="762">
        <f>[7]CLASSALLOC!T148</f>
        <v>0</v>
      </c>
      <c r="T132" s="762"/>
    </row>
    <row r="133" spans="2:20">
      <c r="B133" s="758" t="str">
        <f>IF(OR((B128="~"),(C133="~")),"~","")</f>
        <v>~</v>
      </c>
      <c r="C133" s="758" t="str">
        <f>IF(B128="~","~",[7]INPUTS!$C$46)</f>
        <v>~</v>
      </c>
      <c r="E133" s="762">
        <f t="shared" si="35"/>
        <v>0</v>
      </c>
      <c r="F133" s="765"/>
      <c r="G133" s="762">
        <f>[7]CLASSALLOC!H149</f>
        <v>0</v>
      </c>
      <c r="H133" s="762">
        <f>[7]CLASSALLOC!I149</f>
        <v>0</v>
      </c>
      <c r="I133" s="762">
        <f>[7]CLASSALLOC!J149</f>
        <v>0</v>
      </c>
      <c r="J133" s="762">
        <f>[7]CLASSALLOC!K149</f>
        <v>0</v>
      </c>
      <c r="K133" s="762">
        <f>[7]CLASSALLOC!L149</f>
        <v>0</v>
      </c>
      <c r="L133" s="762">
        <f>[7]CLASSALLOC!M149</f>
        <v>0</v>
      </c>
      <c r="M133" s="762">
        <f>[7]CLASSALLOC!N149</f>
        <v>0</v>
      </c>
      <c r="N133" s="762">
        <f>[7]CLASSALLOC!O149</f>
        <v>0</v>
      </c>
      <c r="O133" s="762">
        <f>[7]CLASSALLOC!P149</f>
        <v>0</v>
      </c>
      <c r="P133" s="762">
        <f>[7]CLASSALLOC!Q149</f>
        <v>0</v>
      </c>
      <c r="Q133" s="762">
        <f>[7]CLASSALLOC!R149</f>
        <v>0</v>
      </c>
      <c r="R133" s="762">
        <f>[7]CLASSALLOC!S149</f>
        <v>0</v>
      </c>
      <c r="S133" s="762">
        <f>[7]CLASSALLOC!T149</f>
        <v>0</v>
      </c>
      <c r="T133" s="762"/>
    </row>
    <row r="134" spans="2:20">
      <c r="B134" s="758" t="str">
        <f>IF(OR((B128="~"),(C134="~")),"~","")</f>
        <v>~</v>
      </c>
      <c r="C134" s="758" t="str">
        <f>IF(B128="~","~",[7]INPUTS!$C$47)</f>
        <v>~</v>
      </c>
      <c r="E134" s="762">
        <f t="shared" si="35"/>
        <v>0</v>
      </c>
      <c r="F134" s="765"/>
      <c r="G134" s="762">
        <f>[7]CLASSALLOC!H150</f>
        <v>0</v>
      </c>
      <c r="H134" s="762">
        <f>[7]CLASSALLOC!I150</f>
        <v>0</v>
      </c>
      <c r="I134" s="762">
        <f>[7]CLASSALLOC!J150</f>
        <v>0</v>
      </c>
      <c r="J134" s="762">
        <f>[7]CLASSALLOC!K150</f>
        <v>0</v>
      </c>
      <c r="K134" s="762">
        <f>[7]CLASSALLOC!L150</f>
        <v>0</v>
      </c>
      <c r="L134" s="762">
        <f>[7]CLASSALLOC!M150</f>
        <v>0</v>
      </c>
      <c r="M134" s="762">
        <f>[7]CLASSALLOC!N150</f>
        <v>0</v>
      </c>
      <c r="N134" s="762">
        <f>[7]CLASSALLOC!O150</f>
        <v>0</v>
      </c>
      <c r="O134" s="762">
        <f>[7]CLASSALLOC!P150</f>
        <v>0</v>
      </c>
      <c r="P134" s="762">
        <f>[7]CLASSALLOC!Q150</f>
        <v>0</v>
      </c>
      <c r="Q134" s="762">
        <f>[7]CLASSALLOC!R150</f>
        <v>0</v>
      </c>
      <c r="R134" s="762">
        <f>[7]CLASSALLOC!S150</f>
        <v>0</v>
      </c>
      <c r="S134" s="762">
        <f>[7]CLASSALLOC!T150</f>
        <v>0</v>
      </c>
      <c r="T134" s="762"/>
    </row>
    <row r="135" spans="2:20">
      <c r="B135" s="758" t="str">
        <f>IF(OR((B128="~"),(C135="~")),"~","")</f>
        <v>~</v>
      </c>
      <c r="C135" s="760" t="str">
        <f>IF(B128="~","~","Sub-total")</f>
        <v>~</v>
      </c>
      <c r="D135" s="760"/>
      <c r="E135" s="763">
        <f>SUM(E129:E134)</f>
        <v>0</v>
      </c>
      <c r="F135" s="769"/>
      <c r="G135" s="763">
        <f t="shared" ref="G135:S135" si="36">SUM(G129:G134)</f>
        <v>0</v>
      </c>
      <c r="H135" s="763">
        <f t="shared" si="36"/>
        <v>0</v>
      </c>
      <c r="I135" s="763">
        <f t="shared" si="36"/>
        <v>0</v>
      </c>
      <c r="J135" s="763">
        <f t="shared" si="36"/>
        <v>0</v>
      </c>
      <c r="K135" s="763">
        <f t="shared" si="36"/>
        <v>0</v>
      </c>
      <c r="L135" s="763">
        <f t="shared" si="36"/>
        <v>0</v>
      </c>
      <c r="M135" s="763">
        <f t="shared" si="36"/>
        <v>0</v>
      </c>
      <c r="N135" s="763">
        <f t="shared" si="36"/>
        <v>0</v>
      </c>
      <c r="O135" s="763">
        <f t="shared" si="36"/>
        <v>0</v>
      </c>
      <c r="P135" s="763">
        <f t="shared" si="36"/>
        <v>0</v>
      </c>
      <c r="Q135" s="763">
        <f t="shared" si="36"/>
        <v>0</v>
      </c>
      <c r="R135" s="763">
        <f t="shared" si="36"/>
        <v>0</v>
      </c>
      <c r="S135" s="763">
        <f t="shared" si="36"/>
        <v>0</v>
      </c>
      <c r="T135" s="763"/>
    </row>
    <row r="136" spans="2:20">
      <c r="B136" s="758" t="str">
        <f>IF(OR((B128="~"),(C136="~")),"~","")</f>
        <v>~</v>
      </c>
      <c r="E136" s="765"/>
      <c r="F136" s="765"/>
      <c r="G136" s="765"/>
      <c r="H136" s="765"/>
      <c r="I136" s="765"/>
      <c r="J136" s="765"/>
      <c r="K136" s="765"/>
      <c r="L136" s="765"/>
      <c r="M136" s="765"/>
      <c r="N136" s="765"/>
      <c r="O136" s="765"/>
      <c r="P136" s="765"/>
      <c r="Q136" s="765"/>
      <c r="R136" s="765"/>
      <c r="S136" s="765"/>
      <c r="T136" s="765"/>
    </row>
    <row r="137" spans="2:20">
      <c r="B137" s="760" t="str">
        <f>[7]INPUTS!$F$19</f>
        <v>~</v>
      </c>
      <c r="E137" s="765"/>
      <c r="F137" s="765"/>
      <c r="G137" s="765"/>
      <c r="H137" s="765"/>
      <c r="I137" s="765"/>
      <c r="J137" s="765"/>
      <c r="K137" s="765"/>
      <c r="L137" s="765"/>
      <c r="M137" s="765"/>
      <c r="N137" s="765"/>
      <c r="O137" s="765"/>
      <c r="P137" s="765"/>
      <c r="Q137" s="765"/>
      <c r="R137" s="765"/>
      <c r="S137" s="765"/>
      <c r="T137" s="765"/>
    </row>
    <row r="138" spans="2:20">
      <c r="B138" s="758" t="str">
        <f>IF(OR((B137="~"),(C138="~")),"~","")</f>
        <v>~</v>
      </c>
      <c r="C138" s="758" t="str">
        <f>IF(B137="~","~",[7]INPUTS!$C$42)</f>
        <v>~</v>
      </c>
      <c r="E138" s="762">
        <f t="shared" ref="E138:E143" si="37">SUM(G138:T138)</f>
        <v>0</v>
      </c>
      <c r="F138" s="765"/>
      <c r="G138" s="762">
        <f>[7]CLASSALLOC!H154</f>
        <v>0</v>
      </c>
      <c r="H138" s="762">
        <f>[7]CLASSALLOC!I154</f>
        <v>0</v>
      </c>
      <c r="I138" s="762">
        <f>[7]CLASSALLOC!J154</f>
        <v>0</v>
      </c>
      <c r="J138" s="762">
        <f>[7]CLASSALLOC!K154</f>
        <v>0</v>
      </c>
      <c r="K138" s="762">
        <f>[7]CLASSALLOC!L154</f>
        <v>0</v>
      </c>
      <c r="L138" s="762">
        <f>[7]CLASSALLOC!M154</f>
        <v>0</v>
      </c>
      <c r="M138" s="762">
        <f>[7]CLASSALLOC!N154</f>
        <v>0</v>
      </c>
      <c r="N138" s="762">
        <f>[7]CLASSALLOC!O154</f>
        <v>0</v>
      </c>
      <c r="O138" s="762">
        <f>[7]CLASSALLOC!P154</f>
        <v>0</v>
      </c>
      <c r="P138" s="762">
        <f>[7]CLASSALLOC!Q154</f>
        <v>0</v>
      </c>
      <c r="Q138" s="762">
        <f>[7]CLASSALLOC!R154</f>
        <v>0</v>
      </c>
      <c r="R138" s="762">
        <f>[7]CLASSALLOC!S154</f>
        <v>0</v>
      </c>
      <c r="S138" s="762">
        <f>[7]CLASSALLOC!T154</f>
        <v>0</v>
      </c>
      <c r="T138" s="762"/>
    </row>
    <row r="139" spans="2:20">
      <c r="B139" s="758" t="str">
        <f>IF(OR((B137="~"),(C139="~")),"~","")</f>
        <v>~</v>
      </c>
      <c r="C139" s="758" t="str">
        <f>IF(B137="~","~",[7]INPUTS!$C$43)</f>
        <v>~</v>
      </c>
      <c r="E139" s="762">
        <f t="shared" si="37"/>
        <v>0</v>
      </c>
      <c r="F139" s="765"/>
      <c r="G139" s="762">
        <f>[7]CLASSALLOC!H155</f>
        <v>0</v>
      </c>
      <c r="H139" s="762">
        <f>[7]CLASSALLOC!I155</f>
        <v>0</v>
      </c>
      <c r="I139" s="762">
        <f>[7]CLASSALLOC!J155</f>
        <v>0</v>
      </c>
      <c r="J139" s="762">
        <f>[7]CLASSALLOC!K155</f>
        <v>0</v>
      </c>
      <c r="K139" s="762">
        <f>[7]CLASSALLOC!L155</f>
        <v>0</v>
      </c>
      <c r="L139" s="762">
        <f>[7]CLASSALLOC!M155</f>
        <v>0</v>
      </c>
      <c r="M139" s="762">
        <f>[7]CLASSALLOC!N155</f>
        <v>0</v>
      </c>
      <c r="N139" s="762">
        <f>[7]CLASSALLOC!O155</f>
        <v>0</v>
      </c>
      <c r="O139" s="762">
        <f>[7]CLASSALLOC!P155</f>
        <v>0</v>
      </c>
      <c r="P139" s="762">
        <f>[7]CLASSALLOC!Q155</f>
        <v>0</v>
      </c>
      <c r="Q139" s="762">
        <f>[7]CLASSALLOC!R155</f>
        <v>0</v>
      </c>
      <c r="R139" s="762">
        <f>[7]CLASSALLOC!S155</f>
        <v>0</v>
      </c>
      <c r="S139" s="762">
        <f>[7]CLASSALLOC!T155</f>
        <v>0</v>
      </c>
      <c r="T139" s="762"/>
    </row>
    <row r="140" spans="2:20">
      <c r="B140" s="758" t="str">
        <f>IF(OR((B137="~"),(C140="~")),"~","")</f>
        <v>~</v>
      </c>
      <c r="C140" s="758" t="str">
        <f>IF(B137="~","~",[7]INPUTS!$C$44)</f>
        <v>~</v>
      </c>
      <c r="E140" s="762">
        <f t="shared" si="37"/>
        <v>0</v>
      </c>
      <c r="F140" s="765"/>
      <c r="G140" s="762">
        <f>[7]CLASSALLOC!H156</f>
        <v>0</v>
      </c>
      <c r="H140" s="762">
        <f>[7]CLASSALLOC!I156</f>
        <v>0</v>
      </c>
      <c r="I140" s="762">
        <f>[7]CLASSALLOC!J156</f>
        <v>0</v>
      </c>
      <c r="J140" s="762">
        <f>[7]CLASSALLOC!K156</f>
        <v>0</v>
      </c>
      <c r="K140" s="762">
        <f>[7]CLASSALLOC!L156</f>
        <v>0</v>
      </c>
      <c r="L140" s="762">
        <f>[7]CLASSALLOC!M156</f>
        <v>0</v>
      </c>
      <c r="M140" s="762">
        <f>[7]CLASSALLOC!N156</f>
        <v>0</v>
      </c>
      <c r="N140" s="762">
        <f>[7]CLASSALLOC!O156</f>
        <v>0</v>
      </c>
      <c r="O140" s="762">
        <f>[7]CLASSALLOC!P156</f>
        <v>0</v>
      </c>
      <c r="P140" s="762">
        <f>[7]CLASSALLOC!Q156</f>
        <v>0</v>
      </c>
      <c r="Q140" s="762">
        <f>[7]CLASSALLOC!R156</f>
        <v>0</v>
      </c>
      <c r="R140" s="762">
        <f>[7]CLASSALLOC!S156</f>
        <v>0</v>
      </c>
      <c r="S140" s="762">
        <f>[7]CLASSALLOC!T156</f>
        <v>0</v>
      </c>
      <c r="T140" s="762"/>
    </row>
    <row r="141" spans="2:20">
      <c r="B141" s="758" t="str">
        <f>IF(OR((B137="~"),(C141="~")),"~","")</f>
        <v>~</v>
      </c>
      <c r="C141" s="758" t="str">
        <f>IF(B137="~","~",[7]INPUTS!$C$45)</f>
        <v>~</v>
      </c>
      <c r="E141" s="762">
        <f t="shared" si="37"/>
        <v>0</v>
      </c>
      <c r="F141" s="765"/>
      <c r="G141" s="762">
        <f>[7]CLASSALLOC!H157</f>
        <v>0</v>
      </c>
      <c r="H141" s="762">
        <f>[7]CLASSALLOC!I157</f>
        <v>0</v>
      </c>
      <c r="I141" s="762">
        <f>[7]CLASSALLOC!J157</f>
        <v>0</v>
      </c>
      <c r="J141" s="762">
        <f>[7]CLASSALLOC!K157</f>
        <v>0</v>
      </c>
      <c r="K141" s="762">
        <f>[7]CLASSALLOC!L157</f>
        <v>0</v>
      </c>
      <c r="L141" s="762">
        <f>[7]CLASSALLOC!M157</f>
        <v>0</v>
      </c>
      <c r="M141" s="762">
        <f>[7]CLASSALLOC!N157</f>
        <v>0</v>
      </c>
      <c r="N141" s="762">
        <f>[7]CLASSALLOC!O157</f>
        <v>0</v>
      </c>
      <c r="O141" s="762">
        <f>[7]CLASSALLOC!P157</f>
        <v>0</v>
      </c>
      <c r="P141" s="762">
        <f>[7]CLASSALLOC!Q157</f>
        <v>0</v>
      </c>
      <c r="Q141" s="762">
        <f>[7]CLASSALLOC!R157</f>
        <v>0</v>
      </c>
      <c r="R141" s="762">
        <f>[7]CLASSALLOC!S157</f>
        <v>0</v>
      </c>
      <c r="S141" s="762">
        <f>[7]CLASSALLOC!T157</f>
        <v>0</v>
      </c>
      <c r="T141" s="762"/>
    </row>
    <row r="142" spans="2:20">
      <c r="B142" s="758" t="str">
        <f>IF(OR((B137="~"),(C142="~")),"~","")</f>
        <v>~</v>
      </c>
      <c r="C142" s="758" t="str">
        <f>IF(B137="~","~",[7]INPUTS!$C$46)</f>
        <v>~</v>
      </c>
      <c r="E142" s="762">
        <f t="shared" si="37"/>
        <v>0</v>
      </c>
      <c r="F142" s="765"/>
      <c r="G142" s="762">
        <f>[7]CLASSALLOC!H158</f>
        <v>0</v>
      </c>
      <c r="H142" s="762">
        <f>[7]CLASSALLOC!I158</f>
        <v>0</v>
      </c>
      <c r="I142" s="762">
        <f>[7]CLASSALLOC!J158</f>
        <v>0</v>
      </c>
      <c r="J142" s="762">
        <f>[7]CLASSALLOC!K158</f>
        <v>0</v>
      </c>
      <c r="K142" s="762">
        <f>[7]CLASSALLOC!L158</f>
        <v>0</v>
      </c>
      <c r="L142" s="762">
        <f>[7]CLASSALLOC!M158</f>
        <v>0</v>
      </c>
      <c r="M142" s="762">
        <f>[7]CLASSALLOC!N158</f>
        <v>0</v>
      </c>
      <c r="N142" s="762">
        <f>[7]CLASSALLOC!O158</f>
        <v>0</v>
      </c>
      <c r="O142" s="762">
        <f>[7]CLASSALLOC!P158</f>
        <v>0</v>
      </c>
      <c r="P142" s="762">
        <f>[7]CLASSALLOC!Q158</f>
        <v>0</v>
      </c>
      <c r="Q142" s="762">
        <f>[7]CLASSALLOC!R158</f>
        <v>0</v>
      </c>
      <c r="R142" s="762">
        <f>[7]CLASSALLOC!S158</f>
        <v>0</v>
      </c>
      <c r="S142" s="762">
        <f>[7]CLASSALLOC!T158</f>
        <v>0</v>
      </c>
      <c r="T142" s="762"/>
    </row>
    <row r="143" spans="2:20">
      <c r="B143" s="758" t="str">
        <f>IF(OR((B137="~"),(C143="~")),"~","")</f>
        <v>~</v>
      </c>
      <c r="C143" s="758" t="str">
        <f>IF(B137="~","~",[7]INPUTS!$C$47)</f>
        <v>~</v>
      </c>
      <c r="E143" s="762">
        <f t="shared" si="37"/>
        <v>0</v>
      </c>
      <c r="F143" s="765"/>
      <c r="G143" s="762">
        <f>[7]CLASSALLOC!H159</f>
        <v>0</v>
      </c>
      <c r="H143" s="762">
        <f>[7]CLASSALLOC!I159</f>
        <v>0</v>
      </c>
      <c r="I143" s="762">
        <f>[7]CLASSALLOC!J159</f>
        <v>0</v>
      </c>
      <c r="J143" s="762">
        <f>[7]CLASSALLOC!K159</f>
        <v>0</v>
      </c>
      <c r="K143" s="762">
        <f>[7]CLASSALLOC!L159</f>
        <v>0</v>
      </c>
      <c r="L143" s="762">
        <f>[7]CLASSALLOC!M159</f>
        <v>0</v>
      </c>
      <c r="M143" s="762">
        <f>[7]CLASSALLOC!N159</f>
        <v>0</v>
      </c>
      <c r="N143" s="762">
        <f>[7]CLASSALLOC!O159</f>
        <v>0</v>
      </c>
      <c r="O143" s="762">
        <f>[7]CLASSALLOC!P159</f>
        <v>0</v>
      </c>
      <c r="P143" s="762">
        <f>[7]CLASSALLOC!Q159</f>
        <v>0</v>
      </c>
      <c r="Q143" s="762">
        <f>[7]CLASSALLOC!R159</f>
        <v>0</v>
      </c>
      <c r="R143" s="762">
        <f>[7]CLASSALLOC!S159</f>
        <v>0</v>
      </c>
      <c r="S143" s="762">
        <f>[7]CLASSALLOC!T159</f>
        <v>0</v>
      </c>
      <c r="T143" s="762"/>
    </row>
    <row r="144" spans="2:20">
      <c r="B144" s="758" t="str">
        <f>IF(OR((B137="~"),(C144="~")),"~","")</f>
        <v>~</v>
      </c>
      <c r="C144" s="760" t="str">
        <f>IF(B137="~","~","Sub-total")</f>
        <v>~</v>
      </c>
      <c r="D144" s="760"/>
      <c r="E144" s="763">
        <f>SUM(E138:E143)</f>
        <v>0</v>
      </c>
      <c r="F144" s="769"/>
      <c r="G144" s="763">
        <f t="shared" ref="G144:S144" si="38">SUM(G138:G143)</f>
        <v>0</v>
      </c>
      <c r="H144" s="763">
        <f t="shared" si="38"/>
        <v>0</v>
      </c>
      <c r="I144" s="763">
        <f t="shared" si="38"/>
        <v>0</v>
      </c>
      <c r="J144" s="763">
        <f t="shared" si="38"/>
        <v>0</v>
      </c>
      <c r="K144" s="763">
        <f t="shared" si="38"/>
        <v>0</v>
      </c>
      <c r="L144" s="763">
        <f t="shared" si="38"/>
        <v>0</v>
      </c>
      <c r="M144" s="763">
        <f t="shared" si="38"/>
        <v>0</v>
      </c>
      <c r="N144" s="763">
        <f t="shared" si="38"/>
        <v>0</v>
      </c>
      <c r="O144" s="763">
        <f t="shared" si="38"/>
        <v>0</v>
      </c>
      <c r="P144" s="763">
        <f t="shared" si="38"/>
        <v>0</v>
      </c>
      <c r="Q144" s="763">
        <f t="shared" si="38"/>
        <v>0</v>
      </c>
      <c r="R144" s="763">
        <f t="shared" si="38"/>
        <v>0</v>
      </c>
      <c r="S144" s="763">
        <f t="shared" si="38"/>
        <v>0</v>
      </c>
      <c r="T144" s="763"/>
    </row>
    <row r="145" spans="2:20">
      <c r="B145" s="758" t="str">
        <f>IF(OR((B137="~"),(C145="~")),"~","")</f>
        <v>~</v>
      </c>
      <c r="E145" s="765"/>
      <c r="F145" s="765"/>
      <c r="G145" s="765"/>
      <c r="H145" s="765"/>
      <c r="I145" s="765"/>
      <c r="J145" s="765"/>
      <c r="K145" s="765"/>
      <c r="L145" s="765"/>
      <c r="M145" s="765"/>
      <c r="N145" s="765"/>
      <c r="O145" s="765"/>
      <c r="P145" s="765"/>
      <c r="Q145" s="765"/>
      <c r="R145" s="765"/>
      <c r="S145" s="765"/>
      <c r="T145" s="765"/>
    </row>
    <row r="146" spans="2:20">
      <c r="B146" s="760" t="str">
        <f>[7]INPUTS!$F$20</f>
        <v>~</v>
      </c>
      <c r="E146" s="765"/>
      <c r="F146" s="765"/>
      <c r="G146" s="765"/>
      <c r="H146" s="765"/>
      <c r="I146" s="765"/>
      <c r="J146" s="765"/>
      <c r="K146" s="765"/>
      <c r="L146" s="765"/>
      <c r="M146" s="765"/>
      <c r="N146" s="765"/>
      <c r="O146" s="765"/>
      <c r="P146" s="765"/>
      <c r="Q146" s="765"/>
      <c r="R146" s="765"/>
      <c r="S146" s="765"/>
      <c r="T146" s="765"/>
    </row>
    <row r="147" spans="2:20">
      <c r="B147" s="758" t="str">
        <f>IF(OR((B146="~"),(C147="~")),"~","")</f>
        <v>~</v>
      </c>
      <c r="C147" s="758" t="str">
        <f>IF(B146="~","~",[7]INPUTS!$C$42)</f>
        <v>~</v>
      </c>
      <c r="E147" s="762">
        <f t="shared" ref="E147:E152" si="39">SUM(G147:T147)</f>
        <v>0</v>
      </c>
      <c r="F147" s="765"/>
      <c r="G147" s="762">
        <f>[7]CLASSALLOC!H163</f>
        <v>0</v>
      </c>
      <c r="H147" s="762">
        <f>[7]CLASSALLOC!I163</f>
        <v>0</v>
      </c>
      <c r="I147" s="762">
        <f>[7]CLASSALLOC!J163</f>
        <v>0</v>
      </c>
      <c r="J147" s="762">
        <f>[7]CLASSALLOC!K163</f>
        <v>0</v>
      </c>
      <c r="K147" s="762">
        <f>[7]CLASSALLOC!L163</f>
        <v>0</v>
      </c>
      <c r="L147" s="762">
        <f>[7]CLASSALLOC!M163</f>
        <v>0</v>
      </c>
      <c r="M147" s="762">
        <f>[7]CLASSALLOC!N163</f>
        <v>0</v>
      </c>
      <c r="N147" s="762">
        <f>[7]CLASSALLOC!O163</f>
        <v>0</v>
      </c>
      <c r="O147" s="762">
        <f>[7]CLASSALLOC!P163</f>
        <v>0</v>
      </c>
      <c r="P147" s="762">
        <f>[7]CLASSALLOC!Q163</f>
        <v>0</v>
      </c>
      <c r="Q147" s="762">
        <f>[7]CLASSALLOC!R163</f>
        <v>0</v>
      </c>
      <c r="R147" s="762">
        <f>[7]CLASSALLOC!S163</f>
        <v>0</v>
      </c>
      <c r="S147" s="762">
        <f>[7]CLASSALLOC!T163</f>
        <v>0</v>
      </c>
      <c r="T147" s="762"/>
    </row>
    <row r="148" spans="2:20">
      <c r="B148" s="758" t="str">
        <f>IF(OR((B146="~"),(C148="~")),"~","")</f>
        <v>~</v>
      </c>
      <c r="C148" s="758" t="str">
        <f>IF(B146="~","~",[7]INPUTS!$C$43)</f>
        <v>~</v>
      </c>
      <c r="E148" s="762">
        <f t="shared" si="39"/>
        <v>0</v>
      </c>
      <c r="F148" s="765"/>
      <c r="G148" s="762">
        <f>[7]CLASSALLOC!H164</f>
        <v>0</v>
      </c>
      <c r="H148" s="762">
        <f>[7]CLASSALLOC!I164</f>
        <v>0</v>
      </c>
      <c r="I148" s="762">
        <f>[7]CLASSALLOC!J164</f>
        <v>0</v>
      </c>
      <c r="J148" s="762">
        <f>[7]CLASSALLOC!K164</f>
        <v>0</v>
      </c>
      <c r="K148" s="762">
        <f>[7]CLASSALLOC!L164</f>
        <v>0</v>
      </c>
      <c r="L148" s="762">
        <f>[7]CLASSALLOC!M164</f>
        <v>0</v>
      </c>
      <c r="M148" s="762">
        <f>[7]CLASSALLOC!N164</f>
        <v>0</v>
      </c>
      <c r="N148" s="762">
        <f>[7]CLASSALLOC!O164</f>
        <v>0</v>
      </c>
      <c r="O148" s="762">
        <f>[7]CLASSALLOC!P164</f>
        <v>0</v>
      </c>
      <c r="P148" s="762">
        <f>[7]CLASSALLOC!Q164</f>
        <v>0</v>
      </c>
      <c r="Q148" s="762">
        <f>[7]CLASSALLOC!R164</f>
        <v>0</v>
      </c>
      <c r="R148" s="762">
        <f>[7]CLASSALLOC!S164</f>
        <v>0</v>
      </c>
      <c r="S148" s="762">
        <f>[7]CLASSALLOC!T164</f>
        <v>0</v>
      </c>
      <c r="T148" s="762"/>
    </row>
    <row r="149" spans="2:20">
      <c r="B149" s="758" t="str">
        <f>IF(OR((B146="~"),(C149="~")),"~","")</f>
        <v>~</v>
      </c>
      <c r="C149" s="758" t="str">
        <f>IF(B146="~","~",[7]INPUTS!$C$44)</f>
        <v>~</v>
      </c>
      <c r="E149" s="762">
        <f t="shared" si="39"/>
        <v>0</v>
      </c>
      <c r="F149" s="765"/>
      <c r="G149" s="762">
        <f>[7]CLASSALLOC!H165</f>
        <v>0</v>
      </c>
      <c r="H149" s="762">
        <f>[7]CLASSALLOC!I165</f>
        <v>0</v>
      </c>
      <c r="I149" s="762">
        <f>[7]CLASSALLOC!J165</f>
        <v>0</v>
      </c>
      <c r="J149" s="762">
        <f>[7]CLASSALLOC!K165</f>
        <v>0</v>
      </c>
      <c r="K149" s="762">
        <f>[7]CLASSALLOC!L165</f>
        <v>0</v>
      </c>
      <c r="L149" s="762">
        <f>[7]CLASSALLOC!M165</f>
        <v>0</v>
      </c>
      <c r="M149" s="762">
        <f>[7]CLASSALLOC!N165</f>
        <v>0</v>
      </c>
      <c r="N149" s="762">
        <f>[7]CLASSALLOC!O165</f>
        <v>0</v>
      </c>
      <c r="O149" s="762">
        <f>[7]CLASSALLOC!P165</f>
        <v>0</v>
      </c>
      <c r="P149" s="762">
        <f>[7]CLASSALLOC!Q165</f>
        <v>0</v>
      </c>
      <c r="Q149" s="762">
        <f>[7]CLASSALLOC!R165</f>
        <v>0</v>
      </c>
      <c r="R149" s="762">
        <f>[7]CLASSALLOC!S165</f>
        <v>0</v>
      </c>
      <c r="S149" s="762">
        <f>[7]CLASSALLOC!T165</f>
        <v>0</v>
      </c>
      <c r="T149" s="762"/>
    </row>
    <row r="150" spans="2:20">
      <c r="B150" s="758" t="str">
        <f>IF(OR((B146="~"),(C150="~")),"~","")</f>
        <v>~</v>
      </c>
      <c r="C150" s="758" t="str">
        <f>IF(B146="~","~",[7]INPUTS!$C$45)</f>
        <v>~</v>
      </c>
      <c r="E150" s="762">
        <f t="shared" si="39"/>
        <v>0</v>
      </c>
      <c r="F150" s="765"/>
      <c r="G150" s="762">
        <f>[7]CLASSALLOC!H166</f>
        <v>0</v>
      </c>
      <c r="H150" s="762">
        <f>[7]CLASSALLOC!I166</f>
        <v>0</v>
      </c>
      <c r="I150" s="762">
        <f>[7]CLASSALLOC!J166</f>
        <v>0</v>
      </c>
      <c r="J150" s="762">
        <f>[7]CLASSALLOC!K166</f>
        <v>0</v>
      </c>
      <c r="K150" s="762">
        <f>[7]CLASSALLOC!L166</f>
        <v>0</v>
      </c>
      <c r="L150" s="762">
        <f>[7]CLASSALLOC!M166</f>
        <v>0</v>
      </c>
      <c r="M150" s="762">
        <f>[7]CLASSALLOC!N166</f>
        <v>0</v>
      </c>
      <c r="N150" s="762">
        <f>[7]CLASSALLOC!O166</f>
        <v>0</v>
      </c>
      <c r="O150" s="762">
        <f>[7]CLASSALLOC!P166</f>
        <v>0</v>
      </c>
      <c r="P150" s="762">
        <f>[7]CLASSALLOC!Q166</f>
        <v>0</v>
      </c>
      <c r="Q150" s="762">
        <f>[7]CLASSALLOC!R166</f>
        <v>0</v>
      </c>
      <c r="R150" s="762">
        <f>[7]CLASSALLOC!S166</f>
        <v>0</v>
      </c>
      <c r="S150" s="762">
        <f>[7]CLASSALLOC!T166</f>
        <v>0</v>
      </c>
      <c r="T150" s="762"/>
    </row>
    <row r="151" spans="2:20">
      <c r="B151" s="758" t="str">
        <f>IF(OR((B146="~"),(C151="~")),"~","")</f>
        <v>~</v>
      </c>
      <c r="C151" s="758" t="str">
        <f>IF(B146="~","~",[7]INPUTS!$C$46)</f>
        <v>~</v>
      </c>
      <c r="E151" s="762">
        <f t="shared" si="39"/>
        <v>0</v>
      </c>
      <c r="F151" s="765"/>
      <c r="G151" s="762">
        <f>[7]CLASSALLOC!H167</f>
        <v>0</v>
      </c>
      <c r="H151" s="762">
        <f>[7]CLASSALLOC!I167</f>
        <v>0</v>
      </c>
      <c r="I151" s="762">
        <f>[7]CLASSALLOC!J167</f>
        <v>0</v>
      </c>
      <c r="J151" s="762">
        <f>[7]CLASSALLOC!K167</f>
        <v>0</v>
      </c>
      <c r="K151" s="762">
        <f>[7]CLASSALLOC!L167</f>
        <v>0</v>
      </c>
      <c r="L151" s="762">
        <f>[7]CLASSALLOC!M167</f>
        <v>0</v>
      </c>
      <c r="M151" s="762">
        <f>[7]CLASSALLOC!N167</f>
        <v>0</v>
      </c>
      <c r="N151" s="762">
        <f>[7]CLASSALLOC!O167</f>
        <v>0</v>
      </c>
      <c r="O151" s="762">
        <f>[7]CLASSALLOC!P167</f>
        <v>0</v>
      </c>
      <c r="P151" s="762">
        <f>[7]CLASSALLOC!Q167</f>
        <v>0</v>
      </c>
      <c r="Q151" s="762">
        <f>[7]CLASSALLOC!R167</f>
        <v>0</v>
      </c>
      <c r="R151" s="762">
        <f>[7]CLASSALLOC!S167</f>
        <v>0</v>
      </c>
      <c r="S151" s="762">
        <f>[7]CLASSALLOC!T167</f>
        <v>0</v>
      </c>
      <c r="T151" s="762"/>
    </row>
    <row r="152" spans="2:20">
      <c r="B152" s="758" t="str">
        <f>IF(OR((B146="~"),(C152="~")),"~","")</f>
        <v>~</v>
      </c>
      <c r="C152" s="758" t="str">
        <f>IF(B146="~","~",[7]INPUTS!$C$47)</f>
        <v>~</v>
      </c>
      <c r="E152" s="762">
        <f t="shared" si="39"/>
        <v>0</v>
      </c>
      <c r="F152" s="765"/>
      <c r="G152" s="762">
        <f>[7]CLASSALLOC!H168</f>
        <v>0</v>
      </c>
      <c r="H152" s="762">
        <f>[7]CLASSALLOC!I168</f>
        <v>0</v>
      </c>
      <c r="I152" s="762">
        <f>[7]CLASSALLOC!J168</f>
        <v>0</v>
      </c>
      <c r="J152" s="762">
        <f>[7]CLASSALLOC!K168</f>
        <v>0</v>
      </c>
      <c r="K152" s="762">
        <f>[7]CLASSALLOC!L168</f>
        <v>0</v>
      </c>
      <c r="L152" s="762">
        <f>[7]CLASSALLOC!M168</f>
        <v>0</v>
      </c>
      <c r="M152" s="762">
        <f>[7]CLASSALLOC!N168</f>
        <v>0</v>
      </c>
      <c r="N152" s="762">
        <f>[7]CLASSALLOC!O168</f>
        <v>0</v>
      </c>
      <c r="O152" s="762">
        <f>[7]CLASSALLOC!P168</f>
        <v>0</v>
      </c>
      <c r="P152" s="762">
        <f>[7]CLASSALLOC!Q168</f>
        <v>0</v>
      </c>
      <c r="Q152" s="762">
        <f>[7]CLASSALLOC!R168</f>
        <v>0</v>
      </c>
      <c r="R152" s="762">
        <f>[7]CLASSALLOC!S168</f>
        <v>0</v>
      </c>
      <c r="S152" s="762">
        <f>[7]CLASSALLOC!T168</f>
        <v>0</v>
      </c>
      <c r="T152" s="762"/>
    </row>
    <row r="153" spans="2:20">
      <c r="B153" s="758" t="str">
        <f>IF(OR((B146="~"),(C153="~")),"~","")</f>
        <v>~</v>
      </c>
      <c r="C153" s="760" t="str">
        <f>IF(B146="~","~","Sub-total")</f>
        <v>~</v>
      </c>
      <c r="D153" s="760"/>
      <c r="E153" s="763">
        <f>SUM(E147:E152)</f>
        <v>0</v>
      </c>
      <c r="F153" s="769"/>
      <c r="G153" s="763">
        <f t="shared" ref="G153:S153" si="40">SUM(G147:G152)</f>
        <v>0</v>
      </c>
      <c r="H153" s="763">
        <f t="shared" si="40"/>
        <v>0</v>
      </c>
      <c r="I153" s="763">
        <f t="shared" si="40"/>
        <v>0</v>
      </c>
      <c r="J153" s="763">
        <f t="shared" si="40"/>
        <v>0</v>
      </c>
      <c r="K153" s="763">
        <f t="shared" si="40"/>
        <v>0</v>
      </c>
      <c r="L153" s="763">
        <f t="shared" si="40"/>
        <v>0</v>
      </c>
      <c r="M153" s="763">
        <f t="shared" si="40"/>
        <v>0</v>
      </c>
      <c r="N153" s="763">
        <f t="shared" si="40"/>
        <v>0</v>
      </c>
      <c r="O153" s="763">
        <f t="shared" si="40"/>
        <v>0</v>
      </c>
      <c r="P153" s="763">
        <f t="shared" si="40"/>
        <v>0</v>
      </c>
      <c r="Q153" s="763">
        <f t="shared" si="40"/>
        <v>0</v>
      </c>
      <c r="R153" s="763">
        <f t="shared" si="40"/>
        <v>0</v>
      </c>
      <c r="S153" s="763">
        <f t="shared" si="40"/>
        <v>0</v>
      </c>
      <c r="T153" s="763"/>
    </row>
    <row r="154" spans="2:20">
      <c r="B154" s="758" t="str">
        <f>IF(OR((B146="~"),(C154="~")),"~","")</f>
        <v>~</v>
      </c>
      <c r="E154" s="765"/>
      <c r="F154" s="765"/>
      <c r="G154" s="765"/>
      <c r="H154" s="765"/>
      <c r="I154" s="765"/>
      <c r="J154" s="765"/>
      <c r="K154" s="765"/>
      <c r="L154" s="765"/>
      <c r="M154" s="765"/>
      <c r="N154" s="765"/>
      <c r="O154" s="765"/>
      <c r="P154" s="765"/>
      <c r="Q154" s="765"/>
      <c r="R154" s="765"/>
      <c r="S154" s="765"/>
      <c r="T154" s="765"/>
    </row>
    <row r="155" spans="2:20">
      <c r="E155" s="765"/>
      <c r="F155" s="765"/>
      <c r="G155" s="765"/>
      <c r="H155" s="765"/>
      <c r="I155" s="765"/>
      <c r="J155" s="765"/>
      <c r="K155" s="765"/>
      <c r="L155" s="765"/>
      <c r="M155" s="765"/>
      <c r="N155" s="765"/>
      <c r="O155" s="765"/>
      <c r="P155" s="765"/>
      <c r="Q155" s="765"/>
      <c r="R155" s="765"/>
      <c r="S155" s="765"/>
      <c r="T155" s="765"/>
    </row>
    <row r="156" spans="2:20">
      <c r="B156" s="760" t="s">
        <v>84</v>
      </c>
      <c r="E156" s="765"/>
      <c r="F156" s="765"/>
      <c r="G156" s="765"/>
      <c r="H156" s="765"/>
      <c r="I156" s="765"/>
      <c r="J156" s="765"/>
      <c r="K156" s="765"/>
      <c r="L156" s="765"/>
      <c r="M156" s="765"/>
      <c r="N156" s="765"/>
      <c r="O156" s="765"/>
      <c r="P156" s="765"/>
      <c r="Q156" s="765"/>
      <c r="R156" s="765"/>
      <c r="S156" s="765"/>
      <c r="T156" s="765"/>
    </row>
    <row r="157" spans="2:20">
      <c r="B157" s="758" t="str">
        <f>IF(OR((B156="~"),(C157="~")),"~","")</f>
        <v/>
      </c>
      <c r="C157" s="758" t="str">
        <f>IF(B156="~","~",[7]INPUTS!$C$42)</f>
        <v>Demand</v>
      </c>
      <c r="E157" s="762">
        <f t="shared" ref="E157:E162" si="41">SUM(G157:T157)</f>
        <v>2341008375.9442372</v>
      </c>
      <c r="F157" s="765"/>
      <c r="G157" s="762">
        <f>[7]CLASSALLOC!H172</f>
        <v>1446381766.4130626</v>
      </c>
      <c r="H157" s="762">
        <f>[7]CLASSALLOC!I172</f>
        <v>290566462.33038521</v>
      </c>
      <c r="I157" s="762">
        <f>[7]CLASSALLOC!J172</f>
        <v>268397847.11334753</v>
      </c>
      <c r="J157" s="762">
        <f>[7]CLASSALLOC!K172</f>
        <v>133394299.5341275</v>
      </c>
      <c r="K157" s="762">
        <f>[7]CLASSALLOC!L172</f>
        <v>97162680.820163518</v>
      </c>
      <c r="L157" s="762">
        <f>[7]CLASSALLOC!M172</f>
        <v>694458.32249996578</v>
      </c>
      <c r="M157" s="762">
        <f>[7]CLASSALLOC!N172</f>
        <v>15705795.09143563</v>
      </c>
      <c r="N157" s="762">
        <f>[7]CLASSALLOC!O172</f>
        <v>42088087.596875772</v>
      </c>
      <c r="O157" s="762">
        <f>[7]CLASSALLOC!P172</f>
        <v>28198805.965167768</v>
      </c>
      <c r="P157" s="762">
        <f>[7]CLASSALLOC!Q172</f>
        <v>2991069.4245613967</v>
      </c>
      <c r="Q157" s="762">
        <f>[7]CLASSALLOC!R172</f>
        <v>10886008.811030183</v>
      </c>
      <c r="R157" s="762">
        <f>[7]CLASSALLOC!S172</f>
        <v>3656517.9850969575</v>
      </c>
      <c r="S157" s="762">
        <f>[7]CLASSALLOC!T172</f>
        <v>884576.53648321761</v>
      </c>
      <c r="T157" s="762"/>
    </row>
    <row r="158" spans="2:20">
      <c r="B158" s="758" t="str">
        <f>IF(OR((B156="~"),(C158="~")),"~","")</f>
        <v/>
      </c>
      <c r="C158" s="758" t="str">
        <f>IF(B156="~","~",[7]INPUTS!$C$43)</f>
        <v>Energy</v>
      </c>
      <c r="E158" s="762">
        <f t="shared" si="41"/>
        <v>2364325276.1338191</v>
      </c>
      <c r="F158" s="765"/>
      <c r="G158" s="762">
        <f>[7]CLASSALLOC!H173</f>
        <v>1179290152.4303658</v>
      </c>
      <c r="H158" s="762">
        <f>[7]CLASSALLOC!I173</f>
        <v>309667599.79674196</v>
      </c>
      <c r="I158" s="762">
        <f>[7]CLASSALLOC!J173</f>
        <v>318833585.7827543</v>
      </c>
      <c r="J158" s="762">
        <f>[7]CLASSALLOC!K173</f>
        <v>210338133.62633029</v>
      </c>
      <c r="K158" s="762">
        <f>[7]CLASSALLOC!L173</f>
        <v>137309412.51474988</v>
      </c>
      <c r="L158" s="762">
        <f>[7]CLASSALLOC!M173</f>
        <v>476851.99589101929</v>
      </c>
      <c r="M158" s="762">
        <f>[7]CLASSALLOC!N173</f>
        <v>12971144.109528517</v>
      </c>
      <c r="N158" s="762">
        <f>[7]CLASSALLOC!O173</f>
        <v>71874472.249089137</v>
      </c>
      <c r="O158" s="762">
        <f>[7]CLASSALLOC!P173</f>
        <v>65684983.160094082</v>
      </c>
      <c r="P158" s="762">
        <f>[7]CLASSALLOC!Q173</f>
        <v>2441841.6643327018</v>
      </c>
      <c r="Q158" s="762">
        <f>[7]CLASSALLOC!R173</f>
        <v>46224824.858680628</v>
      </c>
      <c r="R158" s="762">
        <f>[7]CLASSALLOC!S173</f>
        <v>8462139.5031587388</v>
      </c>
      <c r="S158" s="762">
        <f>[7]CLASSALLOC!T173</f>
        <v>750134.44210168417</v>
      </c>
      <c r="T158" s="762"/>
    </row>
    <row r="159" spans="2:20">
      <c r="B159" s="758" t="str">
        <f>IF(OR((B156="~"),(C159="~")),"~","")</f>
        <v/>
      </c>
      <c r="C159" s="758" t="str">
        <f>IF(B156="~","~",[7]INPUTS!$C$44)</f>
        <v>Customer</v>
      </c>
      <c r="E159" s="762">
        <f t="shared" si="41"/>
        <v>392414117.8713724</v>
      </c>
      <c r="F159" s="765"/>
      <c r="G159" s="762">
        <f>[7]CLASSALLOC!H174</f>
        <v>294232540.74259114</v>
      </c>
      <c r="H159" s="762">
        <f>[7]CLASSALLOC!I174</f>
        <v>22457957.428644028</v>
      </c>
      <c r="I159" s="762">
        <f>[7]CLASSALLOC!J174</f>
        <v>17462801.203349654</v>
      </c>
      <c r="J159" s="762">
        <f>[7]CLASSALLOC!K174</f>
        <v>4860695.6680470444</v>
      </c>
      <c r="K159" s="762">
        <f>[7]CLASSALLOC!L174</f>
        <v>6355494.5083027137</v>
      </c>
      <c r="L159" s="762">
        <f>[7]CLASSALLOC!M174</f>
        <v>14159.763493228655</v>
      </c>
      <c r="M159" s="762">
        <f>[7]CLASSALLOC!N174</f>
        <v>2127429.4796429477</v>
      </c>
      <c r="N159" s="762">
        <f>[7]CLASSALLOC!O174</f>
        <v>1512729.7268815867</v>
      </c>
      <c r="O159" s="762">
        <f>[7]CLASSALLOC!P174</f>
        <v>291481.91306690685</v>
      </c>
      <c r="P159" s="762">
        <f>[7]CLASSALLOC!Q174</f>
        <v>23778.626912045976</v>
      </c>
      <c r="Q159" s="762">
        <f>[7]CLASSALLOC!R174</f>
        <v>520775.59663579834</v>
      </c>
      <c r="R159" s="762">
        <f>[7]CLASSALLOC!S174</f>
        <v>42411724.453675091</v>
      </c>
      <c r="S159" s="762">
        <f>[7]CLASSALLOC!T174</f>
        <v>142548.76013025429</v>
      </c>
      <c r="T159" s="762"/>
    </row>
    <row r="160" spans="2:20">
      <c r="B160" s="758" t="str">
        <f>IF(OR((B156="~"),(C160="~")),"~","")</f>
        <v>~</v>
      </c>
      <c r="C160" s="758" t="str">
        <f>IF(B156="~","~",[7]INPUTS!$C$45)</f>
        <v>~</v>
      </c>
      <c r="E160" s="762">
        <f t="shared" si="41"/>
        <v>0</v>
      </c>
      <c r="F160" s="765"/>
      <c r="G160" s="762">
        <f>[7]CLASSALLOC!H175</f>
        <v>0</v>
      </c>
      <c r="H160" s="762">
        <f>[7]CLASSALLOC!I175</f>
        <v>0</v>
      </c>
      <c r="I160" s="762">
        <f>[7]CLASSALLOC!J175</f>
        <v>0</v>
      </c>
      <c r="J160" s="762">
        <f>[7]CLASSALLOC!K175</f>
        <v>0</v>
      </c>
      <c r="K160" s="762">
        <f>[7]CLASSALLOC!L175</f>
        <v>0</v>
      </c>
      <c r="L160" s="762">
        <f>[7]CLASSALLOC!M175</f>
        <v>0</v>
      </c>
      <c r="M160" s="762">
        <f>[7]CLASSALLOC!N175</f>
        <v>0</v>
      </c>
      <c r="N160" s="762">
        <f>[7]CLASSALLOC!O175</f>
        <v>0</v>
      </c>
      <c r="O160" s="762">
        <f>[7]CLASSALLOC!P175</f>
        <v>0</v>
      </c>
      <c r="P160" s="762">
        <f>[7]CLASSALLOC!Q175</f>
        <v>0</v>
      </c>
      <c r="Q160" s="762">
        <f>[7]CLASSALLOC!R175</f>
        <v>0</v>
      </c>
      <c r="R160" s="762">
        <f>[7]CLASSALLOC!S175</f>
        <v>0</v>
      </c>
      <c r="S160" s="762">
        <f>[7]CLASSALLOC!T175</f>
        <v>0</v>
      </c>
      <c r="T160" s="762"/>
    </row>
    <row r="161" spans="1:22">
      <c r="B161" s="758" t="str">
        <f>IF(OR((B156="~"),(C161="~")),"~","")</f>
        <v>~</v>
      </c>
      <c r="C161" s="758" t="str">
        <f>IF(B156="~","~",[7]INPUTS!$C$46)</f>
        <v>~</v>
      </c>
      <c r="E161" s="762">
        <f t="shared" si="41"/>
        <v>0</v>
      </c>
      <c r="F161" s="765"/>
      <c r="G161" s="762">
        <f>[7]CLASSALLOC!H176</f>
        <v>0</v>
      </c>
      <c r="H161" s="762">
        <f>[7]CLASSALLOC!I176</f>
        <v>0</v>
      </c>
      <c r="I161" s="762">
        <f>[7]CLASSALLOC!J176</f>
        <v>0</v>
      </c>
      <c r="J161" s="762">
        <f>[7]CLASSALLOC!K176</f>
        <v>0</v>
      </c>
      <c r="K161" s="762">
        <f>[7]CLASSALLOC!L176</f>
        <v>0</v>
      </c>
      <c r="L161" s="762">
        <f>[7]CLASSALLOC!M176</f>
        <v>0</v>
      </c>
      <c r="M161" s="762">
        <f>[7]CLASSALLOC!N176</f>
        <v>0</v>
      </c>
      <c r="N161" s="762">
        <f>[7]CLASSALLOC!O176</f>
        <v>0</v>
      </c>
      <c r="O161" s="762">
        <f>[7]CLASSALLOC!P176</f>
        <v>0</v>
      </c>
      <c r="P161" s="762">
        <f>[7]CLASSALLOC!Q176</f>
        <v>0</v>
      </c>
      <c r="Q161" s="762">
        <f>[7]CLASSALLOC!R176</f>
        <v>0</v>
      </c>
      <c r="R161" s="762">
        <f>[7]CLASSALLOC!S176</f>
        <v>0</v>
      </c>
      <c r="S161" s="762">
        <f>[7]CLASSALLOC!T176</f>
        <v>0</v>
      </c>
      <c r="T161" s="762"/>
    </row>
    <row r="162" spans="1:22">
      <c r="B162" s="758" t="str">
        <f>IF(OR((B156="~"),(C162="~")),"~","")</f>
        <v>~</v>
      </c>
      <c r="C162" s="758" t="str">
        <f>IF(B156="~","~",[7]INPUTS!$C$47)</f>
        <v>~</v>
      </c>
      <c r="E162" s="762">
        <f t="shared" si="41"/>
        <v>0</v>
      </c>
      <c r="F162" s="765"/>
      <c r="G162" s="762">
        <f>[7]CLASSALLOC!H177</f>
        <v>0</v>
      </c>
      <c r="H162" s="762">
        <f>[7]CLASSALLOC!I177</f>
        <v>0</v>
      </c>
      <c r="I162" s="762">
        <f>[7]CLASSALLOC!J177</f>
        <v>0</v>
      </c>
      <c r="J162" s="762">
        <f>[7]CLASSALLOC!K177</f>
        <v>0</v>
      </c>
      <c r="K162" s="762">
        <f>[7]CLASSALLOC!L177</f>
        <v>0</v>
      </c>
      <c r="L162" s="762">
        <f>[7]CLASSALLOC!M177</f>
        <v>0</v>
      </c>
      <c r="M162" s="762">
        <f>[7]CLASSALLOC!N177</f>
        <v>0</v>
      </c>
      <c r="N162" s="762">
        <f>[7]CLASSALLOC!O177</f>
        <v>0</v>
      </c>
      <c r="O162" s="762">
        <f>[7]CLASSALLOC!P177</f>
        <v>0</v>
      </c>
      <c r="P162" s="762">
        <f>[7]CLASSALLOC!Q177</f>
        <v>0</v>
      </c>
      <c r="Q162" s="762">
        <f>[7]CLASSALLOC!R177</f>
        <v>0</v>
      </c>
      <c r="R162" s="762">
        <f>[7]CLASSALLOC!S177</f>
        <v>0</v>
      </c>
      <c r="S162" s="762">
        <f>[7]CLASSALLOC!T177</f>
        <v>0</v>
      </c>
      <c r="T162" s="762"/>
    </row>
    <row r="163" spans="1:22">
      <c r="C163" s="760"/>
      <c r="D163" s="760"/>
      <c r="E163" s="763"/>
      <c r="F163" s="769"/>
      <c r="G163" s="763"/>
      <c r="H163" s="763"/>
      <c r="I163" s="763"/>
      <c r="J163" s="763"/>
      <c r="K163" s="763"/>
      <c r="L163" s="763"/>
      <c r="M163" s="763"/>
      <c r="N163" s="763"/>
      <c r="O163" s="763"/>
      <c r="P163" s="763"/>
      <c r="Q163" s="763"/>
      <c r="R163" s="763"/>
      <c r="S163" s="763"/>
      <c r="T163" s="763"/>
    </row>
    <row r="164" spans="1:22">
      <c r="B164" s="758" t="str">
        <f>IF(OR((B156="~"),(C164="~")),"~","")</f>
        <v/>
      </c>
      <c r="E164" s="765"/>
      <c r="F164" s="765"/>
      <c r="G164" s="765"/>
      <c r="H164" s="765"/>
      <c r="I164" s="765"/>
      <c r="J164" s="765"/>
      <c r="K164" s="765"/>
      <c r="L164" s="765"/>
      <c r="M164" s="765"/>
      <c r="N164" s="765"/>
      <c r="O164" s="765"/>
      <c r="P164" s="765"/>
      <c r="Q164" s="765"/>
      <c r="R164" s="765"/>
      <c r="S164" s="765"/>
      <c r="T164" s="765"/>
    </row>
    <row r="165" spans="1:22" s="760" customFormat="1">
      <c r="C165" s="760" t="s">
        <v>308</v>
      </c>
      <c r="E165" s="763">
        <f>SUM(G165:T165)</f>
        <v>5097747769.9494286</v>
      </c>
      <c r="F165" s="769"/>
      <c r="G165" s="763">
        <f t="shared" ref="G165:S165" si="42">SUM(G157:G162)</f>
        <v>2919904459.5860195</v>
      </c>
      <c r="H165" s="763">
        <f t="shared" si="42"/>
        <v>622692019.55577123</v>
      </c>
      <c r="I165" s="763">
        <f t="shared" si="42"/>
        <v>604694234.09945154</v>
      </c>
      <c r="J165" s="763">
        <f t="shared" si="42"/>
        <v>348593128.82850486</v>
      </c>
      <c r="K165" s="763">
        <f t="shared" si="42"/>
        <v>240827587.84321612</v>
      </c>
      <c r="L165" s="763">
        <f t="shared" si="42"/>
        <v>1185470.0818842137</v>
      </c>
      <c r="M165" s="763">
        <f t="shared" si="42"/>
        <v>30804368.680607092</v>
      </c>
      <c r="N165" s="763">
        <f t="shared" si="42"/>
        <v>115475289.5728465</v>
      </c>
      <c r="O165" s="763">
        <f t="shared" si="42"/>
        <v>94175271.038328752</v>
      </c>
      <c r="P165" s="763">
        <f t="shared" si="42"/>
        <v>5456689.7158061452</v>
      </c>
      <c r="Q165" s="763">
        <f t="shared" si="42"/>
        <v>57631609.266346611</v>
      </c>
      <c r="R165" s="763">
        <f t="shared" si="42"/>
        <v>54530381.941930786</v>
      </c>
      <c r="S165" s="763">
        <f t="shared" si="42"/>
        <v>1777259.7387151562</v>
      </c>
      <c r="T165" s="763"/>
      <c r="U165" s="782"/>
      <c r="V165" s="782"/>
    </row>
    <row r="166" spans="1:22">
      <c r="A166" s="773"/>
      <c r="B166" s="773"/>
      <c r="E166" s="765"/>
      <c r="F166" s="765"/>
      <c r="G166" s="765"/>
      <c r="H166" s="765"/>
      <c r="I166" s="765"/>
      <c r="J166" s="765"/>
      <c r="K166" s="765"/>
      <c r="L166" s="765"/>
      <c r="M166" s="765"/>
      <c r="N166" s="765"/>
      <c r="O166" s="765"/>
      <c r="P166" s="765"/>
      <c r="Q166" s="765"/>
      <c r="R166" s="765"/>
      <c r="S166" s="765"/>
      <c r="T166" s="765"/>
    </row>
    <row r="167" spans="1:22">
      <c r="A167" s="1326" t="str">
        <f>A1</f>
        <v>Puget Sound Energy</v>
      </c>
      <c r="B167" s="1326"/>
      <c r="C167" s="1326"/>
      <c r="D167" s="1326"/>
      <c r="E167" s="1326"/>
      <c r="F167" s="1326"/>
      <c r="G167" s="1326"/>
      <c r="H167" s="1326"/>
      <c r="I167" s="1326"/>
      <c r="J167" s="1326"/>
      <c r="K167" s="1326"/>
      <c r="L167" s="1326"/>
      <c r="M167" s="1326"/>
      <c r="N167" s="1326"/>
      <c r="O167" s="1326"/>
      <c r="P167" s="1326"/>
      <c r="Q167" s="1326"/>
      <c r="R167" s="1326"/>
      <c r="S167" s="1326"/>
    </row>
    <row r="168" spans="1:22">
      <c r="A168" s="1326" t="str">
        <f>A2</f>
        <v>ELECTRIC COST OF SERVICE SUMMARY</v>
      </c>
      <c r="B168" s="1326"/>
      <c r="C168" s="1326"/>
      <c r="D168" s="1326"/>
      <c r="E168" s="1326"/>
      <c r="F168" s="1326"/>
      <c r="G168" s="1326"/>
      <c r="H168" s="1326"/>
      <c r="I168" s="1326"/>
      <c r="J168" s="1326"/>
      <c r="K168" s="1326"/>
      <c r="L168" s="1326"/>
      <c r="M168" s="1326"/>
      <c r="N168" s="1326"/>
      <c r="O168" s="1326"/>
      <c r="P168" s="1326"/>
      <c r="Q168" s="1326"/>
      <c r="R168" s="1326"/>
      <c r="S168" s="1326"/>
    </row>
    <row r="169" spans="1:22">
      <c r="A169" s="1326" t="s">
        <v>1139</v>
      </c>
      <c r="B169" s="1326"/>
      <c r="C169" s="1326"/>
      <c r="D169" s="1326"/>
      <c r="E169" s="1326"/>
      <c r="F169" s="1326"/>
      <c r="G169" s="1326"/>
      <c r="H169" s="1326"/>
      <c r="I169" s="1326"/>
      <c r="J169" s="1326"/>
      <c r="K169" s="1326"/>
      <c r="L169" s="1326"/>
      <c r="M169" s="1326"/>
      <c r="N169" s="1326"/>
      <c r="O169" s="1326"/>
      <c r="P169" s="1326"/>
      <c r="Q169" s="1326"/>
      <c r="R169" s="1326"/>
      <c r="S169" s="1326"/>
    </row>
    <row r="170" spans="1:22">
      <c r="A170" s="1326" t="s">
        <v>984</v>
      </c>
      <c r="B170" s="1326"/>
      <c r="C170" s="1326"/>
      <c r="D170" s="1326"/>
      <c r="E170" s="1326"/>
      <c r="F170" s="1326"/>
      <c r="G170" s="1326"/>
      <c r="H170" s="1326"/>
      <c r="I170" s="1326"/>
      <c r="J170" s="1326"/>
      <c r="K170" s="1326"/>
      <c r="L170" s="1326"/>
      <c r="M170" s="1326"/>
      <c r="N170" s="1326"/>
      <c r="O170" s="1326"/>
      <c r="P170" s="1326"/>
      <c r="Q170" s="1326"/>
      <c r="R170" s="1326"/>
      <c r="S170" s="1326"/>
    </row>
    <row r="172" spans="1:22" s="759" customFormat="1" ht="44.45" customHeight="1">
      <c r="E172" s="759" t="s">
        <v>983</v>
      </c>
      <c r="G172" s="759" t="str">
        <f>[7]INPUTS!$C$18</f>
        <v>Residential Sch 7</v>
      </c>
      <c r="H172" s="759" t="str">
        <f>[7]INPUTS!$C$19</f>
        <v>Sec Volt Sch 24 (kW&lt; 50)</v>
      </c>
      <c r="I172" s="759" t="str">
        <f>[7]INPUTS!$C$20</f>
        <v>Sec Volt Sch 25 (kW &gt; 50 &amp; &lt; 350)</v>
      </c>
      <c r="J172" s="759" t="str">
        <f>[7]INPUTS!$C$21</f>
        <v>Sec Volt Sch 26 (kW &gt; 350)</v>
      </c>
      <c r="K172" s="759" t="str">
        <f>[7]INPUTS!$C$22</f>
        <v>Pri Volt Sch 31 (General Service)</v>
      </c>
      <c r="L172" s="759" t="str">
        <f>[7]INPUTS!$C$23</f>
        <v>Pri Volt Sch 35 (Irrigation)</v>
      </c>
      <c r="M172" s="759" t="str">
        <f>[7]INPUTS!$B$24</f>
        <v>Pri Svc 43</v>
      </c>
      <c r="N172" s="759" t="str">
        <f>[7]INPUTS!$B$25</f>
        <v>Campus 40</v>
      </c>
      <c r="O172" s="759" t="str">
        <f>[7]INPUTS!$B$26</f>
        <v>High Volt 46/49</v>
      </c>
      <c r="P172" s="759" t="str">
        <f>[7]INPUTS!$B$27</f>
        <v>Choice/Retail Wheeling PV</v>
      </c>
      <c r="Q172" s="759" t="str">
        <f>[7]INPUTS!$B$28</f>
        <v>Choice/Retail Wheeling HV</v>
      </c>
      <c r="R172" s="759" t="str">
        <f>[7]INPUTS!$B$29</f>
        <v>Lighting 50-59</v>
      </c>
      <c r="S172" s="759" t="str">
        <f>[7]INPUTS!$B$30</f>
        <v>Firm Resale Small</v>
      </c>
      <c r="U172" s="783"/>
      <c r="V172" s="783"/>
    </row>
    <row r="173" spans="1:22" s="759" customFormat="1">
      <c r="C173" s="759" t="s">
        <v>856</v>
      </c>
      <c r="E173" s="759" t="s">
        <v>857</v>
      </c>
      <c r="G173" s="759" t="s">
        <v>858</v>
      </c>
      <c r="H173" s="759" t="s">
        <v>859</v>
      </c>
      <c r="I173" s="759" t="s">
        <v>860</v>
      </c>
      <c r="J173" s="759" t="s">
        <v>861</v>
      </c>
      <c r="K173" s="759" t="s">
        <v>862</v>
      </c>
      <c r="L173" s="759" t="s">
        <v>961</v>
      </c>
      <c r="M173" s="759" t="s">
        <v>962</v>
      </c>
      <c r="N173" s="759" t="s">
        <v>863</v>
      </c>
      <c r="O173" s="759" t="s">
        <v>864</v>
      </c>
      <c r="P173" s="759" t="s">
        <v>865</v>
      </c>
      <c r="Q173" s="759" t="s">
        <v>866</v>
      </c>
      <c r="R173" s="759" t="s">
        <v>867</v>
      </c>
      <c r="S173" s="759" t="s">
        <v>963</v>
      </c>
      <c r="U173" s="783"/>
      <c r="V173" s="783"/>
    </row>
    <row r="174" spans="1:22">
      <c r="B174" s="760" t="str">
        <f>[7]INPUTS!$F$11</f>
        <v>Production</v>
      </c>
      <c r="E174" s="765"/>
      <c r="F174" s="765"/>
      <c r="G174" s="765"/>
      <c r="H174" s="765"/>
      <c r="I174" s="765"/>
      <c r="J174" s="765"/>
      <c r="K174" s="765"/>
      <c r="L174" s="765"/>
      <c r="M174" s="765"/>
      <c r="N174" s="765"/>
      <c r="O174" s="765"/>
      <c r="P174" s="765"/>
      <c r="Q174" s="765"/>
      <c r="R174" s="765"/>
      <c r="S174" s="765"/>
      <c r="T174" s="765"/>
    </row>
    <row r="175" spans="1:22">
      <c r="B175" s="758" t="str">
        <f>IF(OR((B174="~"),(C175="~")),"~","")</f>
        <v/>
      </c>
      <c r="C175" s="758" t="str">
        <f>IF(B174="~","~",[7]INPUTS!$C$42)</f>
        <v>Demand</v>
      </c>
      <c r="E175" s="762">
        <f>'[7]REV REQ'!D526</f>
        <v>344265563.98469442</v>
      </c>
      <c r="F175" s="765"/>
      <c r="G175" s="762">
        <f>'[7]REV REQ'!F526</f>
        <v>209770500.51971865</v>
      </c>
      <c r="H175" s="762">
        <f>'[7]REV REQ'!G526</f>
        <v>42255004.56978073</v>
      </c>
      <c r="I175" s="762">
        <f>'[7]REV REQ'!H526</f>
        <v>39397481.653115839</v>
      </c>
      <c r="J175" s="762">
        <f>'[7]REV REQ'!I526</f>
        <v>22374851.991698802</v>
      </c>
      <c r="K175" s="762">
        <f>'[7]REV REQ'!J526</f>
        <v>15333558.953725358</v>
      </c>
      <c r="L175" s="762">
        <f>'[7]REV REQ'!K526</f>
        <v>353.02534119226885</v>
      </c>
      <c r="M175" s="762">
        <f>'[7]REV REQ'!L526</f>
        <v>0</v>
      </c>
      <c r="N175" s="762">
        <f>'[7]REV REQ'!M526</f>
        <v>7929762.6813011914</v>
      </c>
      <c r="O175" s="762">
        <f>'[7]REV REQ'!N526</f>
        <v>5867495.3434591396</v>
      </c>
      <c r="P175" s="762">
        <f>'[7]REV REQ'!O526</f>
        <v>0</v>
      </c>
      <c r="Q175" s="762">
        <f>'[7]REV REQ'!P526</f>
        <v>0</v>
      </c>
      <c r="R175" s="762">
        <f>'[7]REV REQ'!Q526</f>
        <v>1202883.8699282785</v>
      </c>
      <c r="S175" s="762">
        <f>'[7]REV REQ'!R526</f>
        <v>133671.37662524334</v>
      </c>
      <c r="T175" s="762"/>
    </row>
    <row r="176" spans="1:22">
      <c r="B176" s="758" t="str">
        <f>IF(OR((B174="~"),(C176="~")),"~","")</f>
        <v/>
      </c>
      <c r="C176" s="758" t="str">
        <f>IF(B174="~","~",[7]INPUTS!$C$43)</f>
        <v>Energy</v>
      </c>
      <c r="E176" s="762">
        <f>'[7]REV REQ'!D527</f>
        <v>1034244233.7527484</v>
      </c>
      <c r="F176" s="765"/>
      <c r="G176" s="762">
        <f>'[7]REV REQ'!F527</f>
        <v>526707190.34767282</v>
      </c>
      <c r="H176" s="762">
        <f>'[7]REV REQ'!G527</f>
        <v>138307057.93185228</v>
      </c>
      <c r="I176" s="762">
        <f>'[7]REV REQ'!H527</f>
        <v>142400868.70056707</v>
      </c>
      <c r="J176" s="762">
        <f>'[7]REV REQ'!I527</f>
        <v>93943468.583181828</v>
      </c>
      <c r="K176" s="762">
        <f>'[7]REV REQ'!J527</f>
        <v>61326599.501307987</v>
      </c>
      <c r="L176" s="762">
        <f>'[7]REV REQ'!K527</f>
        <v>212976.74236474151</v>
      </c>
      <c r="M176" s="762">
        <f>'[7]REV REQ'!L527</f>
        <v>5793311.2181464983</v>
      </c>
      <c r="N176" s="762">
        <f>'[7]REV REQ'!M527</f>
        <v>32101346.100466877</v>
      </c>
      <c r="O176" s="762">
        <f>'[7]REV REQ'!N527</f>
        <v>29336930.234673698</v>
      </c>
      <c r="P176" s="762">
        <f>'[7]REV REQ'!O527</f>
        <v>0</v>
      </c>
      <c r="Q176" s="762">
        <f>'[7]REV REQ'!P527</f>
        <v>0</v>
      </c>
      <c r="R176" s="762">
        <f>'[7]REV REQ'!Q527</f>
        <v>3779451.3189594103</v>
      </c>
      <c r="S176" s="762">
        <f>'[7]REV REQ'!R527</f>
        <v>335033.07355543011</v>
      </c>
      <c r="T176" s="762"/>
    </row>
    <row r="177" spans="2:22">
      <c r="B177" s="758" t="str">
        <f>IF(OR((B174="~"),(C177="~")),"~","")</f>
        <v/>
      </c>
      <c r="C177" s="758" t="str">
        <f>IF(B174="~","~",[7]INPUTS!$C$44)</f>
        <v>Customer</v>
      </c>
      <c r="E177" s="762">
        <f>'[7]REV REQ'!D528</f>
        <v>0</v>
      </c>
      <c r="F177" s="765"/>
      <c r="G177" s="762">
        <f>'[7]REV REQ'!F528</f>
        <v>0</v>
      </c>
      <c r="H177" s="762">
        <f>'[7]REV REQ'!G528</f>
        <v>0</v>
      </c>
      <c r="I177" s="762">
        <f>'[7]REV REQ'!H528</f>
        <v>0</v>
      </c>
      <c r="J177" s="762">
        <f>'[7]REV REQ'!I528</f>
        <v>0</v>
      </c>
      <c r="K177" s="762">
        <f>'[7]REV REQ'!J528</f>
        <v>0</v>
      </c>
      <c r="L177" s="762">
        <f>'[7]REV REQ'!K528</f>
        <v>0</v>
      </c>
      <c r="M177" s="762">
        <f>'[7]REV REQ'!L528</f>
        <v>0</v>
      </c>
      <c r="N177" s="762">
        <f>'[7]REV REQ'!M528</f>
        <v>0</v>
      </c>
      <c r="O177" s="762">
        <f>'[7]REV REQ'!N528</f>
        <v>0</v>
      </c>
      <c r="P177" s="762">
        <f>'[7]REV REQ'!O528</f>
        <v>0</v>
      </c>
      <c r="Q177" s="762">
        <f>'[7]REV REQ'!P528</f>
        <v>0</v>
      </c>
      <c r="R177" s="762">
        <f>'[7]REV REQ'!Q528</f>
        <v>0</v>
      </c>
      <c r="S177" s="762">
        <f>'[7]REV REQ'!R528</f>
        <v>0</v>
      </c>
      <c r="T177" s="762"/>
    </row>
    <row r="178" spans="2:22">
      <c r="B178" s="758" t="str">
        <f>IF(OR((B174="~"),(C178="~")),"~","")</f>
        <v>~</v>
      </c>
      <c r="C178" s="758" t="str">
        <f>IF(B174="~","~",[7]INPUTS!$C$45)</f>
        <v>~</v>
      </c>
      <c r="E178" s="762">
        <f>'[7]REV REQ'!D529</f>
        <v>0</v>
      </c>
      <c r="F178" s="765"/>
      <c r="G178" s="762">
        <f>'[7]REV REQ'!F529</f>
        <v>0</v>
      </c>
      <c r="H178" s="762">
        <f>'[7]REV REQ'!G529</f>
        <v>0</v>
      </c>
      <c r="I178" s="762">
        <f>'[7]REV REQ'!H529</f>
        <v>0</v>
      </c>
      <c r="J178" s="762">
        <f>'[7]REV REQ'!I529</f>
        <v>0</v>
      </c>
      <c r="K178" s="762">
        <f>'[7]REV REQ'!J529</f>
        <v>0</v>
      </c>
      <c r="L178" s="762">
        <f>'[7]REV REQ'!K529</f>
        <v>0</v>
      </c>
      <c r="M178" s="762">
        <f>'[7]REV REQ'!L529</f>
        <v>0</v>
      </c>
      <c r="N178" s="762">
        <f>'[7]REV REQ'!M529</f>
        <v>0</v>
      </c>
      <c r="O178" s="762">
        <f>'[7]REV REQ'!N529</f>
        <v>0</v>
      </c>
      <c r="P178" s="762">
        <f>'[7]REV REQ'!O529</f>
        <v>0</v>
      </c>
      <c r="Q178" s="762">
        <f>'[7]REV REQ'!P529</f>
        <v>0</v>
      </c>
      <c r="R178" s="762">
        <f>'[7]REV REQ'!Q529</f>
        <v>0</v>
      </c>
      <c r="S178" s="762">
        <f>'[7]REV REQ'!R529</f>
        <v>0</v>
      </c>
      <c r="T178" s="762"/>
    </row>
    <row r="179" spans="2:22">
      <c r="B179" s="758" t="str">
        <f>IF(OR((B174="~"),(C179="~")),"~","")</f>
        <v>~</v>
      </c>
      <c r="C179" s="758" t="str">
        <f>IF(B174="~","~",[7]INPUTS!$C$46)</f>
        <v>~</v>
      </c>
      <c r="E179" s="762">
        <f>'[7]REV REQ'!D530</f>
        <v>0</v>
      </c>
      <c r="F179" s="765"/>
      <c r="G179" s="762">
        <f>'[7]REV REQ'!F530</f>
        <v>0</v>
      </c>
      <c r="H179" s="762">
        <f>'[7]REV REQ'!G530</f>
        <v>0</v>
      </c>
      <c r="I179" s="762">
        <f>'[7]REV REQ'!H530</f>
        <v>0</v>
      </c>
      <c r="J179" s="762">
        <f>'[7]REV REQ'!I530</f>
        <v>0</v>
      </c>
      <c r="K179" s="762">
        <f>'[7]REV REQ'!J530</f>
        <v>0</v>
      </c>
      <c r="L179" s="762">
        <f>'[7]REV REQ'!K530</f>
        <v>0</v>
      </c>
      <c r="M179" s="762">
        <f>'[7]REV REQ'!L530</f>
        <v>0</v>
      </c>
      <c r="N179" s="762">
        <f>'[7]REV REQ'!M530</f>
        <v>0</v>
      </c>
      <c r="O179" s="762">
        <f>'[7]REV REQ'!N530</f>
        <v>0</v>
      </c>
      <c r="P179" s="762">
        <f>'[7]REV REQ'!O530</f>
        <v>0</v>
      </c>
      <c r="Q179" s="762">
        <f>'[7]REV REQ'!P530</f>
        <v>0</v>
      </c>
      <c r="R179" s="762">
        <f>'[7]REV REQ'!Q530</f>
        <v>0</v>
      </c>
      <c r="S179" s="762">
        <f>'[7]REV REQ'!R530</f>
        <v>0</v>
      </c>
      <c r="T179" s="762"/>
    </row>
    <row r="180" spans="2:22">
      <c r="B180" s="758" t="str">
        <f>IF(OR((B174="~"),(C180="~")),"~","")</f>
        <v>~</v>
      </c>
      <c r="C180" s="758" t="str">
        <f>IF(B174="~","~",[7]INPUTS!$C$47)</f>
        <v>~</v>
      </c>
      <c r="E180" s="762">
        <f>'[7]REV REQ'!D531</f>
        <v>0</v>
      </c>
      <c r="F180" s="765"/>
      <c r="G180" s="762">
        <f>'[7]REV REQ'!F531</f>
        <v>0</v>
      </c>
      <c r="H180" s="762">
        <f>'[7]REV REQ'!G531</f>
        <v>0</v>
      </c>
      <c r="I180" s="762">
        <f>'[7]REV REQ'!H531</f>
        <v>0</v>
      </c>
      <c r="J180" s="762">
        <f>'[7]REV REQ'!I531</f>
        <v>0</v>
      </c>
      <c r="K180" s="762">
        <f>'[7]REV REQ'!J531</f>
        <v>0</v>
      </c>
      <c r="L180" s="762">
        <f>'[7]REV REQ'!K531</f>
        <v>0</v>
      </c>
      <c r="M180" s="762">
        <f>'[7]REV REQ'!L531</f>
        <v>0</v>
      </c>
      <c r="N180" s="762">
        <f>'[7]REV REQ'!M531</f>
        <v>0</v>
      </c>
      <c r="O180" s="762">
        <f>'[7]REV REQ'!N531</f>
        <v>0</v>
      </c>
      <c r="P180" s="762">
        <f>'[7]REV REQ'!O531</f>
        <v>0</v>
      </c>
      <c r="Q180" s="762">
        <f>'[7]REV REQ'!P531</f>
        <v>0</v>
      </c>
      <c r="R180" s="762">
        <f>'[7]REV REQ'!Q531</f>
        <v>0</v>
      </c>
      <c r="S180" s="762">
        <f>'[7]REV REQ'!R531</f>
        <v>0</v>
      </c>
      <c r="T180" s="762"/>
    </row>
    <row r="181" spans="2:22" s="760" customFormat="1">
      <c r="B181" s="760" t="str">
        <f>IF(OR((B174="~"),(C181="~")),"~","")</f>
        <v/>
      </c>
      <c r="C181" s="760" t="str">
        <f>IF(B174="~","~","Sub-total")</f>
        <v>Sub-total</v>
      </c>
      <c r="E181" s="763">
        <f>SUM(E175:E180)</f>
        <v>1378509797.7374427</v>
      </c>
      <c r="F181" s="769"/>
      <c r="G181" s="763">
        <f t="shared" ref="G181:S181" si="43">SUM(G175:G180)</f>
        <v>736477690.86739147</v>
      </c>
      <c r="H181" s="763">
        <f t="shared" si="43"/>
        <v>180562062.50163302</v>
      </c>
      <c r="I181" s="763">
        <f t="shared" si="43"/>
        <v>181798350.35368291</v>
      </c>
      <c r="J181" s="763">
        <f t="shared" si="43"/>
        <v>116318320.57488063</v>
      </c>
      <c r="K181" s="763">
        <f t="shared" si="43"/>
        <v>76660158.455033347</v>
      </c>
      <c r="L181" s="763">
        <f t="shared" si="43"/>
        <v>213329.76770593377</v>
      </c>
      <c r="M181" s="763">
        <f t="shared" si="43"/>
        <v>5793311.2181464983</v>
      </c>
      <c r="N181" s="763">
        <f t="shared" si="43"/>
        <v>40031108.781768069</v>
      </c>
      <c r="O181" s="763">
        <f t="shared" si="43"/>
        <v>35204425.578132838</v>
      </c>
      <c r="P181" s="763">
        <f t="shared" si="43"/>
        <v>0</v>
      </c>
      <c r="Q181" s="763">
        <f t="shared" si="43"/>
        <v>0</v>
      </c>
      <c r="R181" s="763">
        <f t="shared" si="43"/>
        <v>4982335.1888876893</v>
      </c>
      <c r="S181" s="763">
        <f t="shared" si="43"/>
        <v>468704.45018067345</v>
      </c>
      <c r="T181" s="763"/>
      <c r="U181" s="782"/>
      <c r="V181" s="782"/>
    </row>
    <row r="182" spans="2:22">
      <c r="B182" s="758" t="str">
        <f>IF(OR((B174="~"),(C182="~")),"~","")</f>
        <v/>
      </c>
    </row>
    <row r="183" spans="2:22">
      <c r="B183" s="760" t="str">
        <f>[7]INPUTS!$F$12</f>
        <v>Transmission</v>
      </c>
      <c r="E183" s="765"/>
      <c r="F183" s="765"/>
      <c r="G183" s="765"/>
      <c r="H183" s="765"/>
      <c r="I183" s="765"/>
      <c r="J183" s="765"/>
      <c r="K183" s="765"/>
      <c r="L183" s="765"/>
      <c r="M183" s="765"/>
      <c r="N183" s="765"/>
      <c r="O183" s="765"/>
      <c r="P183" s="765"/>
      <c r="Q183" s="765"/>
      <c r="R183" s="765"/>
      <c r="S183" s="765"/>
      <c r="T183" s="765"/>
    </row>
    <row r="184" spans="2:22">
      <c r="B184" s="758" t="str">
        <f>IF(OR((B183="~"),(C184="~")),"~","")</f>
        <v/>
      </c>
      <c r="C184" s="758" t="str">
        <f>IF(B183="~","~",[7]INPUTS!$C$42)</f>
        <v>Demand</v>
      </c>
      <c r="E184" s="762">
        <f>'[7]REV REQ'!D535</f>
        <v>36267688.648054771</v>
      </c>
      <c r="F184" s="765"/>
      <c r="G184" s="762">
        <f>'[7]REV REQ'!F535</f>
        <v>20795060.130671155</v>
      </c>
      <c r="H184" s="762">
        <f>'[7]REV REQ'!G535</f>
        <v>4188841.4179942133</v>
      </c>
      <c r="I184" s="762">
        <f>'[7]REV REQ'!H535</f>
        <v>3905568.2183327032</v>
      </c>
      <c r="J184" s="762">
        <f>'[7]REV REQ'!I535</f>
        <v>2218073.5204877206</v>
      </c>
      <c r="K184" s="762">
        <f>'[7]REV REQ'!J535</f>
        <v>1520053.0087400749</v>
      </c>
      <c r="L184" s="762">
        <f>'[7]REV REQ'!K535</f>
        <v>34.99626105460834</v>
      </c>
      <c r="M184" s="762">
        <f>'[7]REV REQ'!L535</f>
        <v>0</v>
      </c>
      <c r="N184" s="762">
        <f>'[7]REV REQ'!M535</f>
        <v>786096.66931747436</v>
      </c>
      <c r="O184" s="762">
        <f>'[7]REV REQ'!N535</f>
        <v>581659.09020270559</v>
      </c>
      <c r="P184" s="762">
        <f>'[7]REV REQ'!O535</f>
        <v>665279.2083662654</v>
      </c>
      <c r="Q184" s="762">
        <f>'[7]REV REQ'!P535</f>
        <v>1474526.413980698</v>
      </c>
      <c r="R184" s="762">
        <f>'[7]REV REQ'!Q535</f>
        <v>119244.80488628864</v>
      </c>
      <c r="S184" s="762">
        <f>'[7]REV REQ'!R535</f>
        <v>13251.168814416922</v>
      </c>
      <c r="T184" s="762"/>
    </row>
    <row r="185" spans="2:22">
      <c r="B185" s="758" t="str">
        <f>IF(OR((B183="~"),(C185="~")),"~","")</f>
        <v/>
      </c>
      <c r="C185" s="758" t="str">
        <f>IF(B183="~","~",[7]INPUTS!$C$43)</f>
        <v>Energy</v>
      </c>
      <c r="E185" s="762">
        <f>'[7]REV REQ'!D536</f>
        <v>108682206.43689489</v>
      </c>
      <c r="F185" s="765"/>
      <c r="G185" s="762">
        <f>'[7]REV REQ'!F536</f>
        <v>50517887.360607669</v>
      </c>
      <c r="H185" s="762">
        <f>'[7]REV REQ'!G536</f>
        <v>13265397.742465476</v>
      </c>
      <c r="I185" s="762">
        <f>'[7]REV REQ'!H536</f>
        <v>13658046.020445244</v>
      </c>
      <c r="J185" s="762">
        <f>'[7]REV REQ'!I536</f>
        <v>9010367.9067249931</v>
      </c>
      <c r="K185" s="762">
        <f>'[7]REV REQ'!J536</f>
        <v>5881997.2512073815</v>
      </c>
      <c r="L185" s="762">
        <f>'[7]REV REQ'!K536</f>
        <v>20427.165754295474</v>
      </c>
      <c r="M185" s="762">
        <f>'[7]REV REQ'!L536</f>
        <v>555651.88576613984</v>
      </c>
      <c r="N185" s="762">
        <f>'[7]REV REQ'!M536</f>
        <v>3078925.4753799909</v>
      </c>
      <c r="O185" s="762">
        <f>'[7]REV REQ'!N536</f>
        <v>2813782.9979556105</v>
      </c>
      <c r="P185" s="762">
        <f>'[7]REV REQ'!O536</f>
        <v>475912.84231971041</v>
      </c>
      <c r="Q185" s="762">
        <f>'[7]REV REQ'!P536</f>
        <v>9009178.6480501853</v>
      </c>
      <c r="R185" s="762">
        <f>'[7]REV REQ'!Q536</f>
        <v>362497.22714068356</v>
      </c>
      <c r="S185" s="762">
        <f>'[7]REV REQ'!R536</f>
        <v>32133.913077547528</v>
      </c>
      <c r="T185" s="762"/>
    </row>
    <row r="186" spans="2:22">
      <c r="B186" s="758" t="str">
        <f>IF(OR((B183="~"),(C186="~")),"~","")</f>
        <v/>
      </c>
      <c r="C186" s="758" t="str">
        <f>IF(B183="~","~",[7]INPUTS!$C$44)</f>
        <v>Customer</v>
      </c>
      <c r="E186" s="762">
        <f>'[7]REV REQ'!D537</f>
        <v>0</v>
      </c>
      <c r="F186" s="765"/>
      <c r="G186" s="762">
        <f>'[7]REV REQ'!F537</f>
        <v>0</v>
      </c>
      <c r="H186" s="762">
        <f>'[7]REV REQ'!G537</f>
        <v>0</v>
      </c>
      <c r="I186" s="762">
        <f>'[7]REV REQ'!H537</f>
        <v>0</v>
      </c>
      <c r="J186" s="762">
        <f>'[7]REV REQ'!I537</f>
        <v>0</v>
      </c>
      <c r="K186" s="762">
        <f>'[7]REV REQ'!J537</f>
        <v>0</v>
      </c>
      <c r="L186" s="762">
        <f>'[7]REV REQ'!K537</f>
        <v>0</v>
      </c>
      <c r="M186" s="762">
        <f>'[7]REV REQ'!L537</f>
        <v>0</v>
      </c>
      <c r="N186" s="762">
        <f>'[7]REV REQ'!M537</f>
        <v>0</v>
      </c>
      <c r="O186" s="762">
        <f>'[7]REV REQ'!N537</f>
        <v>0</v>
      </c>
      <c r="P186" s="762">
        <f>'[7]REV REQ'!O537</f>
        <v>0</v>
      </c>
      <c r="Q186" s="762">
        <f>'[7]REV REQ'!P537</f>
        <v>0</v>
      </c>
      <c r="R186" s="762">
        <f>'[7]REV REQ'!Q537</f>
        <v>0</v>
      </c>
      <c r="S186" s="762">
        <f>'[7]REV REQ'!R537</f>
        <v>0</v>
      </c>
      <c r="T186" s="762"/>
    </row>
    <row r="187" spans="2:22">
      <c r="B187" s="758" t="str">
        <f>IF(OR((B183="~"),(C187="~")),"~","")</f>
        <v>~</v>
      </c>
      <c r="C187" s="758" t="str">
        <f>IF(B183="~","~",[7]INPUTS!$C$45)</f>
        <v>~</v>
      </c>
      <c r="E187" s="762">
        <f>'[7]REV REQ'!D538</f>
        <v>0</v>
      </c>
      <c r="F187" s="765"/>
      <c r="G187" s="762">
        <f>'[7]REV REQ'!F538</f>
        <v>0</v>
      </c>
      <c r="H187" s="762">
        <f>'[7]REV REQ'!G538</f>
        <v>0</v>
      </c>
      <c r="I187" s="762">
        <f>'[7]REV REQ'!H538</f>
        <v>0</v>
      </c>
      <c r="J187" s="762">
        <f>'[7]REV REQ'!I538</f>
        <v>0</v>
      </c>
      <c r="K187" s="762">
        <f>'[7]REV REQ'!J538</f>
        <v>0</v>
      </c>
      <c r="L187" s="762">
        <f>'[7]REV REQ'!K538</f>
        <v>0</v>
      </c>
      <c r="M187" s="762">
        <f>'[7]REV REQ'!L538</f>
        <v>0</v>
      </c>
      <c r="N187" s="762">
        <f>'[7]REV REQ'!M538</f>
        <v>0</v>
      </c>
      <c r="O187" s="762">
        <f>'[7]REV REQ'!N538</f>
        <v>0</v>
      </c>
      <c r="P187" s="762">
        <f>'[7]REV REQ'!O538</f>
        <v>0</v>
      </c>
      <c r="Q187" s="762">
        <f>'[7]REV REQ'!P538</f>
        <v>0</v>
      </c>
      <c r="R187" s="762">
        <f>'[7]REV REQ'!Q538</f>
        <v>0</v>
      </c>
      <c r="S187" s="762">
        <f>'[7]REV REQ'!R538</f>
        <v>0</v>
      </c>
      <c r="T187" s="762"/>
    </row>
    <row r="188" spans="2:22">
      <c r="B188" s="758" t="str">
        <f>IF(OR((B183="~"),(C188="~")),"~","")</f>
        <v>~</v>
      </c>
      <c r="C188" s="758" t="str">
        <f>IF(B183="~","~",[7]INPUTS!$C$46)</f>
        <v>~</v>
      </c>
      <c r="E188" s="762">
        <f>'[7]REV REQ'!D539</f>
        <v>0</v>
      </c>
      <c r="F188" s="765"/>
      <c r="G188" s="762">
        <f>'[7]REV REQ'!F539</f>
        <v>0</v>
      </c>
      <c r="H188" s="762">
        <f>'[7]REV REQ'!G539</f>
        <v>0</v>
      </c>
      <c r="I188" s="762">
        <f>'[7]REV REQ'!H539</f>
        <v>0</v>
      </c>
      <c r="J188" s="762">
        <f>'[7]REV REQ'!I539</f>
        <v>0</v>
      </c>
      <c r="K188" s="762">
        <f>'[7]REV REQ'!J539</f>
        <v>0</v>
      </c>
      <c r="L188" s="762">
        <f>'[7]REV REQ'!K539</f>
        <v>0</v>
      </c>
      <c r="M188" s="762">
        <f>'[7]REV REQ'!L539</f>
        <v>0</v>
      </c>
      <c r="N188" s="762">
        <f>'[7]REV REQ'!M539</f>
        <v>0</v>
      </c>
      <c r="O188" s="762">
        <f>'[7]REV REQ'!N539</f>
        <v>0</v>
      </c>
      <c r="P188" s="762">
        <f>'[7]REV REQ'!O539</f>
        <v>0</v>
      </c>
      <c r="Q188" s="762">
        <f>'[7]REV REQ'!P539</f>
        <v>0</v>
      </c>
      <c r="R188" s="762">
        <f>'[7]REV REQ'!Q539</f>
        <v>0</v>
      </c>
      <c r="S188" s="762">
        <f>'[7]REV REQ'!R539</f>
        <v>0</v>
      </c>
      <c r="T188" s="762"/>
    </row>
    <row r="189" spans="2:22">
      <c r="B189" s="758" t="str">
        <f>IF(OR((B183="~"),(C189="~")),"~","")</f>
        <v>~</v>
      </c>
      <c r="C189" s="758" t="str">
        <f>IF(B183="~","~",[7]INPUTS!$C$47)</f>
        <v>~</v>
      </c>
      <c r="E189" s="762">
        <f>'[7]REV REQ'!D540</f>
        <v>0</v>
      </c>
      <c r="F189" s="765"/>
      <c r="G189" s="762">
        <f>'[7]REV REQ'!F540</f>
        <v>0</v>
      </c>
      <c r="H189" s="762">
        <f>'[7]REV REQ'!G540</f>
        <v>0</v>
      </c>
      <c r="I189" s="762">
        <f>'[7]REV REQ'!H540</f>
        <v>0</v>
      </c>
      <c r="J189" s="762">
        <f>'[7]REV REQ'!I540</f>
        <v>0</v>
      </c>
      <c r="K189" s="762">
        <f>'[7]REV REQ'!J540</f>
        <v>0</v>
      </c>
      <c r="L189" s="762">
        <f>'[7]REV REQ'!K540</f>
        <v>0</v>
      </c>
      <c r="M189" s="762">
        <f>'[7]REV REQ'!L540</f>
        <v>0</v>
      </c>
      <c r="N189" s="762">
        <f>'[7]REV REQ'!M540</f>
        <v>0</v>
      </c>
      <c r="O189" s="762">
        <f>'[7]REV REQ'!N540</f>
        <v>0</v>
      </c>
      <c r="P189" s="762">
        <f>'[7]REV REQ'!O540</f>
        <v>0</v>
      </c>
      <c r="Q189" s="762">
        <f>'[7]REV REQ'!P540</f>
        <v>0</v>
      </c>
      <c r="R189" s="762">
        <f>'[7]REV REQ'!Q540</f>
        <v>0</v>
      </c>
      <c r="S189" s="762">
        <f>'[7]REV REQ'!R540</f>
        <v>0</v>
      </c>
      <c r="T189" s="762"/>
    </row>
    <row r="190" spans="2:22" s="760" customFormat="1">
      <c r="B190" s="760" t="str">
        <f>IF(OR((B183="~"),(C190="~")),"~","")</f>
        <v/>
      </c>
      <c r="C190" s="760" t="str">
        <f>IF(B183="~","~","Sub-total")</f>
        <v>Sub-total</v>
      </c>
      <c r="E190" s="763">
        <f>SUM(E184:E189)</f>
        <v>144949895.08494967</v>
      </c>
      <c r="F190" s="769"/>
      <c r="G190" s="763">
        <f t="shared" ref="G190:S190" si="44">SUM(G184:G189)</f>
        <v>71312947.491278827</v>
      </c>
      <c r="H190" s="763">
        <f t="shared" si="44"/>
        <v>17454239.16045969</v>
      </c>
      <c r="I190" s="763">
        <f t="shared" si="44"/>
        <v>17563614.238777947</v>
      </c>
      <c r="J190" s="763">
        <f t="shared" si="44"/>
        <v>11228441.427212713</v>
      </c>
      <c r="K190" s="763">
        <f t="shared" si="44"/>
        <v>7402050.2599474564</v>
      </c>
      <c r="L190" s="763">
        <f t="shared" si="44"/>
        <v>20462.162015350084</v>
      </c>
      <c r="M190" s="763">
        <f t="shared" si="44"/>
        <v>555651.88576613984</v>
      </c>
      <c r="N190" s="763">
        <f t="shared" si="44"/>
        <v>3865022.144697465</v>
      </c>
      <c r="O190" s="763">
        <f t="shared" si="44"/>
        <v>3395442.088158316</v>
      </c>
      <c r="P190" s="763">
        <f t="shared" si="44"/>
        <v>1141192.0506859757</v>
      </c>
      <c r="Q190" s="763">
        <f t="shared" si="44"/>
        <v>10483705.062030884</v>
      </c>
      <c r="R190" s="763">
        <f t="shared" si="44"/>
        <v>481742.03202697221</v>
      </c>
      <c r="S190" s="763">
        <f t="shared" si="44"/>
        <v>45385.081891964452</v>
      </c>
      <c r="T190" s="763"/>
      <c r="U190" s="782"/>
      <c r="V190" s="782"/>
    </row>
    <row r="191" spans="2:22">
      <c r="B191" s="758" t="str">
        <f>IF(OR((B183="~"),(C191="~")),"~","")</f>
        <v/>
      </c>
    </row>
    <row r="192" spans="2:22">
      <c r="B192" s="760" t="str">
        <f>[7]INPUTS!$F$13</f>
        <v>Distribution</v>
      </c>
      <c r="E192" s="765"/>
      <c r="F192" s="765"/>
      <c r="G192" s="765"/>
      <c r="H192" s="765"/>
      <c r="I192" s="765"/>
      <c r="J192" s="765"/>
      <c r="K192" s="765"/>
      <c r="L192" s="765"/>
      <c r="M192" s="765"/>
      <c r="N192" s="765"/>
      <c r="O192" s="765"/>
      <c r="P192" s="765"/>
      <c r="Q192" s="765"/>
      <c r="R192" s="765"/>
      <c r="S192" s="765"/>
      <c r="T192" s="765"/>
    </row>
    <row r="193" spans="2:22">
      <c r="B193" s="758" t="str">
        <f>IF(OR((B192="~"),(C193="~")),"~","")</f>
        <v/>
      </c>
      <c r="C193" s="758" t="str">
        <f>IF(B192="~","~",[7]INPUTS!$C$42)</f>
        <v>Demand</v>
      </c>
      <c r="E193" s="762">
        <f>'[7]REV REQ'!D544</f>
        <v>368720051.83249277</v>
      </c>
      <c r="F193" s="765"/>
      <c r="G193" s="762">
        <f>'[7]REV REQ'!F544</f>
        <v>236601507.05180684</v>
      </c>
      <c r="H193" s="762">
        <f>'[7]REV REQ'!G544</f>
        <v>46872857.638597287</v>
      </c>
      <c r="I193" s="762">
        <f>'[7]REV REQ'!H544</f>
        <v>42217187.621491708</v>
      </c>
      <c r="J193" s="762">
        <f>'[7]REV REQ'!I544</f>
        <v>19192131.856829576</v>
      </c>
      <c r="K193" s="762">
        <f>'[7]REV REQ'!J544</f>
        <v>13906285.423220389</v>
      </c>
      <c r="L193" s="762">
        <f>'[7]REV REQ'!K544</f>
        <v>180205.46058214366</v>
      </c>
      <c r="M193" s="762">
        <f>'[7]REV REQ'!L544</f>
        <v>3780755.3923626784</v>
      </c>
      <c r="N193" s="762">
        <f>'[7]REV REQ'!M544</f>
        <v>5651431.4291606136</v>
      </c>
      <c r="O193" s="762">
        <f>'[7]REV REQ'!N544</f>
        <v>62169.804624780547</v>
      </c>
      <c r="P193" s="762">
        <f>'[7]REV REQ'!O544</f>
        <v>0</v>
      </c>
      <c r="Q193" s="762">
        <f>'[7]REV REQ'!P544</f>
        <v>-117462.41945302358</v>
      </c>
      <c r="R193" s="762">
        <f>'[7]REV REQ'!Q544</f>
        <v>224606.50741293374</v>
      </c>
      <c r="S193" s="762">
        <f>'[7]REV REQ'!R544</f>
        <v>148376.06585686249</v>
      </c>
      <c r="T193" s="762"/>
    </row>
    <row r="194" spans="2:22">
      <c r="B194" s="758" t="str">
        <f>IF(OR((B192="~"),(C194="~")),"~","")</f>
        <v/>
      </c>
      <c r="C194" s="758" t="str">
        <f>IF(B192="~","~",[7]INPUTS!$C$43)</f>
        <v>Energy</v>
      </c>
      <c r="E194" s="762">
        <f>'[7]REV REQ'!D545</f>
        <v>0</v>
      </c>
      <c r="F194" s="765"/>
      <c r="G194" s="762">
        <f>'[7]REV REQ'!F545</f>
        <v>0</v>
      </c>
      <c r="H194" s="762">
        <f>'[7]REV REQ'!G545</f>
        <v>0</v>
      </c>
      <c r="I194" s="762">
        <f>'[7]REV REQ'!H545</f>
        <v>0</v>
      </c>
      <c r="J194" s="762">
        <f>'[7]REV REQ'!I545</f>
        <v>0</v>
      </c>
      <c r="K194" s="762">
        <f>'[7]REV REQ'!J545</f>
        <v>0</v>
      </c>
      <c r="L194" s="762">
        <f>'[7]REV REQ'!K545</f>
        <v>0</v>
      </c>
      <c r="M194" s="762">
        <f>'[7]REV REQ'!L545</f>
        <v>0</v>
      </c>
      <c r="N194" s="762">
        <f>'[7]REV REQ'!M545</f>
        <v>0</v>
      </c>
      <c r="O194" s="762">
        <f>'[7]REV REQ'!N545</f>
        <v>0</v>
      </c>
      <c r="P194" s="762">
        <f>'[7]REV REQ'!O545</f>
        <v>0</v>
      </c>
      <c r="Q194" s="762">
        <f>'[7]REV REQ'!P545</f>
        <v>0</v>
      </c>
      <c r="R194" s="762">
        <f>'[7]REV REQ'!Q545</f>
        <v>0</v>
      </c>
      <c r="S194" s="762">
        <f>'[7]REV REQ'!R545</f>
        <v>0</v>
      </c>
      <c r="T194" s="762"/>
    </row>
    <row r="195" spans="2:22">
      <c r="B195" s="758" t="str">
        <f>IF(OR((B192="~"),(C195="~")),"~","")</f>
        <v/>
      </c>
      <c r="C195" s="758" t="str">
        <f>IF(B192="~","~",[7]INPUTS!$C$44)</f>
        <v>Customer</v>
      </c>
      <c r="E195" s="762">
        <f>'[7]REV REQ'!D546</f>
        <v>160486923.86745819</v>
      </c>
      <c r="F195" s="765"/>
      <c r="G195" s="762">
        <f>'[7]REV REQ'!F546</f>
        <v>126242654.84343198</v>
      </c>
      <c r="H195" s="762">
        <f>'[7]REV REQ'!G546</f>
        <v>12361915.429952625</v>
      </c>
      <c r="I195" s="762">
        <f>'[7]REV REQ'!H546</f>
        <v>4305298.0687916409</v>
      </c>
      <c r="J195" s="762">
        <f>'[7]REV REQ'!I546</f>
        <v>1150603.5296324024</v>
      </c>
      <c r="K195" s="762">
        <f>'[7]REV REQ'!J546</f>
        <v>1852100.4414229742</v>
      </c>
      <c r="L195" s="762">
        <f>'[7]REV REQ'!K546</f>
        <v>4165.8333132226098</v>
      </c>
      <c r="M195" s="762">
        <f>'[7]REV REQ'!L546</f>
        <v>621368.86393307871</v>
      </c>
      <c r="N195" s="762">
        <f>'[7]REV REQ'!M546</f>
        <v>462990.89956358995</v>
      </c>
      <c r="O195" s="762">
        <f>'[7]REV REQ'!N546</f>
        <v>121909.19740332215</v>
      </c>
      <c r="P195" s="762">
        <f>'[7]REV REQ'!O546</f>
        <v>21119.102843202509</v>
      </c>
      <c r="Q195" s="762">
        <f>'[7]REV REQ'!P546</f>
        <v>423269.22956706159</v>
      </c>
      <c r="R195" s="762">
        <f>'[7]REV REQ'!Q546</f>
        <v>12879202.987145273</v>
      </c>
      <c r="S195" s="762">
        <f>'[7]REV REQ'!R546</f>
        <v>40325.44045785108</v>
      </c>
      <c r="T195" s="762"/>
    </row>
    <row r="196" spans="2:22">
      <c r="B196" s="758" t="str">
        <f>IF(OR((B192="~"),(C196="~")),"~","")</f>
        <v>~</v>
      </c>
      <c r="C196" s="758" t="str">
        <f>IF(B192="~","~",[7]INPUTS!$C$45)</f>
        <v>~</v>
      </c>
      <c r="E196" s="762">
        <f>'[7]REV REQ'!D547</f>
        <v>0</v>
      </c>
      <c r="F196" s="765"/>
      <c r="G196" s="762">
        <f>'[7]REV REQ'!F547</f>
        <v>0</v>
      </c>
      <c r="H196" s="762">
        <f>'[7]REV REQ'!G547</f>
        <v>0</v>
      </c>
      <c r="I196" s="762">
        <f>'[7]REV REQ'!H547</f>
        <v>0</v>
      </c>
      <c r="J196" s="762">
        <f>'[7]REV REQ'!I547</f>
        <v>0</v>
      </c>
      <c r="K196" s="762">
        <f>'[7]REV REQ'!J547</f>
        <v>0</v>
      </c>
      <c r="L196" s="762">
        <f>'[7]REV REQ'!K547</f>
        <v>0</v>
      </c>
      <c r="M196" s="762">
        <f>'[7]REV REQ'!L547</f>
        <v>0</v>
      </c>
      <c r="N196" s="762">
        <f>'[7]REV REQ'!M547</f>
        <v>0</v>
      </c>
      <c r="O196" s="762">
        <f>'[7]REV REQ'!N547</f>
        <v>0</v>
      </c>
      <c r="P196" s="762">
        <f>'[7]REV REQ'!O547</f>
        <v>0</v>
      </c>
      <c r="Q196" s="762">
        <f>'[7]REV REQ'!P547</f>
        <v>0</v>
      </c>
      <c r="R196" s="762">
        <f>'[7]REV REQ'!Q547</f>
        <v>0</v>
      </c>
      <c r="S196" s="762">
        <f>'[7]REV REQ'!R547</f>
        <v>0</v>
      </c>
      <c r="T196" s="762"/>
    </row>
    <row r="197" spans="2:22">
      <c r="B197" s="758" t="str">
        <f>IF(OR((B192="~"),(C197="~")),"~","")</f>
        <v>~</v>
      </c>
      <c r="C197" s="758" t="str">
        <f>IF(B192="~","~",[7]INPUTS!$C$46)</f>
        <v>~</v>
      </c>
      <c r="E197" s="762">
        <f>'[7]REV REQ'!D548</f>
        <v>0</v>
      </c>
      <c r="F197" s="765"/>
      <c r="G197" s="762">
        <f>'[7]REV REQ'!F548</f>
        <v>0</v>
      </c>
      <c r="H197" s="762">
        <f>'[7]REV REQ'!G548</f>
        <v>0</v>
      </c>
      <c r="I197" s="762">
        <f>'[7]REV REQ'!H548</f>
        <v>0</v>
      </c>
      <c r="J197" s="762">
        <f>'[7]REV REQ'!I548</f>
        <v>0</v>
      </c>
      <c r="K197" s="762">
        <f>'[7]REV REQ'!J548</f>
        <v>0</v>
      </c>
      <c r="L197" s="762">
        <f>'[7]REV REQ'!K548</f>
        <v>0</v>
      </c>
      <c r="M197" s="762">
        <f>'[7]REV REQ'!L548</f>
        <v>0</v>
      </c>
      <c r="N197" s="762">
        <f>'[7]REV REQ'!M548</f>
        <v>0</v>
      </c>
      <c r="O197" s="762">
        <f>'[7]REV REQ'!N548</f>
        <v>0</v>
      </c>
      <c r="P197" s="762">
        <f>'[7]REV REQ'!O548</f>
        <v>0</v>
      </c>
      <c r="Q197" s="762">
        <f>'[7]REV REQ'!P548</f>
        <v>0</v>
      </c>
      <c r="R197" s="762">
        <f>'[7]REV REQ'!Q548</f>
        <v>0</v>
      </c>
      <c r="S197" s="762">
        <f>'[7]REV REQ'!R548</f>
        <v>0</v>
      </c>
      <c r="T197" s="762"/>
    </row>
    <row r="198" spans="2:22">
      <c r="B198" s="758" t="str">
        <f>IF(OR((B192="~"),(C198="~")),"~","")</f>
        <v>~</v>
      </c>
      <c r="C198" s="758" t="str">
        <f>IF(B192="~","~",[7]INPUTS!$C$47)</f>
        <v>~</v>
      </c>
      <c r="E198" s="762">
        <f>'[7]REV REQ'!D549</f>
        <v>0</v>
      </c>
      <c r="F198" s="765"/>
      <c r="G198" s="762">
        <f>'[7]REV REQ'!F549</f>
        <v>0</v>
      </c>
      <c r="H198" s="762">
        <f>'[7]REV REQ'!G549</f>
        <v>0</v>
      </c>
      <c r="I198" s="762">
        <f>'[7]REV REQ'!H549</f>
        <v>0</v>
      </c>
      <c r="J198" s="762">
        <f>'[7]REV REQ'!I549</f>
        <v>0</v>
      </c>
      <c r="K198" s="762">
        <f>'[7]REV REQ'!J549</f>
        <v>0</v>
      </c>
      <c r="L198" s="762">
        <f>'[7]REV REQ'!K549</f>
        <v>0</v>
      </c>
      <c r="M198" s="762">
        <f>'[7]REV REQ'!L549</f>
        <v>0</v>
      </c>
      <c r="N198" s="762">
        <f>'[7]REV REQ'!M549</f>
        <v>0</v>
      </c>
      <c r="O198" s="762">
        <f>'[7]REV REQ'!N549</f>
        <v>0</v>
      </c>
      <c r="P198" s="762">
        <f>'[7]REV REQ'!O549</f>
        <v>0</v>
      </c>
      <c r="Q198" s="762">
        <f>'[7]REV REQ'!P549</f>
        <v>0</v>
      </c>
      <c r="R198" s="762">
        <f>'[7]REV REQ'!Q549</f>
        <v>0</v>
      </c>
      <c r="S198" s="762">
        <f>'[7]REV REQ'!R549</f>
        <v>0</v>
      </c>
      <c r="T198" s="762"/>
    </row>
    <row r="199" spans="2:22" s="760" customFormat="1">
      <c r="B199" s="760" t="str">
        <f>IF(OR((B192="~"),(C199="~")),"~","")</f>
        <v/>
      </c>
      <c r="C199" s="760" t="str">
        <f>IF(B192="~","~","Sub-total")</f>
        <v>Sub-total</v>
      </c>
      <c r="E199" s="763">
        <f>SUM(E193:E198)</f>
        <v>529206975.69995093</v>
      </c>
      <c r="F199" s="769"/>
      <c r="G199" s="763">
        <f t="shared" ref="G199:S199" si="45">SUM(G193:G198)</f>
        <v>362844161.89523882</v>
      </c>
      <c r="H199" s="763">
        <f t="shared" si="45"/>
        <v>59234773.068549916</v>
      </c>
      <c r="I199" s="763">
        <f t="shared" si="45"/>
        <v>46522485.690283351</v>
      </c>
      <c r="J199" s="763">
        <f t="shared" si="45"/>
        <v>20342735.386461977</v>
      </c>
      <c r="K199" s="763">
        <f t="shared" si="45"/>
        <v>15758385.864643363</v>
      </c>
      <c r="L199" s="763">
        <f t="shared" si="45"/>
        <v>184371.29389536625</v>
      </c>
      <c r="M199" s="763">
        <f t="shared" si="45"/>
        <v>4402124.2562957574</v>
      </c>
      <c r="N199" s="763">
        <f t="shared" si="45"/>
        <v>6114422.3287242036</v>
      </c>
      <c r="O199" s="763">
        <f t="shared" si="45"/>
        <v>184079.0020281027</v>
      </c>
      <c r="P199" s="763">
        <f t="shared" si="45"/>
        <v>21119.102843202509</v>
      </c>
      <c r="Q199" s="763">
        <f t="shared" si="45"/>
        <v>305806.810114038</v>
      </c>
      <c r="R199" s="763">
        <f t="shared" si="45"/>
        <v>13103809.494558208</v>
      </c>
      <c r="S199" s="763">
        <f t="shared" si="45"/>
        <v>188701.50631471357</v>
      </c>
      <c r="T199" s="763"/>
      <c r="U199" s="782"/>
      <c r="V199" s="782"/>
    </row>
    <row r="200" spans="2:22">
      <c r="B200" s="758" t="str">
        <f>IF(OR((B192="~"),(C200="~")),"~","")</f>
        <v/>
      </c>
    </row>
    <row r="201" spans="2:22">
      <c r="B201" s="760" t="str">
        <f>[7]INPUTS!$F$14</f>
        <v>~</v>
      </c>
      <c r="E201" s="765"/>
      <c r="F201" s="765"/>
      <c r="G201" s="765"/>
      <c r="H201" s="765"/>
      <c r="I201" s="765"/>
      <c r="J201" s="765"/>
      <c r="K201" s="765"/>
      <c r="L201" s="765"/>
      <c r="M201" s="765"/>
      <c r="N201" s="765"/>
      <c r="O201" s="765"/>
      <c r="P201" s="765"/>
      <c r="Q201" s="765"/>
      <c r="R201" s="765"/>
      <c r="S201" s="765"/>
      <c r="T201" s="765"/>
    </row>
    <row r="202" spans="2:22">
      <c r="B202" s="758" t="str">
        <f>IF(OR((B201="~"),(C202="~")),"~","")</f>
        <v>~</v>
      </c>
      <c r="C202" s="758" t="str">
        <f>IF(B201="~","~",[7]INPUTS!$C$42)</f>
        <v>~</v>
      </c>
      <c r="E202" s="762">
        <f>'[7]REV REQ'!D553</f>
        <v>0</v>
      </c>
      <c r="F202" s="765"/>
      <c r="G202" s="762">
        <f>'[7]REV REQ'!F553</f>
        <v>0</v>
      </c>
      <c r="H202" s="762">
        <f>'[7]REV REQ'!G553</f>
        <v>0</v>
      </c>
      <c r="I202" s="762">
        <f>'[7]REV REQ'!H553</f>
        <v>0</v>
      </c>
      <c r="J202" s="762">
        <f>'[7]REV REQ'!I553</f>
        <v>0</v>
      </c>
      <c r="K202" s="762">
        <f>'[7]REV REQ'!J553</f>
        <v>0</v>
      </c>
      <c r="L202" s="762">
        <f>'[7]REV REQ'!K553</f>
        <v>0</v>
      </c>
      <c r="M202" s="762">
        <f>'[7]REV REQ'!L553</f>
        <v>0</v>
      </c>
      <c r="N202" s="762">
        <f>'[7]REV REQ'!M553</f>
        <v>0</v>
      </c>
      <c r="O202" s="762">
        <f>'[7]REV REQ'!N553</f>
        <v>0</v>
      </c>
      <c r="P202" s="762">
        <f>'[7]REV REQ'!O553</f>
        <v>0</v>
      </c>
      <c r="Q202" s="762">
        <f>'[7]REV REQ'!P553</f>
        <v>0</v>
      </c>
      <c r="R202" s="762">
        <f>'[7]REV REQ'!Q553</f>
        <v>0</v>
      </c>
      <c r="S202" s="762">
        <f>'[7]REV REQ'!R553</f>
        <v>0</v>
      </c>
      <c r="T202" s="762"/>
    </row>
    <row r="203" spans="2:22">
      <c r="B203" s="758" t="str">
        <f>IF(OR((B201="~"),(C203="~")),"~","")</f>
        <v>~</v>
      </c>
      <c r="C203" s="758" t="str">
        <f>IF(B201="~","~",[7]INPUTS!$C$43)</f>
        <v>~</v>
      </c>
      <c r="E203" s="762">
        <f>'[7]REV REQ'!D554</f>
        <v>0</v>
      </c>
      <c r="F203" s="765"/>
      <c r="G203" s="762">
        <f>'[7]REV REQ'!F554</f>
        <v>0</v>
      </c>
      <c r="H203" s="762">
        <f>'[7]REV REQ'!G554</f>
        <v>0</v>
      </c>
      <c r="I203" s="762">
        <f>'[7]REV REQ'!H554</f>
        <v>0</v>
      </c>
      <c r="J203" s="762">
        <f>'[7]REV REQ'!I554</f>
        <v>0</v>
      </c>
      <c r="K203" s="762">
        <f>'[7]REV REQ'!J554</f>
        <v>0</v>
      </c>
      <c r="L203" s="762">
        <f>'[7]REV REQ'!K554</f>
        <v>0</v>
      </c>
      <c r="M203" s="762">
        <f>'[7]REV REQ'!L554</f>
        <v>0</v>
      </c>
      <c r="N203" s="762">
        <f>'[7]REV REQ'!M554</f>
        <v>0</v>
      </c>
      <c r="O203" s="762">
        <f>'[7]REV REQ'!N554</f>
        <v>0</v>
      </c>
      <c r="P203" s="762">
        <f>'[7]REV REQ'!O554</f>
        <v>0</v>
      </c>
      <c r="Q203" s="762">
        <f>'[7]REV REQ'!P554</f>
        <v>0</v>
      </c>
      <c r="R203" s="762">
        <f>'[7]REV REQ'!Q554</f>
        <v>0</v>
      </c>
      <c r="S203" s="762">
        <f>'[7]REV REQ'!R554</f>
        <v>0</v>
      </c>
      <c r="T203" s="762"/>
    </row>
    <row r="204" spans="2:22">
      <c r="B204" s="758" t="str">
        <f>IF(OR((B201="~"),(C204="~")),"~","")</f>
        <v>~</v>
      </c>
      <c r="C204" s="758" t="str">
        <f>IF(B201="~","~",[7]INPUTS!$C$44)</f>
        <v>~</v>
      </c>
      <c r="E204" s="762">
        <f>'[7]REV REQ'!D555</f>
        <v>0</v>
      </c>
      <c r="F204" s="765"/>
      <c r="G204" s="762">
        <f>'[7]REV REQ'!F555</f>
        <v>0</v>
      </c>
      <c r="H204" s="762">
        <f>'[7]REV REQ'!G555</f>
        <v>0</v>
      </c>
      <c r="I204" s="762">
        <f>'[7]REV REQ'!H555</f>
        <v>0</v>
      </c>
      <c r="J204" s="762">
        <f>'[7]REV REQ'!I555</f>
        <v>0</v>
      </c>
      <c r="K204" s="762">
        <f>'[7]REV REQ'!J555</f>
        <v>0</v>
      </c>
      <c r="L204" s="762">
        <f>'[7]REV REQ'!K555</f>
        <v>0</v>
      </c>
      <c r="M204" s="762">
        <f>'[7]REV REQ'!L555</f>
        <v>0</v>
      </c>
      <c r="N204" s="762">
        <f>'[7]REV REQ'!M555</f>
        <v>0</v>
      </c>
      <c r="O204" s="762">
        <f>'[7]REV REQ'!N555</f>
        <v>0</v>
      </c>
      <c r="P204" s="762">
        <f>'[7]REV REQ'!O555</f>
        <v>0</v>
      </c>
      <c r="Q204" s="762">
        <f>'[7]REV REQ'!P555</f>
        <v>0</v>
      </c>
      <c r="R204" s="762">
        <f>'[7]REV REQ'!Q555</f>
        <v>0</v>
      </c>
      <c r="S204" s="762">
        <f>'[7]REV REQ'!R555</f>
        <v>0</v>
      </c>
      <c r="T204" s="762"/>
    </row>
    <row r="205" spans="2:22">
      <c r="B205" s="758" t="str">
        <f>IF(OR((B201="~"),(C205="~")),"~","")</f>
        <v>~</v>
      </c>
      <c r="C205" s="758" t="str">
        <f>IF(B201="~","~",[7]INPUTS!$C$45)</f>
        <v>~</v>
      </c>
      <c r="E205" s="762">
        <f>'[7]REV REQ'!D556</f>
        <v>0</v>
      </c>
      <c r="F205" s="765"/>
      <c r="G205" s="762">
        <f>'[7]REV REQ'!F556</f>
        <v>0</v>
      </c>
      <c r="H205" s="762">
        <f>'[7]REV REQ'!G556</f>
        <v>0</v>
      </c>
      <c r="I205" s="762">
        <f>'[7]REV REQ'!H556</f>
        <v>0</v>
      </c>
      <c r="J205" s="762">
        <f>'[7]REV REQ'!I556</f>
        <v>0</v>
      </c>
      <c r="K205" s="762">
        <f>'[7]REV REQ'!J556</f>
        <v>0</v>
      </c>
      <c r="L205" s="762">
        <f>'[7]REV REQ'!K556</f>
        <v>0</v>
      </c>
      <c r="M205" s="762">
        <f>'[7]REV REQ'!L556</f>
        <v>0</v>
      </c>
      <c r="N205" s="762">
        <f>'[7]REV REQ'!M556</f>
        <v>0</v>
      </c>
      <c r="O205" s="762">
        <f>'[7]REV REQ'!N556</f>
        <v>0</v>
      </c>
      <c r="P205" s="762">
        <f>'[7]REV REQ'!O556</f>
        <v>0</v>
      </c>
      <c r="Q205" s="762">
        <f>'[7]REV REQ'!P556</f>
        <v>0</v>
      </c>
      <c r="R205" s="762">
        <f>'[7]REV REQ'!Q556</f>
        <v>0</v>
      </c>
      <c r="S205" s="762">
        <f>'[7]REV REQ'!R556</f>
        <v>0</v>
      </c>
      <c r="T205" s="762"/>
    </row>
    <row r="206" spans="2:22">
      <c r="B206" s="758" t="str">
        <f>IF(OR((B201="~"),(C206="~")),"~","")</f>
        <v>~</v>
      </c>
      <c r="C206" s="758" t="str">
        <f>IF(B201="~","~",[7]INPUTS!$C$46)</f>
        <v>~</v>
      </c>
      <c r="E206" s="762">
        <f>'[7]REV REQ'!D557</f>
        <v>0</v>
      </c>
      <c r="F206" s="765"/>
      <c r="G206" s="762">
        <f>'[7]REV REQ'!F557</f>
        <v>0</v>
      </c>
      <c r="H206" s="762">
        <f>'[7]REV REQ'!G557</f>
        <v>0</v>
      </c>
      <c r="I206" s="762">
        <f>'[7]REV REQ'!H557</f>
        <v>0</v>
      </c>
      <c r="J206" s="762">
        <f>'[7]REV REQ'!I557</f>
        <v>0</v>
      </c>
      <c r="K206" s="762">
        <f>'[7]REV REQ'!J557</f>
        <v>0</v>
      </c>
      <c r="L206" s="762">
        <f>'[7]REV REQ'!K557</f>
        <v>0</v>
      </c>
      <c r="M206" s="762">
        <f>'[7]REV REQ'!L557</f>
        <v>0</v>
      </c>
      <c r="N206" s="762">
        <f>'[7]REV REQ'!M557</f>
        <v>0</v>
      </c>
      <c r="O206" s="762">
        <f>'[7]REV REQ'!N557</f>
        <v>0</v>
      </c>
      <c r="P206" s="762">
        <f>'[7]REV REQ'!O557</f>
        <v>0</v>
      </c>
      <c r="Q206" s="762">
        <f>'[7]REV REQ'!P557</f>
        <v>0</v>
      </c>
      <c r="R206" s="762">
        <f>'[7]REV REQ'!Q557</f>
        <v>0</v>
      </c>
      <c r="S206" s="762">
        <f>'[7]REV REQ'!R557</f>
        <v>0</v>
      </c>
      <c r="T206" s="762"/>
    </row>
    <row r="207" spans="2:22">
      <c r="B207" s="758" t="str">
        <f>IF(OR((B201="~"),(C207="~")),"~","")</f>
        <v>~</v>
      </c>
      <c r="C207" s="758" t="str">
        <f>IF(B201="~","~",[7]INPUTS!$C$47)</f>
        <v>~</v>
      </c>
      <c r="E207" s="762">
        <f>'[7]REV REQ'!D558</f>
        <v>0</v>
      </c>
      <c r="F207" s="765"/>
      <c r="G207" s="762">
        <f>'[7]REV REQ'!F558</f>
        <v>0</v>
      </c>
      <c r="H207" s="762">
        <f>'[7]REV REQ'!G558</f>
        <v>0</v>
      </c>
      <c r="I207" s="762">
        <f>'[7]REV REQ'!H558</f>
        <v>0</v>
      </c>
      <c r="J207" s="762">
        <f>'[7]REV REQ'!I558</f>
        <v>0</v>
      </c>
      <c r="K207" s="762">
        <f>'[7]REV REQ'!J558</f>
        <v>0</v>
      </c>
      <c r="L207" s="762">
        <f>'[7]REV REQ'!K558</f>
        <v>0</v>
      </c>
      <c r="M207" s="762">
        <f>'[7]REV REQ'!L558</f>
        <v>0</v>
      </c>
      <c r="N207" s="762">
        <f>'[7]REV REQ'!M558</f>
        <v>0</v>
      </c>
      <c r="O207" s="762">
        <f>'[7]REV REQ'!N558</f>
        <v>0</v>
      </c>
      <c r="P207" s="762">
        <f>'[7]REV REQ'!O558</f>
        <v>0</v>
      </c>
      <c r="Q207" s="762">
        <f>'[7]REV REQ'!P558</f>
        <v>0</v>
      </c>
      <c r="R207" s="762">
        <f>'[7]REV REQ'!Q558</f>
        <v>0</v>
      </c>
      <c r="S207" s="762">
        <f>'[7]REV REQ'!R558</f>
        <v>0</v>
      </c>
      <c r="T207" s="762"/>
    </row>
    <row r="208" spans="2:22" s="760" customFormat="1">
      <c r="B208" s="760" t="str">
        <f>IF(OR((B201="~"),(C208="~")),"~","")</f>
        <v>~</v>
      </c>
      <c r="C208" s="760" t="str">
        <f>IF(B201="~","~","Sub-total")</f>
        <v>~</v>
      </c>
      <c r="E208" s="763">
        <f>SUM(E202:E207)</f>
        <v>0</v>
      </c>
      <c r="F208" s="769"/>
      <c r="G208" s="763">
        <f t="shared" ref="G208:S208" si="46">SUM(G202:G207)</f>
        <v>0</v>
      </c>
      <c r="H208" s="763">
        <f t="shared" si="46"/>
        <v>0</v>
      </c>
      <c r="I208" s="763">
        <f t="shared" si="46"/>
        <v>0</v>
      </c>
      <c r="J208" s="763">
        <f t="shared" si="46"/>
        <v>0</v>
      </c>
      <c r="K208" s="763">
        <f t="shared" si="46"/>
        <v>0</v>
      </c>
      <c r="L208" s="763">
        <f t="shared" si="46"/>
        <v>0</v>
      </c>
      <c r="M208" s="763">
        <f t="shared" si="46"/>
        <v>0</v>
      </c>
      <c r="N208" s="763">
        <f t="shared" si="46"/>
        <v>0</v>
      </c>
      <c r="O208" s="763">
        <f t="shared" si="46"/>
        <v>0</v>
      </c>
      <c r="P208" s="763">
        <f t="shared" si="46"/>
        <v>0</v>
      </c>
      <c r="Q208" s="763">
        <f t="shared" si="46"/>
        <v>0</v>
      </c>
      <c r="R208" s="763">
        <f t="shared" si="46"/>
        <v>0</v>
      </c>
      <c r="S208" s="763">
        <f t="shared" si="46"/>
        <v>0</v>
      </c>
      <c r="T208" s="763"/>
      <c r="U208" s="782"/>
      <c r="V208" s="782"/>
    </row>
    <row r="209" spans="2:22">
      <c r="B209" s="758" t="str">
        <f>IF(OR((B201="~"),(C209="~")),"~","")</f>
        <v>~</v>
      </c>
    </row>
    <row r="210" spans="2:22">
      <c r="B210" s="760" t="str">
        <f>[7]INPUTS!$F$15</f>
        <v>~</v>
      </c>
      <c r="E210" s="765"/>
      <c r="F210" s="765"/>
      <c r="G210" s="765"/>
      <c r="H210" s="765"/>
      <c r="I210" s="765"/>
      <c r="J210" s="765"/>
      <c r="K210" s="765"/>
      <c r="L210" s="765"/>
      <c r="M210" s="765"/>
      <c r="N210" s="765"/>
      <c r="O210" s="765"/>
      <c r="P210" s="765"/>
      <c r="Q210" s="765"/>
      <c r="R210" s="765"/>
      <c r="S210" s="765"/>
      <c r="T210" s="765"/>
    </row>
    <row r="211" spans="2:22">
      <c r="B211" s="758" t="str">
        <f>IF(OR((B210="~"),(C211="~")),"~","")</f>
        <v>~</v>
      </c>
      <c r="C211" s="758" t="str">
        <f>IF(B210="~","~",[7]INPUTS!$C$42)</f>
        <v>~</v>
      </c>
      <c r="E211" s="762">
        <f>'[7]REV REQ'!D562</f>
        <v>0</v>
      </c>
      <c r="F211" s="765"/>
      <c r="G211" s="762">
        <f>'[7]REV REQ'!F562</f>
        <v>0</v>
      </c>
      <c r="H211" s="762">
        <f>'[7]REV REQ'!G562</f>
        <v>0</v>
      </c>
      <c r="I211" s="762">
        <f>'[7]REV REQ'!H562</f>
        <v>0</v>
      </c>
      <c r="J211" s="762">
        <f>'[7]REV REQ'!I562</f>
        <v>0</v>
      </c>
      <c r="K211" s="762">
        <f>'[7]REV REQ'!J562</f>
        <v>0</v>
      </c>
      <c r="L211" s="762">
        <f>'[7]REV REQ'!K562</f>
        <v>0</v>
      </c>
      <c r="M211" s="762">
        <f>'[7]REV REQ'!L562</f>
        <v>0</v>
      </c>
      <c r="N211" s="762">
        <f>'[7]REV REQ'!M562</f>
        <v>0</v>
      </c>
      <c r="O211" s="762">
        <f>'[7]REV REQ'!N562</f>
        <v>0</v>
      </c>
      <c r="P211" s="762">
        <f>'[7]REV REQ'!O562</f>
        <v>0</v>
      </c>
      <c r="Q211" s="762">
        <f>'[7]REV REQ'!P562</f>
        <v>0</v>
      </c>
      <c r="R211" s="762">
        <f>'[7]REV REQ'!Q562</f>
        <v>0</v>
      </c>
      <c r="S211" s="762">
        <f>'[7]REV REQ'!R562</f>
        <v>0</v>
      </c>
      <c r="T211" s="762"/>
    </row>
    <row r="212" spans="2:22">
      <c r="B212" s="758" t="str">
        <f>IF(OR((B210="~"),(C212="~")),"~","")</f>
        <v>~</v>
      </c>
      <c r="C212" s="758" t="str">
        <f>IF(B210="~","~",[7]INPUTS!$C$43)</f>
        <v>~</v>
      </c>
      <c r="E212" s="762">
        <f>'[7]REV REQ'!D563</f>
        <v>0</v>
      </c>
      <c r="F212" s="765"/>
      <c r="G212" s="762">
        <f>'[7]REV REQ'!F563</f>
        <v>0</v>
      </c>
      <c r="H212" s="762">
        <f>'[7]REV REQ'!G563</f>
        <v>0</v>
      </c>
      <c r="I212" s="762">
        <f>'[7]REV REQ'!H563</f>
        <v>0</v>
      </c>
      <c r="J212" s="762">
        <f>'[7]REV REQ'!I563</f>
        <v>0</v>
      </c>
      <c r="K212" s="762">
        <f>'[7]REV REQ'!J563</f>
        <v>0</v>
      </c>
      <c r="L212" s="762">
        <f>'[7]REV REQ'!K563</f>
        <v>0</v>
      </c>
      <c r="M212" s="762">
        <f>'[7]REV REQ'!L563</f>
        <v>0</v>
      </c>
      <c r="N212" s="762">
        <f>'[7]REV REQ'!M563</f>
        <v>0</v>
      </c>
      <c r="O212" s="762">
        <f>'[7]REV REQ'!N563</f>
        <v>0</v>
      </c>
      <c r="P212" s="762">
        <f>'[7]REV REQ'!O563</f>
        <v>0</v>
      </c>
      <c r="Q212" s="762">
        <f>'[7]REV REQ'!P563</f>
        <v>0</v>
      </c>
      <c r="R212" s="762">
        <f>'[7]REV REQ'!Q563</f>
        <v>0</v>
      </c>
      <c r="S212" s="762">
        <f>'[7]REV REQ'!R563</f>
        <v>0</v>
      </c>
      <c r="T212" s="762"/>
    </row>
    <row r="213" spans="2:22">
      <c r="B213" s="758" t="str">
        <f>IF(OR((B210="~"),(C213="~")),"~","")</f>
        <v>~</v>
      </c>
      <c r="C213" s="758" t="str">
        <f>IF(B210="~","~",[7]INPUTS!$C$44)</f>
        <v>~</v>
      </c>
      <c r="E213" s="762">
        <f>'[7]REV REQ'!D564</f>
        <v>0</v>
      </c>
      <c r="F213" s="765"/>
      <c r="G213" s="762">
        <f>'[7]REV REQ'!F564</f>
        <v>0</v>
      </c>
      <c r="H213" s="762">
        <f>'[7]REV REQ'!G564</f>
        <v>0</v>
      </c>
      <c r="I213" s="762">
        <f>'[7]REV REQ'!H564</f>
        <v>0</v>
      </c>
      <c r="J213" s="762">
        <f>'[7]REV REQ'!I564</f>
        <v>0</v>
      </c>
      <c r="K213" s="762">
        <f>'[7]REV REQ'!J564</f>
        <v>0</v>
      </c>
      <c r="L213" s="762">
        <f>'[7]REV REQ'!K564</f>
        <v>0</v>
      </c>
      <c r="M213" s="762">
        <f>'[7]REV REQ'!L564</f>
        <v>0</v>
      </c>
      <c r="N213" s="762">
        <f>'[7]REV REQ'!M564</f>
        <v>0</v>
      </c>
      <c r="O213" s="762">
        <f>'[7]REV REQ'!N564</f>
        <v>0</v>
      </c>
      <c r="P213" s="762">
        <f>'[7]REV REQ'!O564</f>
        <v>0</v>
      </c>
      <c r="Q213" s="762">
        <f>'[7]REV REQ'!P564</f>
        <v>0</v>
      </c>
      <c r="R213" s="762">
        <f>'[7]REV REQ'!Q564</f>
        <v>0</v>
      </c>
      <c r="S213" s="762">
        <f>'[7]REV REQ'!R564</f>
        <v>0</v>
      </c>
      <c r="T213" s="762"/>
    </row>
    <row r="214" spans="2:22">
      <c r="B214" s="758" t="str">
        <f>IF(OR((B210="~"),(C214="~")),"~","")</f>
        <v>~</v>
      </c>
      <c r="C214" s="758" t="str">
        <f>IF(B210="~","~",[7]INPUTS!$C$45)</f>
        <v>~</v>
      </c>
      <c r="E214" s="762">
        <f>'[7]REV REQ'!D565</f>
        <v>0</v>
      </c>
      <c r="F214" s="765"/>
      <c r="G214" s="762">
        <f>'[7]REV REQ'!F565</f>
        <v>0</v>
      </c>
      <c r="H214" s="762">
        <f>'[7]REV REQ'!G565</f>
        <v>0</v>
      </c>
      <c r="I214" s="762">
        <f>'[7]REV REQ'!H565</f>
        <v>0</v>
      </c>
      <c r="J214" s="762">
        <f>'[7]REV REQ'!I565</f>
        <v>0</v>
      </c>
      <c r="K214" s="762">
        <f>'[7]REV REQ'!J565</f>
        <v>0</v>
      </c>
      <c r="L214" s="762">
        <f>'[7]REV REQ'!K565</f>
        <v>0</v>
      </c>
      <c r="M214" s="762">
        <f>'[7]REV REQ'!L565</f>
        <v>0</v>
      </c>
      <c r="N214" s="762">
        <f>'[7]REV REQ'!M565</f>
        <v>0</v>
      </c>
      <c r="O214" s="762">
        <f>'[7]REV REQ'!N565</f>
        <v>0</v>
      </c>
      <c r="P214" s="762">
        <f>'[7]REV REQ'!O565</f>
        <v>0</v>
      </c>
      <c r="Q214" s="762">
        <f>'[7]REV REQ'!P565</f>
        <v>0</v>
      </c>
      <c r="R214" s="762">
        <f>'[7]REV REQ'!Q565</f>
        <v>0</v>
      </c>
      <c r="S214" s="762">
        <f>'[7]REV REQ'!R565</f>
        <v>0</v>
      </c>
      <c r="T214" s="762"/>
    </row>
    <row r="215" spans="2:22">
      <c r="B215" s="758" t="str">
        <f>IF(OR((B210="~"),(C215="~")),"~","")</f>
        <v>~</v>
      </c>
      <c r="C215" s="758" t="str">
        <f>IF(B210="~","~",[7]INPUTS!$C$46)</f>
        <v>~</v>
      </c>
      <c r="E215" s="762">
        <f>'[7]REV REQ'!D566</f>
        <v>0</v>
      </c>
      <c r="F215" s="765"/>
      <c r="G215" s="762">
        <f>'[7]REV REQ'!F566</f>
        <v>0</v>
      </c>
      <c r="H215" s="762">
        <f>'[7]REV REQ'!G566</f>
        <v>0</v>
      </c>
      <c r="I215" s="762">
        <f>'[7]REV REQ'!H566</f>
        <v>0</v>
      </c>
      <c r="J215" s="762">
        <f>'[7]REV REQ'!I566</f>
        <v>0</v>
      </c>
      <c r="K215" s="762">
        <f>'[7]REV REQ'!J566</f>
        <v>0</v>
      </c>
      <c r="L215" s="762">
        <f>'[7]REV REQ'!K566</f>
        <v>0</v>
      </c>
      <c r="M215" s="762">
        <f>'[7]REV REQ'!L566</f>
        <v>0</v>
      </c>
      <c r="N215" s="762">
        <f>'[7]REV REQ'!M566</f>
        <v>0</v>
      </c>
      <c r="O215" s="762">
        <f>'[7]REV REQ'!N566</f>
        <v>0</v>
      </c>
      <c r="P215" s="762">
        <f>'[7]REV REQ'!O566</f>
        <v>0</v>
      </c>
      <c r="Q215" s="762">
        <f>'[7]REV REQ'!P566</f>
        <v>0</v>
      </c>
      <c r="R215" s="762">
        <f>'[7]REV REQ'!Q566</f>
        <v>0</v>
      </c>
      <c r="S215" s="762">
        <f>'[7]REV REQ'!R566</f>
        <v>0</v>
      </c>
      <c r="T215" s="762"/>
    </row>
    <row r="216" spans="2:22">
      <c r="B216" s="758" t="str">
        <f>IF(OR((B210="~"),(C216="~")),"~","")</f>
        <v>~</v>
      </c>
      <c r="C216" s="758" t="str">
        <f>IF(B210="~","~",[7]INPUTS!$C$47)</f>
        <v>~</v>
      </c>
      <c r="E216" s="762">
        <f>'[7]REV REQ'!D567</f>
        <v>0</v>
      </c>
      <c r="F216" s="765"/>
      <c r="G216" s="762">
        <f>'[7]REV REQ'!F567</f>
        <v>0</v>
      </c>
      <c r="H216" s="762">
        <f>'[7]REV REQ'!G567</f>
        <v>0</v>
      </c>
      <c r="I216" s="762">
        <f>'[7]REV REQ'!H567</f>
        <v>0</v>
      </c>
      <c r="J216" s="762">
        <f>'[7]REV REQ'!I567</f>
        <v>0</v>
      </c>
      <c r="K216" s="762">
        <f>'[7]REV REQ'!J567</f>
        <v>0</v>
      </c>
      <c r="L216" s="762">
        <f>'[7]REV REQ'!K567</f>
        <v>0</v>
      </c>
      <c r="M216" s="762">
        <f>'[7]REV REQ'!L567</f>
        <v>0</v>
      </c>
      <c r="N216" s="762">
        <f>'[7]REV REQ'!M567</f>
        <v>0</v>
      </c>
      <c r="O216" s="762">
        <f>'[7]REV REQ'!N567</f>
        <v>0</v>
      </c>
      <c r="P216" s="762">
        <f>'[7]REV REQ'!O567</f>
        <v>0</v>
      </c>
      <c r="Q216" s="762">
        <f>'[7]REV REQ'!P567</f>
        <v>0</v>
      </c>
      <c r="R216" s="762">
        <f>'[7]REV REQ'!Q567</f>
        <v>0</v>
      </c>
      <c r="S216" s="762">
        <f>'[7]REV REQ'!R567</f>
        <v>0</v>
      </c>
      <c r="T216" s="762"/>
    </row>
    <row r="217" spans="2:22" s="760" customFormat="1">
      <c r="B217" s="760" t="str">
        <f>IF(OR((B210="~"),(C217="~")),"~","")</f>
        <v>~</v>
      </c>
      <c r="C217" s="760" t="str">
        <f>IF(B210="~","~","Sub-total")</f>
        <v>~</v>
      </c>
      <c r="E217" s="763">
        <f>SUM(E211:E216)</f>
        <v>0</v>
      </c>
      <c r="F217" s="769"/>
      <c r="G217" s="763">
        <f t="shared" ref="G217:S217" si="47">SUM(G211:G216)</f>
        <v>0</v>
      </c>
      <c r="H217" s="763">
        <f t="shared" si="47"/>
        <v>0</v>
      </c>
      <c r="I217" s="763">
        <f t="shared" si="47"/>
        <v>0</v>
      </c>
      <c r="J217" s="763">
        <f t="shared" si="47"/>
        <v>0</v>
      </c>
      <c r="K217" s="763">
        <f t="shared" si="47"/>
        <v>0</v>
      </c>
      <c r="L217" s="763">
        <f t="shared" si="47"/>
        <v>0</v>
      </c>
      <c r="M217" s="763">
        <f t="shared" si="47"/>
        <v>0</v>
      </c>
      <c r="N217" s="763">
        <f t="shared" si="47"/>
        <v>0</v>
      </c>
      <c r="O217" s="763">
        <f t="shared" si="47"/>
        <v>0</v>
      </c>
      <c r="P217" s="763">
        <f t="shared" si="47"/>
        <v>0</v>
      </c>
      <c r="Q217" s="763">
        <f t="shared" si="47"/>
        <v>0</v>
      </c>
      <c r="R217" s="763">
        <f t="shared" si="47"/>
        <v>0</v>
      </c>
      <c r="S217" s="763">
        <f t="shared" si="47"/>
        <v>0</v>
      </c>
      <c r="T217" s="763"/>
      <c r="U217" s="782"/>
      <c r="V217" s="782"/>
    </row>
    <row r="218" spans="2:22">
      <c r="B218" s="758" t="str">
        <f>IF(OR((B210="~"),(C218="~")),"~","")</f>
        <v>~</v>
      </c>
    </row>
    <row r="219" spans="2:22">
      <c r="B219" s="760" t="str">
        <f>[7]INPUTS!$F$16</f>
        <v>~</v>
      </c>
      <c r="E219" s="765"/>
      <c r="F219" s="765"/>
      <c r="G219" s="765"/>
      <c r="H219" s="765"/>
      <c r="I219" s="765"/>
      <c r="J219" s="765"/>
      <c r="K219" s="765"/>
      <c r="L219" s="765"/>
      <c r="M219" s="765"/>
      <c r="N219" s="765"/>
      <c r="O219" s="765"/>
      <c r="P219" s="765"/>
      <c r="Q219" s="765"/>
      <c r="R219" s="765"/>
      <c r="S219" s="765"/>
      <c r="T219" s="765"/>
    </row>
    <row r="220" spans="2:22">
      <c r="B220" s="758" t="str">
        <f>IF(OR((B219="~"),(C220="~")),"~","")</f>
        <v>~</v>
      </c>
      <c r="C220" s="758" t="str">
        <f>IF(B219="~","~",[7]INPUTS!$C$42)</f>
        <v>~</v>
      </c>
      <c r="E220" s="762">
        <f>'[7]REV REQ'!D571</f>
        <v>0</v>
      </c>
      <c r="F220" s="765"/>
      <c r="G220" s="762">
        <f>'[7]REV REQ'!F571</f>
        <v>0</v>
      </c>
      <c r="H220" s="762">
        <f>'[7]REV REQ'!G571</f>
        <v>0</v>
      </c>
      <c r="I220" s="762">
        <f>'[7]REV REQ'!H571</f>
        <v>0</v>
      </c>
      <c r="J220" s="762">
        <f>'[7]REV REQ'!I571</f>
        <v>0</v>
      </c>
      <c r="K220" s="762">
        <f>'[7]REV REQ'!J571</f>
        <v>0</v>
      </c>
      <c r="L220" s="762">
        <f>'[7]REV REQ'!K571</f>
        <v>0</v>
      </c>
      <c r="M220" s="762">
        <f>'[7]REV REQ'!L571</f>
        <v>0</v>
      </c>
      <c r="N220" s="762">
        <f>'[7]REV REQ'!M571</f>
        <v>0</v>
      </c>
      <c r="O220" s="762">
        <f>'[7]REV REQ'!N571</f>
        <v>0</v>
      </c>
      <c r="P220" s="762">
        <f>'[7]REV REQ'!O571</f>
        <v>0</v>
      </c>
      <c r="Q220" s="762">
        <f>'[7]REV REQ'!P571</f>
        <v>0</v>
      </c>
      <c r="R220" s="762">
        <f>'[7]REV REQ'!Q571</f>
        <v>0</v>
      </c>
      <c r="S220" s="762">
        <f>'[7]REV REQ'!R571</f>
        <v>0</v>
      </c>
      <c r="T220" s="762"/>
    </row>
    <row r="221" spans="2:22">
      <c r="B221" s="758" t="str">
        <f>IF(OR((B219="~"),(C221="~")),"~","")</f>
        <v>~</v>
      </c>
      <c r="C221" s="758" t="str">
        <f>IF(B219="~","~",[7]INPUTS!$C$43)</f>
        <v>~</v>
      </c>
      <c r="E221" s="762">
        <f>'[7]REV REQ'!D572</f>
        <v>0</v>
      </c>
      <c r="F221" s="765"/>
      <c r="G221" s="762">
        <f>'[7]REV REQ'!F572</f>
        <v>0</v>
      </c>
      <c r="H221" s="762">
        <f>'[7]REV REQ'!G572</f>
        <v>0</v>
      </c>
      <c r="I221" s="762">
        <f>'[7]REV REQ'!H572</f>
        <v>0</v>
      </c>
      <c r="J221" s="762">
        <f>'[7]REV REQ'!I572</f>
        <v>0</v>
      </c>
      <c r="K221" s="762">
        <f>'[7]REV REQ'!J572</f>
        <v>0</v>
      </c>
      <c r="L221" s="762">
        <f>'[7]REV REQ'!K572</f>
        <v>0</v>
      </c>
      <c r="M221" s="762">
        <f>'[7]REV REQ'!L572</f>
        <v>0</v>
      </c>
      <c r="N221" s="762">
        <f>'[7]REV REQ'!M572</f>
        <v>0</v>
      </c>
      <c r="O221" s="762">
        <f>'[7]REV REQ'!N572</f>
        <v>0</v>
      </c>
      <c r="P221" s="762">
        <f>'[7]REV REQ'!O572</f>
        <v>0</v>
      </c>
      <c r="Q221" s="762">
        <f>'[7]REV REQ'!P572</f>
        <v>0</v>
      </c>
      <c r="R221" s="762">
        <f>'[7]REV REQ'!Q572</f>
        <v>0</v>
      </c>
      <c r="S221" s="762">
        <f>'[7]REV REQ'!R572</f>
        <v>0</v>
      </c>
      <c r="T221" s="762"/>
    </row>
    <row r="222" spans="2:22">
      <c r="B222" s="758" t="str">
        <f>IF(OR((B219="~"),(C222="~")),"~","")</f>
        <v>~</v>
      </c>
      <c r="C222" s="758" t="str">
        <f>IF(B219="~","~",[7]INPUTS!$C$44)</f>
        <v>~</v>
      </c>
      <c r="E222" s="762">
        <f>'[7]REV REQ'!D573</f>
        <v>0</v>
      </c>
      <c r="F222" s="765"/>
      <c r="G222" s="762">
        <f>'[7]REV REQ'!F573</f>
        <v>0</v>
      </c>
      <c r="H222" s="762">
        <f>'[7]REV REQ'!G573</f>
        <v>0</v>
      </c>
      <c r="I222" s="762">
        <f>'[7]REV REQ'!H573</f>
        <v>0</v>
      </c>
      <c r="J222" s="762">
        <f>'[7]REV REQ'!I573</f>
        <v>0</v>
      </c>
      <c r="K222" s="762">
        <f>'[7]REV REQ'!J573</f>
        <v>0</v>
      </c>
      <c r="L222" s="762">
        <f>'[7]REV REQ'!K573</f>
        <v>0</v>
      </c>
      <c r="M222" s="762">
        <f>'[7]REV REQ'!L573</f>
        <v>0</v>
      </c>
      <c r="N222" s="762">
        <f>'[7]REV REQ'!M573</f>
        <v>0</v>
      </c>
      <c r="O222" s="762">
        <f>'[7]REV REQ'!N573</f>
        <v>0</v>
      </c>
      <c r="P222" s="762">
        <f>'[7]REV REQ'!O573</f>
        <v>0</v>
      </c>
      <c r="Q222" s="762">
        <f>'[7]REV REQ'!P573</f>
        <v>0</v>
      </c>
      <c r="R222" s="762">
        <f>'[7]REV REQ'!Q573</f>
        <v>0</v>
      </c>
      <c r="S222" s="762">
        <f>'[7]REV REQ'!R573</f>
        <v>0</v>
      </c>
      <c r="T222" s="762"/>
    </row>
    <row r="223" spans="2:22">
      <c r="B223" s="758" t="str">
        <f>IF(OR((B219="~"),(C223="~")),"~","")</f>
        <v>~</v>
      </c>
      <c r="C223" s="758" t="str">
        <f>IF(B219="~","~",[7]INPUTS!$C$45)</f>
        <v>~</v>
      </c>
      <c r="E223" s="762">
        <f>'[7]REV REQ'!D574</f>
        <v>0</v>
      </c>
      <c r="F223" s="765"/>
      <c r="G223" s="762">
        <f>'[7]REV REQ'!F574</f>
        <v>0</v>
      </c>
      <c r="H223" s="762">
        <f>'[7]REV REQ'!G574</f>
        <v>0</v>
      </c>
      <c r="I223" s="762">
        <f>'[7]REV REQ'!H574</f>
        <v>0</v>
      </c>
      <c r="J223" s="762">
        <f>'[7]REV REQ'!I574</f>
        <v>0</v>
      </c>
      <c r="K223" s="762">
        <f>'[7]REV REQ'!J574</f>
        <v>0</v>
      </c>
      <c r="L223" s="762">
        <f>'[7]REV REQ'!K574</f>
        <v>0</v>
      </c>
      <c r="M223" s="762">
        <f>'[7]REV REQ'!L574</f>
        <v>0</v>
      </c>
      <c r="N223" s="762">
        <f>'[7]REV REQ'!M574</f>
        <v>0</v>
      </c>
      <c r="O223" s="762">
        <f>'[7]REV REQ'!N574</f>
        <v>0</v>
      </c>
      <c r="P223" s="762">
        <f>'[7]REV REQ'!O574</f>
        <v>0</v>
      </c>
      <c r="Q223" s="762">
        <f>'[7]REV REQ'!P574</f>
        <v>0</v>
      </c>
      <c r="R223" s="762">
        <f>'[7]REV REQ'!Q574</f>
        <v>0</v>
      </c>
      <c r="S223" s="762">
        <f>'[7]REV REQ'!R574</f>
        <v>0</v>
      </c>
      <c r="T223" s="762"/>
    </row>
    <row r="224" spans="2:22">
      <c r="B224" s="758" t="str">
        <f>IF(OR((B219="~"),(C224="~")),"~","")</f>
        <v>~</v>
      </c>
      <c r="C224" s="758" t="str">
        <f>IF(B219="~","~",[7]INPUTS!$C$46)</f>
        <v>~</v>
      </c>
      <c r="E224" s="762">
        <f>'[7]REV REQ'!D575</f>
        <v>0</v>
      </c>
      <c r="F224" s="765"/>
      <c r="G224" s="762">
        <f>'[7]REV REQ'!F575</f>
        <v>0</v>
      </c>
      <c r="H224" s="762">
        <f>'[7]REV REQ'!G575</f>
        <v>0</v>
      </c>
      <c r="I224" s="762">
        <f>'[7]REV REQ'!H575</f>
        <v>0</v>
      </c>
      <c r="J224" s="762">
        <f>'[7]REV REQ'!I575</f>
        <v>0</v>
      </c>
      <c r="K224" s="762">
        <f>'[7]REV REQ'!J575</f>
        <v>0</v>
      </c>
      <c r="L224" s="762">
        <f>'[7]REV REQ'!K575</f>
        <v>0</v>
      </c>
      <c r="M224" s="762">
        <f>'[7]REV REQ'!L575</f>
        <v>0</v>
      </c>
      <c r="N224" s="762">
        <f>'[7]REV REQ'!M575</f>
        <v>0</v>
      </c>
      <c r="O224" s="762">
        <f>'[7]REV REQ'!N575</f>
        <v>0</v>
      </c>
      <c r="P224" s="762">
        <f>'[7]REV REQ'!O575</f>
        <v>0</v>
      </c>
      <c r="Q224" s="762">
        <f>'[7]REV REQ'!P575</f>
        <v>0</v>
      </c>
      <c r="R224" s="762">
        <f>'[7]REV REQ'!Q575</f>
        <v>0</v>
      </c>
      <c r="S224" s="762">
        <f>'[7]REV REQ'!R575</f>
        <v>0</v>
      </c>
      <c r="T224" s="762"/>
    </row>
    <row r="225" spans="2:22">
      <c r="B225" s="758" t="str">
        <f>IF(OR((B219="~"),(C225="~")),"~","")</f>
        <v>~</v>
      </c>
      <c r="C225" s="758" t="str">
        <f>IF(B219="~","~",[7]INPUTS!$C$47)</f>
        <v>~</v>
      </c>
      <c r="E225" s="762">
        <f>'[7]REV REQ'!D576</f>
        <v>0</v>
      </c>
      <c r="F225" s="765"/>
      <c r="G225" s="762">
        <f>'[7]REV REQ'!F576</f>
        <v>0</v>
      </c>
      <c r="H225" s="762">
        <f>'[7]REV REQ'!G576</f>
        <v>0</v>
      </c>
      <c r="I225" s="762">
        <f>'[7]REV REQ'!H576</f>
        <v>0</v>
      </c>
      <c r="J225" s="762">
        <f>'[7]REV REQ'!I576</f>
        <v>0</v>
      </c>
      <c r="K225" s="762">
        <f>'[7]REV REQ'!J576</f>
        <v>0</v>
      </c>
      <c r="L225" s="762">
        <f>'[7]REV REQ'!K576</f>
        <v>0</v>
      </c>
      <c r="M225" s="762">
        <f>'[7]REV REQ'!L576</f>
        <v>0</v>
      </c>
      <c r="N225" s="762">
        <f>'[7]REV REQ'!M576</f>
        <v>0</v>
      </c>
      <c r="O225" s="762">
        <f>'[7]REV REQ'!N576</f>
        <v>0</v>
      </c>
      <c r="P225" s="762">
        <f>'[7]REV REQ'!O576</f>
        <v>0</v>
      </c>
      <c r="Q225" s="762">
        <f>'[7]REV REQ'!P576</f>
        <v>0</v>
      </c>
      <c r="R225" s="762">
        <f>'[7]REV REQ'!Q576</f>
        <v>0</v>
      </c>
      <c r="S225" s="762">
        <f>'[7]REV REQ'!R576</f>
        <v>0</v>
      </c>
      <c r="T225" s="762"/>
    </row>
    <row r="226" spans="2:22" s="760" customFormat="1">
      <c r="B226" s="760" t="str">
        <f>IF(OR((B219="~"),(C226="~")),"~","")</f>
        <v>~</v>
      </c>
      <c r="C226" s="760" t="str">
        <f>IF(B219="~","~","Sub-total")</f>
        <v>~</v>
      </c>
      <c r="E226" s="763">
        <f>SUM(E220:E225)</f>
        <v>0</v>
      </c>
      <c r="F226" s="769"/>
      <c r="G226" s="763">
        <f t="shared" ref="G226:S226" si="48">SUM(G220:G225)</f>
        <v>0</v>
      </c>
      <c r="H226" s="763">
        <f t="shared" si="48"/>
        <v>0</v>
      </c>
      <c r="I226" s="763">
        <f t="shared" si="48"/>
        <v>0</v>
      </c>
      <c r="J226" s="763">
        <f t="shared" si="48"/>
        <v>0</v>
      </c>
      <c r="K226" s="763">
        <f t="shared" si="48"/>
        <v>0</v>
      </c>
      <c r="L226" s="763">
        <f t="shared" si="48"/>
        <v>0</v>
      </c>
      <c r="M226" s="763">
        <f t="shared" si="48"/>
        <v>0</v>
      </c>
      <c r="N226" s="763">
        <f t="shared" si="48"/>
        <v>0</v>
      </c>
      <c r="O226" s="763">
        <f t="shared" si="48"/>
        <v>0</v>
      </c>
      <c r="P226" s="763">
        <f t="shared" si="48"/>
        <v>0</v>
      </c>
      <c r="Q226" s="763">
        <f t="shared" si="48"/>
        <v>0</v>
      </c>
      <c r="R226" s="763">
        <f t="shared" si="48"/>
        <v>0</v>
      </c>
      <c r="S226" s="763">
        <f t="shared" si="48"/>
        <v>0</v>
      </c>
      <c r="T226" s="763"/>
      <c r="U226" s="782"/>
      <c r="V226" s="782"/>
    </row>
    <row r="227" spans="2:22">
      <c r="B227" s="758" t="str">
        <f>IF(OR((B219="~"),(C227="~")),"~","")</f>
        <v>~</v>
      </c>
    </row>
    <row r="228" spans="2:22">
      <c r="B228" s="760" t="str">
        <f>[7]INPUTS!$F$17</f>
        <v>~</v>
      </c>
      <c r="E228" s="765"/>
      <c r="F228" s="765"/>
      <c r="G228" s="765"/>
      <c r="H228" s="765"/>
      <c r="I228" s="765"/>
      <c r="J228" s="765"/>
      <c r="K228" s="765"/>
      <c r="L228" s="765"/>
      <c r="M228" s="765"/>
      <c r="N228" s="765"/>
      <c r="O228" s="765"/>
      <c r="P228" s="765"/>
      <c r="Q228" s="765"/>
      <c r="R228" s="765"/>
      <c r="S228" s="765"/>
      <c r="T228" s="765"/>
    </row>
    <row r="229" spans="2:22">
      <c r="B229" s="758" t="str">
        <f>IF(OR((B228="~"),(C229="~")),"~","")</f>
        <v>~</v>
      </c>
      <c r="C229" s="758" t="str">
        <f>IF(B228="~","~",[7]INPUTS!$C$42)</f>
        <v>~</v>
      </c>
      <c r="E229" s="762">
        <f>'[7]REV REQ'!D580</f>
        <v>0</v>
      </c>
      <c r="F229" s="765"/>
      <c r="G229" s="762">
        <f>'[7]REV REQ'!F580</f>
        <v>0</v>
      </c>
      <c r="H229" s="762">
        <f>'[7]REV REQ'!G580</f>
        <v>0</v>
      </c>
      <c r="I229" s="762">
        <f>'[7]REV REQ'!H580</f>
        <v>0</v>
      </c>
      <c r="J229" s="762">
        <f>'[7]REV REQ'!I580</f>
        <v>0</v>
      </c>
      <c r="K229" s="762">
        <f>'[7]REV REQ'!J580</f>
        <v>0</v>
      </c>
      <c r="L229" s="762">
        <f>'[7]REV REQ'!K580</f>
        <v>0</v>
      </c>
      <c r="M229" s="762">
        <f>'[7]REV REQ'!L580</f>
        <v>0</v>
      </c>
      <c r="N229" s="762">
        <f>'[7]REV REQ'!M580</f>
        <v>0</v>
      </c>
      <c r="O229" s="762">
        <f>'[7]REV REQ'!N580</f>
        <v>0</v>
      </c>
      <c r="P229" s="762">
        <f>'[7]REV REQ'!O580</f>
        <v>0</v>
      </c>
      <c r="Q229" s="762">
        <f>'[7]REV REQ'!P580</f>
        <v>0</v>
      </c>
      <c r="R229" s="762">
        <f>'[7]REV REQ'!Q580</f>
        <v>0</v>
      </c>
      <c r="S229" s="762">
        <f>'[7]REV REQ'!R580</f>
        <v>0</v>
      </c>
      <c r="T229" s="762"/>
    </row>
    <row r="230" spans="2:22">
      <c r="B230" s="758" t="str">
        <f>IF(OR((B228="~"),(C230="~")),"~","")</f>
        <v>~</v>
      </c>
      <c r="C230" s="758" t="str">
        <f>IF(B228="~","~",[7]INPUTS!$C$43)</f>
        <v>~</v>
      </c>
      <c r="E230" s="762">
        <f>'[7]REV REQ'!D581</f>
        <v>0</v>
      </c>
      <c r="F230" s="765"/>
      <c r="G230" s="762">
        <f>'[7]REV REQ'!F581</f>
        <v>0</v>
      </c>
      <c r="H230" s="762">
        <f>'[7]REV REQ'!G581</f>
        <v>0</v>
      </c>
      <c r="I230" s="762">
        <f>'[7]REV REQ'!H581</f>
        <v>0</v>
      </c>
      <c r="J230" s="762">
        <f>'[7]REV REQ'!I581</f>
        <v>0</v>
      </c>
      <c r="K230" s="762">
        <f>'[7]REV REQ'!J581</f>
        <v>0</v>
      </c>
      <c r="L230" s="762">
        <f>'[7]REV REQ'!K581</f>
        <v>0</v>
      </c>
      <c r="M230" s="762">
        <f>'[7]REV REQ'!L581</f>
        <v>0</v>
      </c>
      <c r="N230" s="762">
        <f>'[7]REV REQ'!M581</f>
        <v>0</v>
      </c>
      <c r="O230" s="762">
        <f>'[7]REV REQ'!N581</f>
        <v>0</v>
      </c>
      <c r="P230" s="762">
        <f>'[7]REV REQ'!O581</f>
        <v>0</v>
      </c>
      <c r="Q230" s="762">
        <f>'[7]REV REQ'!P581</f>
        <v>0</v>
      </c>
      <c r="R230" s="762">
        <f>'[7]REV REQ'!Q581</f>
        <v>0</v>
      </c>
      <c r="S230" s="762">
        <f>'[7]REV REQ'!R581</f>
        <v>0</v>
      </c>
      <c r="T230" s="762"/>
    </row>
    <row r="231" spans="2:22">
      <c r="B231" s="758" t="str">
        <f>IF(OR((B228="~"),(C231="~")),"~","")</f>
        <v>~</v>
      </c>
      <c r="C231" s="758" t="str">
        <f>IF(B228="~","~",[7]INPUTS!$C$44)</f>
        <v>~</v>
      </c>
      <c r="E231" s="762">
        <f>'[7]REV REQ'!D582</f>
        <v>0</v>
      </c>
      <c r="F231" s="765"/>
      <c r="G231" s="762">
        <f>'[7]REV REQ'!F582</f>
        <v>0</v>
      </c>
      <c r="H231" s="762">
        <f>'[7]REV REQ'!G582</f>
        <v>0</v>
      </c>
      <c r="I231" s="762">
        <f>'[7]REV REQ'!H582</f>
        <v>0</v>
      </c>
      <c r="J231" s="762">
        <f>'[7]REV REQ'!I582</f>
        <v>0</v>
      </c>
      <c r="K231" s="762">
        <f>'[7]REV REQ'!J582</f>
        <v>0</v>
      </c>
      <c r="L231" s="762">
        <f>'[7]REV REQ'!K582</f>
        <v>0</v>
      </c>
      <c r="M231" s="762">
        <f>'[7]REV REQ'!L582</f>
        <v>0</v>
      </c>
      <c r="N231" s="762">
        <f>'[7]REV REQ'!M582</f>
        <v>0</v>
      </c>
      <c r="O231" s="762">
        <f>'[7]REV REQ'!N582</f>
        <v>0</v>
      </c>
      <c r="P231" s="762">
        <f>'[7]REV REQ'!O582</f>
        <v>0</v>
      </c>
      <c r="Q231" s="762">
        <f>'[7]REV REQ'!P582</f>
        <v>0</v>
      </c>
      <c r="R231" s="762">
        <f>'[7]REV REQ'!Q582</f>
        <v>0</v>
      </c>
      <c r="S231" s="762">
        <f>'[7]REV REQ'!R582</f>
        <v>0</v>
      </c>
      <c r="T231" s="762"/>
    </row>
    <row r="232" spans="2:22">
      <c r="B232" s="758" t="str">
        <f>IF(OR((B228="~"),(C232="~")),"~","")</f>
        <v>~</v>
      </c>
      <c r="C232" s="758" t="str">
        <f>IF(B228="~","~",[7]INPUTS!$C$45)</f>
        <v>~</v>
      </c>
      <c r="E232" s="762">
        <f>'[7]REV REQ'!D583</f>
        <v>0</v>
      </c>
      <c r="F232" s="765"/>
      <c r="G232" s="762">
        <f>'[7]REV REQ'!F583</f>
        <v>0</v>
      </c>
      <c r="H232" s="762">
        <f>'[7]REV REQ'!G583</f>
        <v>0</v>
      </c>
      <c r="I232" s="762">
        <f>'[7]REV REQ'!H583</f>
        <v>0</v>
      </c>
      <c r="J232" s="762">
        <f>'[7]REV REQ'!I583</f>
        <v>0</v>
      </c>
      <c r="K232" s="762">
        <f>'[7]REV REQ'!J583</f>
        <v>0</v>
      </c>
      <c r="L232" s="762">
        <f>'[7]REV REQ'!K583</f>
        <v>0</v>
      </c>
      <c r="M232" s="762">
        <f>'[7]REV REQ'!L583</f>
        <v>0</v>
      </c>
      <c r="N232" s="762">
        <f>'[7]REV REQ'!M583</f>
        <v>0</v>
      </c>
      <c r="O232" s="762">
        <f>'[7]REV REQ'!N583</f>
        <v>0</v>
      </c>
      <c r="P232" s="762">
        <f>'[7]REV REQ'!O583</f>
        <v>0</v>
      </c>
      <c r="Q232" s="762">
        <f>'[7]REV REQ'!P583</f>
        <v>0</v>
      </c>
      <c r="R232" s="762">
        <f>'[7]REV REQ'!Q583</f>
        <v>0</v>
      </c>
      <c r="S232" s="762">
        <f>'[7]REV REQ'!R583</f>
        <v>0</v>
      </c>
      <c r="T232" s="762"/>
    </row>
    <row r="233" spans="2:22">
      <c r="B233" s="758" t="str">
        <f>IF(OR((B228="~"),(C233="~")),"~","")</f>
        <v>~</v>
      </c>
      <c r="C233" s="758" t="str">
        <f>IF(B228="~","~",[7]INPUTS!$C$46)</f>
        <v>~</v>
      </c>
      <c r="E233" s="762">
        <f>'[7]REV REQ'!D584</f>
        <v>0</v>
      </c>
      <c r="F233" s="765"/>
      <c r="G233" s="762">
        <f>'[7]REV REQ'!F584</f>
        <v>0</v>
      </c>
      <c r="H233" s="762">
        <f>'[7]REV REQ'!G584</f>
        <v>0</v>
      </c>
      <c r="I233" s="762">
        <f>'[7]REV REQ'!H584</f>
        <v>0</v>
      </c>
      <c r="J233" s="762">
        <f>'[7]REV REQ'!I584</f>
        <v>0</v>
      </c>
      <c r="K233" s="762">
        <f>'[7]REV REQ'!J584</f>
        <v>0</v>
      </c>
      <c r="L233" s="762">
        <f>'[7]REV REQ'!K584</f>
        <v>0</v>
      </c>
      <c r="M233" s="762">
        <f>'[7]REV REQ'!L584</f>
        <v>0</v>
      </c>
      <c r="N233" s="762">
        <f>'[7]REV REQ'!M584</f>
        <v>0</v>
      </c>
      <c r="O233" s="762">
        <f>'[7]REV REQ'!N584</f>
        <v>0</v>
      </c>
      <c r="P233" s="762">
        <f>'[7]REV REQ'!O584</f>
        <v>0</v>
      </c>
      <c r="Q233" s="762">
        <f>'[7]REV REQ'!P584</f>
        <v>0</v>
      </c>
      <c r="R233" s="762">
        <f>'[7]REV REQ'!Q584</f>
        <v>0</v>
      </c>
      <c r="S233" s="762">
        <f>'[7]REV REQ'!R584</f>
        <v>0</v>
      </c>
      <c r="T233" s="762"/>
    </row>
    <row r="234" spans="2:22">
      <c r="B234" s="758" t="str">
        <f>IF(OR((B228="~"),(C234="~")),"~","")</f>
        <v>~</v>
      </c>
      <c r="C234" s="758" t="str">
        <f>IF(B228="~","~",[7]INPUTS!$C$47)</f>
        <v>~</v>
      </c>
      <c r="E234" s="762">
        <f>'[7]REV REQ'!D585</f>
        <v>0</v>
      </c>
      <c r="F234" s="765"/>
      <c r="G234" s="762">
        <f>'[7]REV REQ'!F585</f>
        <v>0</v>
      </c>
      <c r="H234" s="762">
        <f>'[7]REV REQ'!G585</f>
        <v>0</v>
      </c>
      <c r="I234" s="762">
        <f>'[7]REV REQ'!H585</f>
        <v>0</v>
      </c>
      <c r="J234" s="762">
        <f>'[7]REV REQ'!I585</f>
        <v>0</v>
      </c>
      <c r="K234" s="762">
        <f>'[7]REV REQ'!J585</f>
        <v>0</v>
      </c>
      <c r="L234" s="762">
        <f>'[7]REV REQ'!K585</f>
        <v>0</v>
      </c>
      <c r="M234" s="762">
        <f>'[7]REV REQ'!L585</f>
        <v>0</v>
      </c>
      <c r="N234" s="762">
        <f>'[7]REV REQ'!M585</f>
        <v>0</v>
      </c>
      <c r="O234" s="762">
        <f>'[7]REV REQ'!N585</f>
        <v>0</v>
      </c>
      <c r="P234" s="762">
        <f>'[7]REV REQ'!O585</f>
        <v>0</v>
      </c>
      <c r="Q234" s="762">
        <f>'[7]REV REQ'!P585</f>
        <v>0</v>
      </c>
      <c r="R234" s="762">
        <f>'[7]REV REQ'!Q585</f>
        <v>0</v>
      </c>
      <c r="S234" s="762">
        <f>'[7]REV REQ'!R585</f>
        <v>0</v>
      </c>
      <c r="T234" s="762"/>
    </row>
    <row r="235" spans="2:22" s="760" customFormat="1">
      <c r="B235" s="760" t="str">
        <f>IF(OR((B228="~"),(C235="~")),"~","")</f>
        <v>~</v>
      </c>
      <c r="C235" s="760" t="str">
        <f>IF(B228="~","~","Sub-total")</f>
        <v>~</v>
      </c>
      <c r="E235" s="763">
        <f>SUM(E229:E234)</f>
        <v>0</v>
      </c>
      <c r="F235" s="769"/>
      <c r="G235" s="763">
        <f t="shared" ref="G235:S235" si="49">SUM(G229:G234)</f>
        <v>0</v>
      </c>
      <c r="H235" s="763">
        <f t="shared" si="49"/>
        <v>0</v>
      </c>
      <c r="I235" s="763">
        <f t="shared" si="49"/>
        <v>0</v>
      </c>
      <c r="J235" s="763">
        <f t="shared" si="49"/>
        <v>0</v>
      </c>
      <c r="K235" s="763">
        <f t="shared" si="49"/>
        <v>0</v>
      </c>
      <c r="L235" s="763">
        <f t="shared" si="49"/>
        <v>0</v>
      </c>
      <c r="M235" s="763">
        <f t="shared" si="49"/>
        <v>0</v>
      </c>
      <c r="N235" s="763">
        <f t="shared" si="49"/>
        <v>0</v>
      </c>
      <c r="O235" s="763">
        <f t="shared" si="49"/>
        <v>0</v>
      </c>
      <c r="P235" s="763">
        <f t="shared" si="49"/>
        <v>0</v>
      </c>
      <c r="Q235" s="763">
        <f t="shared" si="49"/>
        <v>0</v>
      </c>
      <c r="R235" s="763">
        <f t="shared" si="49"/>
        <v>0</v>
      </c>
      <c r="S235" s="763">
        <f t="shared" si="49"/>
        <v>0</v>
      </c>
      <c r="T235" s="763"/>
      <c r="U235" s="782"/>
      <c r="V235" s="782"/>
    </row>
    <row r="236" spans="2:22">
      <c r="B236" s="758" t="str">
        <f>IF(OR((B228="~"),(C236="~")),"~","")</f>
        <v>~</v>
      </c>
    </row>
    <row r="237" spans="2:22">
      <c r="B237" s="760" t="str">
        <f>[7]INPUTS!$F$18</f>
        <v>~</v>
      </c>
      <c r="E237" s="765"/>
      <c r="F237" s="765"/>
      <c r="G237" s="765"/>
      <c r="H237" s="765"/>
      <c r="I237" s="765"/>
      <c r="J237" s="765"/>
      <c r="K237" s="765"/>
      <c r="L237" s="765"/>
      <c r="M237" s="765"/>
      <c r="N237" s="765"/>
      <c r="O237" s="765"/>
      <c r="P237" s="765"/>
      <c r="Q237" s="765"/>
      <c r="R237" s="765"/>
      <c r="S237" s="765"/>
      <c r="T237" s="765"/>
    </row>
    <row r="238" spans="2:22">
      <c r="B238" s="758" t="str">
        <f>IF(OR((B237="~"),(C238="~")),"~","")</f>
        <v>~</v>
      </c>
      <c r="C238" s="758" t="str">
        <f>IF(B237="~","~",[7]INPUTS!$C$42)</f>
        <v>~</v>
      </c>
      <c r="E238" s="762">
        <f>'[7]REV REQ'!D589</f>
        <v>0</v>
      </c>
      <c r="F238" s="765"/>
      <c r="G238" s="762">
        <f>'[7]REV REQ'!F589</f>
        <v>0</v>
      </c>
      <c r="H238" s="762">
        <f>'[7]REV REQ'!G589</f>
        <v>0</v>
      </c>
      <c r="I238" s="762">
        <f>'[7]REV REQ'!H589</f>
        <v>0</v>
      </c>
      <c r="J238" s="762">
        <f>'[7]REV REQ'!I589</f>
        <v>0</v>
      </c>
      <c r="K238" s="762">
        <f>'[7]REV REQ'!J589</f>
        <v>0</v>
      </c>
      <c r="L238" s="762">
        <f>'[7]REV REQ'!K589</f>
        <v>0</v>
      </c>
      <c r="M238" s="762">
        <f>'[7]REV REQ'!L589</f>
        <v>0</v>
      </c>
      <c r="N238" s="762">
        <f>'[7]REV REQ'!M589</f>
        <v>0</v>
      </c>
      <c r="O238" s="762">
        <f>'[7]REV REQ'!N589</f>
        <v>0</v>
      </c>
      <c r="P238" s="762">
        <f>'[7]REV REQ'!O589</f>
        <v>0</v>
      </c>
      <c r="Q238" s="762">
        <f>'[7]REV REQ'!P589</f>
        <v>0</v>
      </c>
      <c r="R238" s="762">
        <f>'[7]REV REQ'!Q589</f>
        <v>0</v>
      </c>
      <c r="S238" s="762">
        <f>'[7]REV REQ'!R589</f>
        <v>0</v>
      </c>
      <c r="T238" s="762"/>
    </row>
    <row r="239" spans="2:22">
      <c r="B239" s="758" t="str">
        <f>IF(OR((B237="~"),(C239="~")),"~","")</f>
        <v>~</v>
      </c>
      <c r="C239" s="758" t="str">
        <f>IF(B237="~","~",[7]INPUTS!$C$43)</f>
        <v>~</v>
      </c>
      <c r="E239" s="762">
        <f>'[7]REV REQ'!D590</f>
        <v>0</v>
      </c>
      <c r="F239" s="765"/>
      <c r="G239" s="762">
        <f>'[7]REV REQ'!F590</f>
        <v>0</v>
      </c>
      <c r="H239" s="762">
        <f>'[7]REV REQ'!G590</f>
        <v>0</v>
      </c>
      <c r="I239" s="762">
        <f>'[7]REV REQ'!H590</f>
        <v>0</v>
      </c>
      <c r="J239" s="762">
        <f>'[7]REV REQ'!I590</f>
        <v>0</v>
      </c>
      <c r="K239" s="762">
        <f>'[7]REV REQ'!J590</f>
        <v>0</v>
      </c>
      <c r="L239" s="762">
        <f>'[7]REV REQ'!K590</f>
        <v>0</v>
      </c>
      <c r="M239" s="762">
        <f>'[7]REV REQ'!L590</f>
        <v>0</v>
      </c>
      <c r="N239" s="762">
        <f>'[7]REV REQ'!M590</f>
        <v>0</v>
      </c>
      <c r="O239" s="762">
        <f>'[7]REV REQ'!N590</f>
        <v>0</v>
      </c>
      <c r="P239" s="762">
        <f>'[7]REV REQ'!O590</f>
        <v>0</v>
      </c>
      <c r="Q239" s="762">
        <f>'[7]REV REQ'!P590</f>
        <v>0</v>
      </c>
      <c r="R239" s="762">
        <f>'[7]REV REQ'!Q590</f>
        <v>0</v>
      </c>
      <c r="S239" s="762">
        <f>'[7]REV REQ'!R590</f>
        <v>0</v>
      </c>
      <c r="T239" s="762"/>
    </row>
    <row r="240" spans="2:22">
      <c r="B240" s="758" t="str">
        <f>IF(OR((B237="~"),(C240="~")),"~","")</f>
        <v>~</v>
      </c>
      <c r="C240" s="758" t="str">
        <f>IF(B237="~","~",[7]INPUTS!$C$44)</f>
        <v>~</v>
      </c>
      <c r="E240" s="762">
        <f>'[7]REV REQ'!D591</f>
        <v>0</v>
      </c>
      <c r="F240" s="765"/>
      <c r="G240" s="762">
        <f>'[7]REV REQ'!F591</f>
        <v>0</v>
      </c>
      <c r="H240" s="762">
        <f>'[7]REV REQ'!G591</f>
        <v>0</v>
      </c>
      <c r="I240" s="762">
        <f>'[7]REV REQ'!H591</f>
        <v>0</v>
      </c>
      <c r="J240" s="762">
        <f>'[7]REV REQ'!I591</f>
        <v>0</v>
      </c>
      <c r="K240" s="762">
        <f>'[7]REV REQ'!J591</f>
        <v>0</v>
      </c>
      <c r="L240" s="762">
        <f>'[7]REV REQ'!K591</f>
        <v>0</v>
      </c>
      <c r="M240" s="762">
        <f>'[7]REV REQ'!L591</f>
        <v>0</v>
      </c>
      <c r="N240" s="762">
        <f>'[7]REV REQ'!M591</f>
        <v>0</v>
      </c>
      <c r="O240" s="762">
        <f>'[7]REV REQ'!N591</f>
        <v>0</v>
      </c>
      <c r="P240" s="762">
        <f>'[7]REV REQ'!O591</f>
        <v>0</v>
      </c>
      <c r="Q240" s="762">
        <f>'[7]REV REQ'!P591</f>
        <v>0</v>
      </c>
      <c r="R240" s="762">
        <f>'[7]REV REQ'!Q591</f>
        <v>0</v>
      </c>
      <c r="S240" s="762">
        <f>'[7]REV REQ'!R591</f>
        <v>0</v>
      </c>
      <c r="T240" s="762"/>
    </row>
    <row r="241" spans="2:22">
      <c r="B241" s="758" t="str">
        <f>IF(OR((B237="~"),(C241="~")),"~","")</f>
        <v>~</v>
      </c>
      <c r="C241" s="758" t="str">
        <f>IF(B237="~","~",[7]INPUTS!$C$45)</f>
        <v>~</v>
      </c>
      <c r="E241" s="762">
        <f>'[7]REV REQ'!D592</f>
        <v>0</v>
      </c>
      <c r="F241" s="765"/>
      <c r="G241" s="762">
        <f>'[7]REV REQ'!F592</f>
        <v>0</v>
      </c>
      <c r="H241" s="762">
        <f>'[7]REV REQ'!G592</f>
        <v>0</v>
      </c>
      <c r="I241" s="762">
        <f>'[7]REV REQ'!H592</f>
        <v>0</v>
      </c>
      <c r="J241" s="762">
        <f>'[7]REV REQ'!I592</f>
        <v>0</v>
      </c>
      <c r="K241" s="762">
        <f>'[7]REV REQ'!J592</f>
        <v>0</v>
      </c>
      <c r="L241" s="762">
        <f>'[7]REV REQ'!K592</f>
        <v>0</v>
      </c>
      <c r="M241" s="762">
        <f>'[7]REV REQ'!L592</f>
        <v>0</v>
      </c>
      <c r="N241" s="762">
        <f>'[7]REV REQ'!M592</f>
        <v>0</v>
      </c>
      <c r="O241" s="762">
        <f>'[7]REV REQ'!N592</f>
        <v>0</v>
      </c>
      <c r="P241" s="762">
        <f>'[7]REV REQ'!O592</f>
        <v>0</v>
      </c>
      <c r="Q241" s="762">
        <f>'[7]REV REQ'!P592</f>
        <v>0</v>
      </c>
      <c r="R241" s="762">
        <f>'[7]REV REQ'!Q592</f>
        <v>0</v>
      </c>
      <c r="S241" s="762">
        <f>'[7]REV REQ'!R592</f>
        <v>0</v>
      </c>
      <c r="T241" s="762"/>
    </row>
    <row r="242" spans="2:22">
      <c r="B242" s="758" t="str">
        <f>IF(OR((B237="~"),(C242="~")),"~","")</f>
        <v>~</v>
      </c>
      <c r="C242" s="758" t="str">
        <f>IF(B237="~","~",[7]INPUTS!$C$46)</f>
        <v>~</v>
      </c>
      <c r="E242" s="762">
        <f>'[7]REV REQ'!D593</f>
        <v>0</v>
      </c>
      <c r="F242" s="765"/>
      <c r="G242" s="762">
        <f>'[7]REV REQ'!F593</f>
        <v>0</v>
      </c>
      <c r="H242" s="762">
        <f>'[7]REV REQ'!G593</f>
        <v>0</v>
      </c>
      <c r="I242" s="762">
        <f>'[7]REV REQ'!H593</f>
        <v>0</v>
      </c>
      <c r="J242" s="762">
        <f>'[7]REV REQ'!I593</f>
        <v>0</v>
      </c>
      <c r="K242" s="762">
        <f>'[7]REV REQ'!J593</f>
        <v>0</v>
      </c>
      <c r="L242" s="762">
        <f>'[7]REV REQ'!K593</f>
        <v>0</v>
      </c>
      <c r="M242" s="762">
        <f>'[7]REV REQ'!L593</f>
        <v>0</v>
      </c>
      <c r="N242" s="762">
        <f>'[7]REV REQ'!M593</f>
        <v>0</v>
      </c>
      <c r="O242" s="762">
        <f>'[7]REV REQ'!N593</f>
        <v>0</v>
      </c>
      <c r="P242" s="762">
        <f>'[7]REV REQ'!O593</f>
        <v>0</v>
      </c>
      <c r="Q242" s="762">
        <f>'[7]REV REQ'!P593</f>
        <v>0</v>
      </c>
      <c r="R242" s="762">
        <f>'[7]REV REQ'!Q593</f>
        <v>0</v>
      </c>
      <c r="S242" s="762">
        <f>'[7]REV REQ'!R593</f>
        <v>0</v>
      </c>
      <c r="T242" s="762"/>
    </row>
    <row r="243" spans="2:22">
      <c r="B243" s="758" t="str">
        <f>IF(OR((B237="~"),(C243="~")),"~","")</f>
        <v>~</v>
      </c>
      <c r="C243" s="758" t="str">
        <f>IF(B237="~","~",[7]INPUTS!$C$47)</f>
        <v>~</v>
      </c>
      <c r="E243" s="762">
        <f>'[7]REV REQ'!D594</f>
        <v>0</v>
      </c>
      <c r="F243" s="765"/>
      <c r="G243" s="762">
        <f>'[7]REV REQ'!F594</f>
        <v>0</v>
      </c>
      <c r="H243" s="762">
        <f>'[7]REV REQ'!G594</f>
        <v>0</v>
      </c>
      <c r="I243" s="762">
        <f>'[7]REV REQ'!H594</f>
        <v>0</v>
      </c>
      <c r="J243" s="762">
        <f>'[7]REV REQ'!I594</f>
        <v>0</v>
      </c>
      <c r="K243" s="762">
        <f>'[7]REV REQ'!J594</f>
        <v>0</v>
      </c>
      <c r="L243" s="762">
        <f>'[7]REV REQ'!K594</f>
        <v>0</v>
      </c>
      <c r="M243" s="762">
        <f>'[7]REV REQ'!L594</f>
        <v>0</v>
      </c>
      <c r="N243" s="762">
        <f>'[7]REV REQ'!M594</f>
        <v>0</v>
      </c>
      <c r="O243" s="762">
        <f>'[7]REV REQ'!N594</f>
        <v>0</v>
      </c>
      <c r="P243" s="762">
        <f>'[7]REV REQ'!O594</f>
        <v>0</v>
      </c>
      <c r="Q243" s="762">
        <f>'[7]REV REQ'!P594</f>
        <v>0</v>
      </c>
      <c r="R243" s="762">
        <f>'[7]REV REQ'!Q594</f>
        <v>0</v>
      </c>
      <c r="S243" s="762">
        <f>'[7]REV REQ'!R594</f>
        <v>0</v>
      </c>
      <c r="T243" s="762"/>
    </row>
    <row r="244" spans="2:22" s="760" customFormat="1">
      <c r="B244" s="760" t="str">
        <f>IF(OR((B237="~"),(C244="~")),"~","")</f>
        <v>~</v>
      </c>
      <c r="C244" s="760" t="str">
        <f>IF(B237="~","~","Sub-total")</f>
        <v>~</v>
      </c>
      <c r="E244" s="763">
        <f>SUM(E238:E243)</f>
        <v>0</v>
      </c>
      <c r="F244" s="769"/>
      <c r="G244" s="763">
        <f t="shared" ref="G244:S244" si="50">SUM(G238:G243)</f>
        <v>0</v>
      </c>
      <c r="H244" s="763">
        <f t="shared" si="50"/>
        <v>0</v>
      </c>
      <c r="I244" s="763">
        <f t="shared" si="50"/>
        <v>0</v>
      </c>
      <c r="J244" s="763">
        <f t="shared" si="50"/>
        <v>0</v>
      </c>
      <c r="K244" s="763">
        <f t="shared" si="50"/>
        <v>0</v>
      </c>
      <c r="L244" s="763">
        <f t="shared" si="50"/>
        <v>0</v>
      </c>
      <c r="M244" s="763">
        <f t="shared" si="50"/>
        <v>0</v>
      </c>
      <c r="N244" s="763">
        <f t="shared" si="50"/>
        <v>0</v>
      </c>
      <c r="O244" s="763">
        <f t="shared" si="50"/>
        <v>0</v>
      </c>
      <c r="P244" s="763">
        <f t="shared" si="50"/>
        <v>0</v>
      </c>
      <c r="Q244" s="763">
        <f t="shared" si="50"/>
        <v>0</v>
      </c>
      <c r="R244" s="763">
        <f t="shared" si="50"/>
        <v>0</v>
      </c>
      <c r="S244" s="763">
        <f t="shared" si="50"/>
        <v>0</v>
      </c>
      <c r="T244" s="763"/>
      <c r="U244" s="782"/>
      <c r="V244" s="782"/>
    </row>
    <row r="245" spans="2:22">
      <c r="B245" s="758" t="str">
        <f>IF(OR((B237="~"),(C245="~")),"~","")</f>
        <v>~</v>
      </c>
    </row>
    <row r="246" spans="2:22">
      <c r="B246" s="760" t="str">
        <f>[7]INPUTS!$F$19</f>
        <v>~</v>
      </c>
      <c r="E246" s="765"/>
      <c r="F246" s="765"/>
      <c r="G246" s="765"/>
      <c r="H246" s="765"/>
      <c r="I246" s="765"/>
      <c r="J246" s="765"/>
      <c r="K246" s="765"/>
      <c r="L246" s="765"/>
      <c r="M246" s="765"/>
      <c r="N246" s="765"/>
      <c r="O246" s="765"/>
      <c r="P246" s="765"/>
      <c r="Q246" s="765"/>
      <c r="R246" s="765"/>
      <c r="S246" s="765"/>
      <c r="T246" s="765"/>
    </row>
    <row r="247" spans="2:22">
      <c r="B247" s="758" t="str">
        <f>IF(OR((B246="~"),(C247="~")),"~","")</f>
        <v>~</v>
      </c>
      <c r="C247" s="758" t="str">
        <f>IF(B246="~","~",[7]INPUTS!$C$42)</f>
        <v>~</v>
      </c>
      <c r="E247" s="762">
        <f>'[7]REV REQ'!D598</f>
        <v>0</v>
      </c>
      <c r="F247" s="765"/>
      <c r="G247" s="762">
        <f>'[7]REV REQ'!F598</f>
        <v>0</v>
      </c>
      <c r="H247" s="762">
        <f>'[7]REV REQ'!G598</f>
        <v>0</v>
      </c>
      <c r="I247" s="762">
        <f>'[7]REV REQ'!H598</f>
        <v>0</v>
      </c>
      <c r="J247" s="762">
        <f>'[7]REV REQ'!I598</f>
        <v>0</v>
      </c>
      <c r="K247" s="762">
        <f>'[7]REV REQ'!J598</f>
        <v>0</v>
      </c>
      <c r="L247" s="762">
        <f>'[7]REV REQ'!K598</f>
        <v>0</v>
      </c>
      <c r="M247" s="762">
        <f>'[7]REV REQ'!L598</f>
        <v>0</v>
      </c>
      <c r="N247" s="762">
        <f>'[7]REV REQ'!M598</f>
        <v>0</v>
      </c>
      <c r="O247" s="762">
        <f>'[7]REV REQ'!N598</f>
        <v>0</v>
      </c>
      <c r="P247" s="762">
        <f>'[7]REV REQ'!O598</f>
        <v>0</v>
      </c>
      <c r="Q247" s="762">
        <f>'[7]REV REQ'!P598</f>
        <v>0</v>
      </c>
      <c r="R247" s="762">
        <f>'[7]REV REQ'!Q598</f>
        <v>0</v>
      </c>
      <c r="S247" s="762">
        <f>'[7]REV REQ'!R598</f>
        <v>0</v>
      </c>
      <c r="T247" s="762"/>
    </row>
    <row r="248" spans="2:22">
      <c r="B248" s="758" t="str">
        <f>IF(OR((B246="~"),(C248="~")),"~","")</f>
        <v>~</v>
      </c>
      <c r="C248" s="758" t="str">
        <f>IF(B246="~","~",[7]INPUTS!$C$43)</f>
        <v>~</v>
      </c>
      <c r="E248" s="762">
        <f>'[7]REV REQ'!D599</f>
        <v>0</v>
      </c>
      <c r="F248" s="765"/>
      <c r="G248" s="762">
        <f>'[7]REV REQ'!F599</f>
        <v>0</v>
      </c>
      <c r="H248" s="762">
        <f>'[7]REV REQ'!G599</f>
        <v>0</v>
      </c>
      <c r="I248" s="762">
        <f>'[7]REV REQ'!H599</f>
        <v>0</v>
      </c>
      <c r="J248" s="762">
        <f>'[7]REV REQ'!I599</f>
        <v>0</v>
      </c>
      <c r="K248" s="762">
        <f>'[7]REV REQ'!J599</f>
        <v>0</v>
      </c>
      <c r="L248" s="762">
        <f>'[7]REV REQ'!K599</f>
        <v>0</v>
      </c>
      <c r="M248" s="762">
        <f>'[7]REV REQ'!L599</f>
        <v>0</v>
      </c>
      <c r="N248" s="762">
        <f>'[7]REV REQ'!M599</f>
        <v>0</v>
      </c>
      <c r="O248" s="762">
        <f>'[7]REV REQ'!N599</f>
        <v>0</v>
      </c>
      <c r="P248" s="762">
        <f>'[7]REV REQ'!O599</f>
        <v>0</v>
      </c>
      <c r="Q248" s="762">
        <f>'[7]REV REQ'!P599</f>
        <v>0</v>
      </c>
      <c r="R248" s="762">
        <f>'[7]REV REQ'!Q599</f>
        <v>0</v>
      </c>
      <c r="S248" s="762">
        <f>'[7]REV REQ'!R599</f>
        <v>0</v>
      </c>
      <c r="T248" s="762"/>
    </row>
    <row r="249" spans="2:22">
      <c r="B249" s="758" t="str">
        <f>IF(OR((B246="~"),(C249="~")),"~","")</f>
        <v>~</v>
      </c>
      <c r="C249" s="758" t="str">
        <f>IF(B246="~","~",[7]INPUTS!$C$44)</f>
        <v>~</v>
      </c>
      <c r="E249" s="762">
        <f>'[7]REV REQ'!D600</f>
        <v>0</v>
      </c>
      <c r="F249" s="765"/>
      <c r="G249" s="762">
        <f>'[7]REV REQ'!F600</f>
        <v>0</v>
      </c>
      <c r="H249" s="762">
        <f>'[7]REV REQ'!G600</f>
        <v>0</v>
      </c>
      <c r="I249" s="762">
        <f>'[7]REV REQ'!H600</f>
        <v>0</v>
      </c>
      <c r="J249" s="762">
        <f>'[7]REV REQ'!I600</f>
        <v>0</v>
      </c>
      <c r="K249" s="762">
        <f>'[7]REV REQ'!J600</f>
        <v>0</v>
      </c>
      <c r="L249" s="762">
        <f>'[7]REV REQ'!K600</f>
        <v>0</v>
      </c>
      <c r="M249" s="762">
        <f>'[7]REV REQ'!L600</f>
        <v>0</v>
      </c>
      <c r="N249" s="762">
        <f>'[7]REV REQ'!M600</f>
        <v>0</v>
      </c>
      <c r="O249" s="762">
        <f>'[7]REV REQ'!N600</f>
        <v>0</v>
      </c>
      <c r="P249" s="762">
        <f>'[7]REV REQ'!O600</f>
        <v>0</v>
      </c>
      <c r="Q249" s="762">
        <f>'[7]REV REQ'!P600</f>
        <v>0</v>
      </c>
      <c r="R249" s="762">
        <f>'[7]REV REQ'!Q600</f>
        <v>0</v>
      </c>
      <c r="S249" s="762">
        <f>'[7]REV REQ'!R600</f>
        <v>0</v>
      </c>
      <c r="T249" s="762"/>
    </row>
    <row r="250" spans="2:22">
      <c r="B250" s="758" t="str">
        <f>IF(OR((B246="~"),(C250="~")),"~","")</f>
        <v>~</v>
      </c>
      <c r="C250" s="758" t="str">
        <f>IF(B246="~","~",[7]INPUTS!$C$45)</f>
        <v>~</v>
      </c>
      <c r="E250" s="762">
        <f>'[7]REV REQ'!D601</f>
        <v>0</v>
      </c>
      <c r="F250" s="765"/>
      <c r="G250" s="762">
        <f>'[7]REV REQ'!F601</f>
        <v>0</v>
      </c>
      <c r="H250" s="762">
        <f>'[7]REV REQ'!G601</f>
        <v>0</v>
      </c>
      <c r="I250" s="762">
        <f>'[7]REV REQ'!H601</f>
        <v>0</v>
      </c>
      <c r="J250" s="762">
        <f>'[7]REV REQ'!I601</f>
        <v>0</v>
      </c>
      <c r="K250" s="762">
        <f>'[7]REV REQ'!J601</f>
        <v>0</v>
      </c>
      <c r="L250" s="762">
        <f>'[7]REV REQ'!K601</f>
        <v>0</v>
      </c>
      <c r="M250" s="762">
        <f>'[7]REV REQ'!L601</f>
        <v>0</v>
      </c>
      <c r="N250" s="762">
        <f>'[7]REV REQ'!M601</f>
        <v>0</v>
      </c>
      <c r="O250" s="762">
        <f>'[7]REV REQ'!N601</f>
        <v>0</v>
      </c>
      <c r="P250" s="762">
        <f>'[7]REV REQ'!O601</f>
        <v>0</v>
      </c>
      <c r="Q250" s="762">
        <f>'[7]REV REQ'!P601</f>
        <v>0</v>
      </c>
      <c r="R250" s="762">
        <f>'[7]REV REQ'!Q601</f>
        <v>0</v>
      </c>
      <c r="S250" s="762">
        <f>'[7]REV REQ'!R601</f>
        <v>0</v>
      </c>
      <c r="T250" s="762"/>
    </row>
    <row r="251" spans="2:22">
      <c r="B251" s="758" t="str">
        <f>IF(OR((B246="~"),(C251="~")),"~","")</f>
        <v>~</v>
      </c>
      <c r="C251" s="758" t="str">
        <f>IF(B246="~","~",[7]INPUTS!$C$46)</f>
        <v>~</v>
      </c>
      <c r="E251" s="762">
        <f>'[7]REV REQ'!D602</f>
        <v>0</v>
      </c>
      <c r="F251" s="765"/>
      <c r="G251" s="762">
        <f>'[7]REV REQ'!F602</f>
        <v>0</v>
      </c>
      <c r="H251" s="762">
        <f>'[7]REV REQ'!G602</f>
        <v>0</v>
      </c>
      <c r="I251" s="762">
        <f>'[7]REV REQ'!H602</f>
        <v>0</v>
      </c>
      <c r="J251" s="762">
        <f>'[7]REV REQ'!I602</f>
        <v>0</v>
      </c>
      <c r="K251" s="762">
        <f>'[7]REV REQ'!J602</f>
        <v>0</v>
      </c>
      <c r="L251" s="762">
        <f>'[7]REV REQ'!K602</f>
        <v>0</v>
      </c>
      <c r="M251" s="762">
        <f>'[7]REV REQ'!L602</f>
        <v>0</v>
      </c>
      <c r="N251" s="762">
        <f>'[7]REV REQ'!M602</f>
        <v>0</v>
      </c>
      <c r="O251" s="762">
        <f>'[7]REV REQ'!N602</f>
        <v>0</v>
      </c>
      <c r="P251" s="762">
        <f>'[7]REV REQ'!O602</f>
        <v>0</v>
      </c>
      <c r="Q251" s="762">
        <f>'[7]REV REQ'!P602</f>
        <v>0</v>
      </c>
      <c r="R251" s="762">
        <f>'[7]REV REQ'!Q602</f>
        <v>0</v>
      </c>
      <c r="S251" s="762">
        <f>'[7]REV REQ'!R602</f>
        <v>0</v>
      </c>
      <c r="T251" s="762"/>
    </row>
    <row r="252" spans="2:22">
      <c r="B252" s="758" t="str">
        <f>IF(OR((B246="~"),(C252="~")),"~","")</f>
        <v>~</v>
      </c>
      <c r="C252" s="758" t="str">
        <f>IF(B246="~","~",[7]INPUTS!$C$47)</f>
        <v>~</v>
      </c>
      <c r="E252" s="762">
        <f>'[7]REV REQ'!D603</f>
        <v>0</v>
      </c>
      <c r="F252" s="765"/>
      <c r="G252" s="762">
        <f>'[7]REV REQ'!F603</f>
        <v>0</v>
      </c>
      <c r="H252" s="762">
        <f>'[7]REV REQ'!G603</f>
        <v>0</v>
      </c>
      <c r="I252" s="762">
        <f>'[7]REV REQ'!H603</f>
        <v>0</v>
      </c>
      <c r="J252" s="762">
        <f>'[7]REV REQ'!I603</f>
        <v>0</v>
      </c>
      <c r="K252" s="762">
        <f>'[7]REV REQ'!J603</f>
        <v>0</v>
      </c>
      <c r="L252" s="762">
        <f>'[7]REV REQ'!K603</f>
        <v>0</v>
      </c>
      <c r="M252" s="762">
        <f>'[7]REV REQ'!L603</f>
        <v>0</v>
      </c>
      <c r="N252" s="762">
        <f>'[7]REV REQ'!M603</f>
        <v>0</v>
      </c>
      <c r="O252" s="762">
        <f>'[7]REV REQ'!N603</f>
        <v>0</v>
      </c>
      <c r="P252" s="762">
        <f>'[7]REV REQ'!O603</f>
        <v>0</v>
      </c>
      <c r="Q252" s="762">
        <f>'[7]REV REQ'!P603</f>
        <v>0</v>
      </c>
      <c r="R252" s="762">
        <f>'[7]REV REQ'!Q603</f>
        <v>0</v>
      </c>
      <c r="S252" s="762">
        <f>'[7]REV REQ'!R603</f>
        <v>0</v>
      </c>
      <c r="T252" s="762"/>
    </row>
    <row r="253" spans="2:22" s="760" customFormat="1">
      <c r="B253" s="760" t="str">
        <f>IF(OR((B246="~"),(C253="~")),"~","")</f>
        <v>~</v>
      </c>
      <c r="C253" s="760" t="str">
        <f>IF(B246="~","~","Sub-total")</f>
        <v>~</v>
      </c>
      <c r="E253" s="763">
        <f>SUM(E247:E252)</f>
        <v>0</v>
      </c>
      <c r="F253" s="769"/>
      <c r="G253" s="763">
        <f t="shared" ref="G253:S253" si="51">SUM(G247:G252)</f>
        <v>0</v>
      </c>
      <c r="H253" s="763">
        <f t="shared" si="51"/>
        <v>0</v>
      </c>
      <c r="I253" s="763">
        <f t="shared" si="51"/>
        <v>0</v>
      </c>
      <c r="J253" s="763">
        <f t="shared" si="51"/>
        <v>0</v>
      </c>
      <c r="K253" s="763">
        <f t="shared" si="51"/>
        <v>0</v>
      </c>
      <c r="L253" s="763">
        <f t="shared" si="51"/>
        <v>0</v>
      </c>
      <c r="M253" s="763">
        <f t="shared" si="51"/>
        <v>0</v>
      </c>
      <c r="N253" s="763">
        <f t="shared" si="51"/>
        <v>0</v>
      </c>
      <c r="O253" s="763">
        <f t="shared" si="51"/>
        <v>0</v>
      </c>
      <c r="P253" s="763">
        <f t="shared" si="51"/>
        <v>0</v>
      </c>
      <c r="Q253" s="763">
        <f t="shared" si="51"/>
        <v>0</v>
      </c>
      <c r="R253" s="763">
        <f t="shared" si="51"/>
        <v>0</v>
      </c>
      <c r="S253" s="763">
        <f t="shared" si="51"/>
        <v>0</v>
      </c>
      <c r="T253" s="763"/>
      <c r="U253" s="782"/>
      <c r="V253" s="782"/>
    </row>
    <row r="254" spans="2:22">
      <c r="B254" s="758" t="str">
        <f>IF(OR((B246="~"),(C254="~")),"~","")</f>
        <v>~</v>
      </c>
    </row>
    <row r="255" spans="2:22">
      <c r="B255" s="760" t="str">
        <f>[7]INPUTS!$F$20</f>
        <v>~</v>
      </c>
      <c r="E255" s="765"/>
      <c r="F255" s="765"/>
      <c r="G255" s="765"/>
      <c r="H255" s="765"/>
      <c r="I255" s="765"/>
      <c r="J255" s="765"/>
      <c r="K255" s="765"/>
      <c r="L255" s="765"/>
      <c r="M255" s="765"/>
      <c r="N255" s="765"/>
      <c r="O255" s="765"/>
      <c r="P255" s="765"/>
      <c r="Q255" s="765"/>
      <c r="R255" s="765"/>
      <c r="S255" s="765"/>
      <c r="T255" s="765"/>
    </row>
    <row r="256" spans="2:22">
      <c r="B256" s="758" t="str">
        <f>IF(OR((B255="~"),(C256="~")),"~","")</f>
        <v>~</v>
      </c>
      <c r="C256" s="758" t="str">
        <f>IF(B255="~","~",[7]INPUTS!$C$42)</f>
        <v>~</v>
      </c>
      <c r="E256" s="762">
        <f>'[7]REV REQ'!D607</f>
        <v>0</v>
      </c>
      <c r="F256" s="765"/>
      <c r="G256" s="762">
        <f>'[7]REV REQ'!F607</f>
        <v>0</v>
      </c>
      <c r="H256" s="762">
        <f>'[7]REV REQ'!G607</f>
        <v>0</v>
      </c>
      <c r="I256" s="762">
        <f>'[7]REV REQ'!H607</f>
        <v>0</v>
      </c>
      <c r="J256" s="762">
        <f>'[7]REV REQ'!I607</f>
        <v>0</v>
      </c>
      <c r="K256" s="762">
        <f>'[7]REV REQ'!J607</f>
        <v>0</v>
      </c>
      <c r="L256" s="762">
        <f>'[7]REV REQ'!K607</f>
        <v>0</v>
      </c>
      <c r="M256" s="762">
        <f>'[7]REV REQ'!L607</f>
        <v>0</v>
      </c>
      <c r="N256" s="762">
        <f>'[7]REV REQ'!M607</f>
        <v>0</v>
      </c>
      <c r="O256" s="762">
        <f>'[7]REV REQ'!N607</f>
        <v>0</v>
      </c>
      <c r="P256" s="762">
        <f>'[7]REV REQ'!O607</f>
        <v>0</v>
      </c>
      <c r="Q256" s="762">
        <f>'[7]REV REQ'!P607</f>
        <v>0</v>
      </c>
      <c r="R256" s="762">
        <f>'[7]REV REQ'!Q607</f>
        <v>0</v>
      </c>
      <c r="S256" s="762">
        <f>'[7]REV REQ'!R607</f>
        <v>0</v>
      </c>
      <c r="T256" s="762"/>
    </row>
    <row r="257" spans="2:22">
      <c r="B257" s="758" t="str">
        <f>IF(OR((B255="~"),(C257="~")),"~","")</f>
        <v>~</v>
      </c>
      <c r="C257" s="758" t="str">
        <f>IF(B255="~","~",[7]INPUTS!$C$43)</f>
        <v>~</v>
      </c>
      <c r="E257" s="762">
        <f>'[7]REV REQ'!D608</f>
        <v>0</v>
      </c>
      <c r="F257" s="765"/>
      <c r="G257" s="762">
        <f>'[7]REV REQ'!F608</f>
        <v>0</v>
      </c>
      <c r="H257" s="762">
        <f>'[7]REV REQ'!G608</f>
        <v>0</v>
      </c>
      <c r="I257" s="762">
        <f>'[7]REV REQ'!H608</f>
        <v>0</v>
      </c>
      <c r="J257" s="762">
        <f>'[7]REV REQ'!I608</f>
        <v>0</v>
      </c>
      <c r="K257" s="762">
        <f>'[7]REV REQ'!J608</f>
        <v>0</v>
      </c>
      <c r="L257" s="762">
        <f>'[7]REV REQ'!K608</f>
        <v>0</v>
      </c>
      <c r="M257" s="762">
        <f>'[7]REV REQ'!L608</f>
        <v>0</v>
      </c>
      <c r="N257" s="762">
        <f>'[7]REV REQ'!M608</f>
        <v>0</v>
      </c>
      <c r="O257" s="762">
        <f>'[7]REV REQ'!N608</f>
        <v>0</v>
      </c>
      <c r="P257" s="762">
        <f>'[7]REV REQ'!O608</f>
        <v>0</v>
      </c>
      <c r="Q257" s="762">
        <f>'[7]REV REQ'!P608</f>
        <v>0</v>
      </c>
      <c r="R257" s="762">
        <f>'[7]REV REQ'!Q608</f>
        <v>0</v>
      </c>
      <c r="S257" s="762">
        <f>'[7]REV REQ'!R608</f>
        <v>0</v>
      </c>
      <c r="T257" s="762"/>
    </row>
    <row r="258" spans="2:22">
      <c r="B258" s="758" t="str">
        <f>IF(OR((B255="~"),(C258="~")),"~","")</f>
        <v>~</v>
      </c>
      <c r="C258" s="758" t="str">
        <f>IF(B255="~","~",[7]INPUTS!$C$44)</f>
        <v>~</v>
      </c>
      <c r="E258" s="762">
        <f>'[7]REV REQ'!D609</f>
        <v>0</v>
      </c>
      <c r="F258" s="765"/>
      <c r="G258" s="762">
        <f>'[7]REV REQ'!F609</f>
        <v>0</v>
      </c>
      <c r="H258" s="762">
        <f>'[7]REV REQ'!G609</f>
        <v>0</v>
      </c>
      <c r="I258" s="762">
        <f>'[7]REV REQ'!H609</f>
        <v>0</v>
      </c>
      <c r="J258" s="762">
        <f>'[7]REV REQ'!I609</f>
        <v>0</v>
      </c>
      <c r="K258" s="762">
        <f>'[7]REV REQ'!J609</f>
        <v>0</v>
      </c>
      <c r="L258" s="762">
        <f>'[7]REV REQ'!K609</f>
        <v>0</v>
      </c>
      <c r="M258" s="762">
        <f>'[7]REV REQ'!L609</f>
        <v>0</v>
      </c>
      <c r="N258" s="762">
        <f>'[7]REV REQ'!M609</f>
        <v>0</v>
      </c>
      <c r="O258" s="762">
        <f>'[7]REV REQ'!N609</f>
        <v>0</v>
      </c>
      <c r="P258" s="762">
        <f>'[7]REV REQ'!O609</f>
        <v>0</v>
      </c>
      <c r="Q258" s="762">
        <f>'[7]REV REQ'!P609</f>
        <v>0</v>
      </c>
      <c r="R258" s="762">
        <f>'[7]REV REQ'!Q609</f>
        <v>0</v>
      </c>
      <c r="S258" s="762">
        <f>'[7]REV REQ'!R609</f>
        <v>0</v>
      </c>
      <c r="T258" s="762"/>
    </row>
    <row r="259" spans="2:22">
      <c r="B259" s="758" t="str">
        <f>IF(OR((B255="~"),(C259="~")),"~","")</f>
        <v>~</v>
      </c>
      <c r="C259" s="758" t="str">
        <f>IF(B255="~","~",[7]INPUTS!$C$45)</f>
        <v>~</v>
      </c>
      <c r="E259" s="762">
        <f>'[7]REV REQ'!D610</f>
        <v>0</v>
      </c>
      <c r="F259" s="765"/>
      <c r="G259" s="762">
        <f>'[7]REV REQ'!F610</f>
        <v>0</v>
      </c>
      <c r="H259" s="762">
        <f>'[7]REV REQ'!G610</f>
        <v>0</v>
      </c>
      <c r="I259" s="762">
        <f>'[7]REV REQ'!H610</f>
        <v>0</v>
      </c>
      <c r="J259" s="762">
        <f>'[7]REV REQ'!I610</f>
        <v>0</v>
      </c>
      <c r="K259" s="762">
        <f>'[7]REV REQ'!J610</f>
        <v>0</v>
      </c>
      <c r="L259" s="762">
        <f>'[7]REV REQ'!K610</f>
        <v>0</v>
      </c>
      <c r="M259" s="762">
        <f>'[7]REV REQ'!L610</f>
        <v>0</v>
      </c>
      <c r="N259" s="762">
        <f>'[7]REV REQ'!M610</f>
        <v>0</v>
      </c>
      <c r="O259" s="762">
        <f>'[7]REV REQ'!N610</f>
        <v>0</v>
      </c>
      <c r="P259" s="762">
        <f>'[7]REV REQ'!O610</f>
        <v>0</v>
      </c>
      <c r="Q259" s="762">
        <f>'[7]REV REQ'!P610</f>
        <v>0</v>
      </c>
      <c r="R259" s="762">
        <f>'[7]REV REQ'!Q610</f>
        <v>0</v>
      </c>
      <c r="S259" s="762">
        <f>'[7]REV REQ'!R610</f>
        <v>0</v>
      </c>
      <c r="T259" s="762"/>
    </row>
    <row r="260" spans="2:22">
      <c r="B260" s="758" t="str">
        <f>IF(OR((B255="~"),(C260="~")),"~","")</f>
        <v>~</v>
      </c>
      <c r="C260" s="758" t="str">
        <f>IF(B255="~","~",[7]INPUTS!$C$46)</f>
        <v>~</v>
      </c>
      <c r="E260" s="762">
        <f>'[7]REV REQ'!D611</f>
        <v>0</v>
      </c>
      <c r="F260" s="765"/>
      <c r="G260" s="762">
        <f>'[7]REV REQ'!F611</f>
        <v>0</v>
      </c>
      <c r="H260" s="762">
        <f>'[7]REV REQ'!G611</f>
        <v>0</v>
      </c>
      <c r="I260" s="762">
        <f>'[7]REV REQ'!H611</f>
        <v>0</v>
      </c>
      <c r="J260" s="762">
        <f>'[7]REV REQ'!I611</f>
        <v>0</v>
      </c>
      <c r="K260" s="762">
        <f>'[7]REV REQ'!J611</f>
        <v>0</v>
      </c>
      <c r="L260" s="762">
        <f>'[7]REV REQ'!K611</f>
        <v>0</v>
      </c>
      <c r="M260" s="762">
        <f>'[7]REV REQ'!L611</f>
        <v>0</v>
      </c>
      <c r="N260" s="762">
        <f>'[7]REV REQ'!M611</f>
        <v>0</v>
      </c>
      <c r="O260" s="762">
        <f>'[7]REV REQ'!N611</f>
        <v>0</v>
      </c>
      <c r="P260" s="762">
        <f>'[7]REV REQ'!O611</f>
        <v>0</v>
      </c>
      <c r="Q260" s="762">
        <f>'[7]REV REQ'!P611</f>
        <v>0</v>
      </c>
      <c r="R260" s="762">
        <f>'[7]REV REQ'!Q611</f>
        <v>0</v>
      </c>
      <c r="S260" s="762">
        <f>'[7]REV REQ'!R611</f>
        <v>0</v>
      </c>
      <c r="T260" s="762"/>
    </row>
    <row r="261" spans="2:22">
      <c r="B261" s="758" t="str">
        <f>IF(OR((B255="~"),(C261="~")),"~","")</f>
        <v>~</v>
      </c>
      <c r="C261" s="758" t="str">
        <f>IF(B255="~","~",[7]INPUTS!$C$47)</f>
        <v>~</v>
      </c>
      <c r="E261" s="762">
        <f>'[7]REV REQ'!D612</f>
        <v>0</v>
      </c>
      <c r="F261" s="765"/>
      <c r="G261" s="762">
        <f>'[7]REV REQ'!F612</f>
        <v>0</v>
      </c>
      <c r="H261" s="762">
        <f>'[7]REV REQ'!G612</f>
        <v>0</v>
      </c>
      <c r="I261" s="762">
        <f>'[7]REV REQ'!H612</f>
        <v>0</v>
      </c>
      <c r="J261" s="762">
        <f>'[7]REV REQ'!I612</f>
        <v>0</v>
      </c>
      <c r="K261" s="762">
        <f>'[7]REV REQ'!J612</f>
        <v>0</v>
      </c>
      <c r="L261" s="762">
        <f>'[7]REV REQ'!K612</f>
        <v>0</v>
      </c>
      <c r="M261" s="762">
        <f>'[7]REV REQ'!L612</f>
        <v>0</v>
      </c>
      <c r="N261" s="762">
        <f>'[7]REV REQ'!M612</f>
        <v>0</v>
      </c>
      <c r="O261" s="762">
        <f>'[7]REV REQ'!N612</f>
        <v>0</v>
      </c>
      <c r="P261" s="762">
        <f>'[7]REV REQ'!O612</f>
        <v>0</v>
      </c>
      <c r="Q261" s="762">
        <f>'[7]REV REQ'!P612</f>
        <v>0</v>
      </c>
      <c r="R261" s="762">
        <f>'[7]REV REQ'!Q612</f>
        <v>0</v>
      </c>
      <c r="S261" s="762">
        <f>'[7]REV REQ'!R612</f>
        <v>0</v>
      </c>
      <c r="T261" s="762"/>
    </row>
    <row r="262" spans="2:22" s="760" customFormat="1">
      <c r="B262" s="760" t="str">
        <f>IF(OR((B255="~"),(C262="~")),"~","")</f>
        <v>~</v>
      </c>
      <c r="C262" s="760" t="str">
        <f>IF(B255="~","~","Sub-total")</f>
        <v>~</v>
      </c>
      <c r="E262" s="763">
        <f>SUM(E256:E261)</f>
        <v>0</v>
      </c>
      <c r="F262" s="769"/>
      <c r="G262" s="763">
        <f t="shared" ref="G262:S262" si="52">SUM(G256:G261)</f>
        <v>0</v>
      </c>
      <c r="H262" s="763">
        <f t="shared" si="52"/>
        <v>0</v>
      </c>
      <c r="I262" s="763">
        <f t="shared" si="52"/>
        <v>0</v>
      </c>
      <c r="J262" s="763">
        <f t="shared" si="52"/>
        <v>0</v>
      </c>
      <c r="K262" s="763">
        <f t="shared" si="52"/>
        <v>0</v>
      </c>
      <c r="L262" s="763">
        <f t="shared" si="52"/>
        <v>0</v>
      </c>
      <c r="M262" s="763">
        <f t="shared" si="52"/>
        <v>0</v>
      </c>
      <c r="N262" s="763">
        <f t="shared" si="52"/>
        <v>0</v>
      </c>
      <c r="O262" s="763">
        <f t="shared" si="52"/>
        <v>0</v>
      </c>
      <c r="P262" s="763">
        <f t="shared" si="52"/>
        <v>0</v>
      </c>
      <c r="Q262" s="763">
        <f t="shared" si="52"/>
        <v>0</v>
      </c>
      <c r="R262" s="763">
        <f t="shared" si="52"/>
        <v>0</v>
      </c>
      <c r="S262" s="763">
        <f t="shared" si="52"/>
        <v>0</v>
      </c>
      <c r="T262" s="763"/>
      <c r="U262" s="782"/>
      <c r="V262" s="782"/>
    </row>
    <row r="263" spans="2:22">
      <c r="B263" s="758" t="str">
        <f>IF(OR((B255="~"),(C263="~")),"~","")</f>
        <v>~</v>
      </c>
    </row>
    <row r="265" spans="2:22">
      <c r="B265" s="760" t="s">
        <v>84</v>
      </c>
      <c r="E265" s="765"/>
      <c r="F265" s="765"/>
      <c r="G265" s="765"/>
      <c r="H265" s="765"/>
      <c r="I265" s="765"/>
      <c r="J265" s="765"/>
      <c r="K265" s="765"/>
      <c r="L265" s="765"/>
      <c r="M265" s="765"/>
      <c r="N265" s="765"/>
      <c r="O265" s="765"/>
      <c r="P265" s="765"/>
      <c r="Q265" s="765"/>
      <c r="R265" s="765"/>
      <c r="S265" s="765"/>
      <c r="T265" s="765"/>
    </row>
    <row r="266" spans="2:22">
      <c r="B266" s="758" t="str">
        <f>IF(OR((B265="~"),(C266="~")),"~","")</f>
        <v/>
      </c>
      <c r="C266" s="758" t="str">
        <f>IF(B265="~","~",[7]INPUTS!$C$42)</f>
        <v>Demand</v>
      </c>
      <c r="E266" s="762">
        <f>'[7]REV REQ'!D616</f>
        <v>749253304.46524203</v>
      </c>
      <c r="F266" s="765"/>
      <c r="G266" s="762">
        <f>'[7]REV REQ'!F616</f>
        <v>467167067.70219666</v>
      </c>
      <c r="H266" s="762">
        <f>'[7]REV REQ'!G616</f>
        <v>93316703.626372233</v>
      </c>
      <c r="I266" s="762">
        <f>'[7]REV REQ'!H616</f>
        <v>85520237.492940247</v>
      </c>
      <c r="J266" s="762">
        <f>'[7]REV REQ'!I616</f>
        <v>43785057.369016103</v>
      </c>
      <c r="K266" s="762">
        <f>'[7]REV REQ'!J616</f>
        <v>30759897.38568582</v>
      </c>
      <c r="L266" s="762">
        <f>'[7]REV REQ'!K616</f>
        <v>180593.48218439057</v>
      </c>
      <c r="M266" s="762">
        <f>'[7]REV REQ'!L616</f>
        <v>3780755.3923626784</v>
      </c>
      <c r="N266" s="762">
        <f>'[7]REV REQ'!M616</f>
        <v>14367290.77977928</v>
      </c>
      <c r="O266" s="762">
        <f>'[7]REV REQ'!N616</f>
        <v>6511324.2382866256</v>
      </c>
      <c r="P266" s="762">
        <f>'[7]REV REQ'!O616</f>
        <v>665279.2083662654</v>
      </c>
      <c r="Q266" s="762">
        <f>'[7]REV REQ'!P616</f>
        <v>1357063.9945276747</v>
      </c>
      <c r="R266" s="762">
        <f>'[7]REV REQ'!Q616</f>
        <v>1546735.1822275007</v>
      </c>
      <c r="S266" s="762">
        <f>'[7]REV REQ'!R616</f>
        <v>295298.61129652272</v>
      </c>
      <c r="T266" s="762"/>
    </row>
    <row r="267" spans="2:22">
      <c r="B267" s="758" t="str">
        <f>IF(OR((B265="~"),(C267="~")),"~","")</f>
        <v/>
      </c>
      <c r="C267" s="758" t="str">
        <f>IF(B265="~","~",[7]INPUTS!$C$43)</f>
        <v>Energy</v>
      </c>
      <c r="E267" s="762">
        <f>'[7]REV REQ'!D617</f>
        <v>1142926440.1896434</v>
      </c>
      <c r="F267" s="765"/>
      <c r="G267" s="762">
        <f>'[7]REV REQ'!F617</f>
        <v>577225077.70828044</v>
      </c>
      <c r="H267" s="762">
        <f>'[7]REV REQ'!G617</f>
        <v>151572455.67431775</v>
      </c>
      <c r="I267" s="762">
        <f>'[7]REV REQ'!H617</f>
        <v>156058914.72101229</v>
      </c>
      <c r="J267" s="762">
        <f>'[7]REV REQ'!I617</f>
        <v>102953836.48990682</v>
      </c>
      <c r="K267" s="762">
        <f>'[7]REV REQ'!J617</f>
        <v>67208596.752515376</v>
      </c>
      <c r="L267" s="762">
        <f>'[7]REV REQ'!K617</f>
        <v>233403.90811903696</v>
      </c>
      <c r="M267" s="762">
        <f>'[7]REV REQ'!L617</f>
        <v>6348963.1039126376</v>
      </c>
      <c r="N267" s="762">
        <f>'[7]REV REQ'!M617</f>
        <v>35180271.575846866</v>
      </c>
      <c r="O267" s="762">
        <f>'[7]REV REQ'!N617</f>
        <v>32150713.232629307</v>
      </c>
      <c r="P267" s="762">
        <f>'[7]REV REQ'!O617</f>
        <v>475912.84231971041</v>
      </c>
      <c r="Q267" s="762">
        <f>'[7]REV REQ'!P617</f>
        <v>9009178.6480501853</v>
      </c>
      <c r="R267" s="762">
        <f>'[7]REV REQ'!Q617</f>
        <v>4141948.5461000944</v>
      </c>
      <c r="S267" s="762">
        <f>'[7]REV REQ'!R617</f>
        <v>367166.98663297761</v>
      </c>
      <c r="T267" s="762"/>
    </row>
    <row r="268" spans="2:22">
      <c r="B268" s="758" t="str">
        <f>IF(OR((B265="~"),(C268="~")),"~","")</f>
        <v/>
      </c>
      <c r="C268" s="758" t="str">
        <f>IF(B265="~","~",[7]INPUTS!$C$44)</f>
        <v>Customer</v>
      </c>
      <c r="E268" s="762">
        <f>'[7]REV REQ'!D618</f>
        <v>160486923.86745819</v>
      </c>
      <c r="F268" s="765"/>
      <c r="G268" s="762">
        <f>'[7]REV REQ'!F618</f>
        <v>126242654.84343198</v>
      </c>
      <c r="H268" s="762">
        <f>'[7]REV REQ'!G618</f>
        <v>12361915.429952625</v>
      </c>
      <c r="I268" s="762">
        <f>'[7]REV REQ'!H618</f>
        <v>4305298.0687916409</v>
      </c>
      <c r="J268" s="762">
        <f>'[7]REV REQ'!I618</f>
        <v>1150603.5296324024</v>
      </c>
      <c r="K268" s="762">
        <f>'[7]REV REQ'!J618</f>
        <v>1852100.4414229742</v>
      </c>
      <c r="L268" s="762">
        <f>'[7]REV REQ'!K618</f>
        <v>4165.8333132226098</v>
      </c>
      <c r="M268" s="762">
        <f>'[7]REV REQ'!L618</f>
        <v>621368.86393307871</v>
      </c>
      <c r="N268" s="762">
        <f>'[7]REV REQ'!M618</f>
        <v>462990.89956358995</v>
      </c>
      <c r="O268" s="762">
        <f>'[7]REV REQ'!N618</f>
        <v>121909.19740332215</v>
      </c>
      <c r="P268" s="762">
        <f>'[7]REV REQ'!O618</f>
        <v>21119.102843202509</v>
      </c>
      <c r="Q268" s="762">
        <f>'[7]REV REQ'!P618</f>
        <v>423269.22956706159</v>
      </c>
      <c r="R268" s="762">
        <f>'[7]REV REQ'!Q618</f>
        <v>12879202.987145273</v>
      </c>
      <c r="S268" s="762">
        <f>'[7]REV REQ'!R618</f>
        <v>40325.44045785108</v>
      </c>
      <c r="T268" s="762"/>
    </row>
    <row r="269" spans="2:22">
      <c r="B269" s="758" t="str">
        <f>IF(OR((B265="~"),(C269="~")),"~","")</f>
        <v>~</v>
      </c>
      <c r="C269" s="758" t="str">
        <f>IF(B265="~","~",[7]INPUTS!$C$45)</f>
        <v>~</v>
      </c>
      <c r="E269" s="762">
        <f>'[7]REV REQ'!D619</f>
        <v>0</v>
      </c>
      <c r="F269" s="765"/>
      <c r="G269" s="762">
        <f>'[7]REV REQ'!F619</f>
        <v>0</v>
      </c>
      <c r="H269" s="762">
        <f>'[7]REV REQ'!G619</f>
        <v>0</v>
      </c>
      <c r="I269" s="762">
        <f>'[7]REV REQ'!H619</f>
        <v>0</v>
      </c>
      <c r="J269" s="762">
        <f>'[7]REV REQ'!I619</f>
        <v>0</v>
      </c>
      <c r="K269" s="762">
        <f>'[7]REV REQ'!J619</f>
        <v>0</v>
      </c>
      <c r="L269" s="762">
        <f>'[7]REV REQ'!K619</f>
        <v>0</v>
      </c>
      <c r="M269" s="762">
        <f>'[7]REV REQ'!L619</f>
        <v>0</v>
      </c>
      <c r="N269" s="762">
        <f>'[7]REV REQ'!M619</f>
        <v>0</v>
      </c>
      <c r="O269" s="762">
        <f>'[7]REV REQ'!N619</f>
        <v>0</v>
      </c>
      <c r="P269" s="762">
        <f>'[7]REV REQ'!O619</f>
        <v>0</v>
      </c>
      <c r="Q269" s="762">
        <f>'[7]REV REQ'!P619</f>
        <v>0</v>
      </c>
      <c r="R269" s="762">
        <f>'[7]REV REQ'!Q619</f>
        <v>0</v>
      </c>
      <c r="S269" s="762">
        <f>'[7]REV REQ'!R619</f>
        <v>0</v>
      </c>
      <c r="T269" s="762"/>
    </row>
    <row r="270" spans="2:22">
      <c r="B270" s="758" t="str">
        <f>IF(OR((B265="~"),(C270="~")),"~","")</f>
        <v>~</v>
      </c>
      <c r="C270" s="758" t="str">
        <f>IF(B265="~","~",[7]INPUTS!$C$46)</f>
        <v>~</v>
      </c>
      <c r="E270" s="762">
        <f>'[7]REV REQ'!D620</f>
        <v>0</v>
      </c>
      <c r="F270" s="765"/>
      <c r="G270" s="762">
        <f>'[7]REV REQ'!F620</f>
        <v>0</v>
      </c>
      <c r="H270" s="762">
        <f>'[7]REV REQ'!G620</f>
        <v>0</v>
      </c>
      <c r="I270" s="762">
        <f>'[7]REV REQ'!H620</f>
        <v>0</v>
      </c>
      <c r="J270" s="762">
        <f>'[7]REV REQ'!I620</f>
        <v>0</v>
      </c>
      <c r="K270" s="762">
        <f>'[7]REV REQ'!J620</f>
        <v>0</v>
      </c>
      <c r="L270" s="762">
        <f>'[7]REV REQ'!K620</f>
        <v>0</v>
      </c>
      <c r="M270" s="762">
        <f>'[7]REV REQ'!L620</f>
        <v>0</v>
      </c>
      <c r="N270" s="762">
        <f>'[7]REV REQ'!M620</f>
        <v>0</v>
      </c>
      <c r="O270" s="762">
        <f>'[7]REV REQ'!N620</f>
        <v>0</v>
      </c>
      <c r="P270" s="762">
        <f>'[7]REV REQ'!O620</f>
        <v>0</v>
      </c>
      <c r="Q270" s="762">
        <f>'[7]REV REQ'!P620</f>
        <v>0</v>
      </c>
      <c r="R270" s="762">
        <f>'[7]REV REQ'!Q620</f>
        <v>0</v>
      </c>
      <c r="S270" s="762">
        <f>'[7]REV REQ'!R620</f>
        <v>0</v>
      </c>
      <c r="T270" s="762"/>
    </row>
    <row r="271" spans="2:22">
      <c r="B271" s="758" t="str">
        <f>IF(OR((B265="~"),(C271="~")),"~","")</f>
        <v>~</v>
      </c>
      <c r="C271" s="758" t="str">
        <f>IF(B265="~","~",[7]INPUTS!$C$47)</f>
        <v>~</v>
      </c>
      <c r="E271" s="762">
        <f>'[7]REV REQ'!D621</f>
        <v>0</v>
      </c>
      <c r="F271" s="765"/>
      <c r="G271" s="762">
        <f>'[7]REV REQ'!F621</f>
        <v>0</v>
      </c>
      <c r="H271" s="762">
        <f>'[7]REV REQ'!G621</f>
        <v>0</v>
      </c>
      <c r="I271" s="762">
        <f>'[7]REV REQ'!H621</f>
        <v>0</v>
      </c>
      <c r="J271" s="762">
        <f>'[7]REV REQ'!I621</f>
        <v>0</v>
      </c>
      <c r="K271" s="762">
        <f>'[7]REV REQ'!J621</f>
        <v>0</v>
      </c>
      <c r="L271" s="762">
        <f>'[7]REV REQ'!K621</f>
        <v>0</v>
      </c>
      <c r="M271" s="762">
        <f>'[7]REV REQ'!L621</f>
        <v>0</v>
      </c>
      <c r="N271" s="762">
        <f>'[7]REV REQ'!M621</f>
        <v>0</v>
      </c>
      <c r="O271" s="762">
        <f>'[7]REV REQ'!N621</f>
        <v>0</v>
      </c>
      <c r="P271" s="762">
        <f>'[7]REV REQ'!O621</f>
        <v>0</v>
      </c>
      <c r="Q271" s="762">
        <f>'[7]REV REQ'!P621</f>
        <v>0</v>
      </c>
      <c r="R271" s="762">
        <f>'[7]REV REQ'!Q621</f>
        <v>0</v>
      </c>
      <c r="S271" s="762">
        <f>'[7]REV REQ'!R621</f>
        <v>0</v>
      </c>
      <c r="T271" s="762"/>
    </row>
    <row r="272" spans="2:22" s="760" customFormat="1">
      <c r="C272" s="760" t="str">
        <f>IF(B265="~","~","Sub-total")</f>
        <v>Sub-total</v>
      </c>
      <c r="E272" s="763">
        <f>SUM(E266:E271)</f>
        <v>2052666668.5223434</v>
      </c>
      <c r="F272" s="769"/>
      <c r="G272" s="763">
        <f t="shared" ref="G272:S272" si="53">SUM(G266:G271)</f>
        <v>1170634800.2539091</v>
      </c>
      <c r="H272" s="763">
        <f t="shared" si="53"/>
        <v>257251074.73064262</v>
      </c>
      <c r="I272" s="763">
        <f t="shared" si="53"/>
        <v>245884450.28274417</v>
      </c>
      <c r="J272" s="763">
        <f t="shared" si="53"/>
        <v>147889497.38855532</v>
      </c>
      <c r="K272" s="763">
        <f t="shared" si="53"/>
        <v>99820594.579624161</v>
      </c>
      <c r="L272" s="763">
        <f t="shared" si="53"/>
        <v>418163.22361665015</v>
      </c>
      <c r="M272" s="763">
        <f t="shared" si="53"/>
        <v>10751087.360208396</v>
      </c>
      <c r="N272" s="763">
        <f t="shared" si="53"/>
        <v>50010553.255189732</v>
      </c>
      <c r="O272" s="763">
        <f t="shared" si="53"/>
        <v>38783946.668319248</v>
      </c>
      <c r="P272" s="763">
        <f t="shared" si="53"/>
        <v>1162311.1535291781</v>
      </c>
      <c r="Q272" s="763">
        <f t="shared" si="53"/>
        <v>10789511.872144923</v>
      </c>
      <c r="R272" s="763">
        <f t="shared" si="53"/>
        <v>18567886.71547287</v>
      </c>
      <c r="S272" s="763">
        <f t="shared" si="53"/>
        <v>702791.03838735132</v>
      </c>
      <c r="T272" s="763"/>
      <c r="U272" s="782"/>
      <c r="V272" s="782"/>
    </row>
    <row r="273" spans="1:22">
      <c r="B273" s="758" t="str">
        <f>IF(OR((B265="~"),(C273="~")),"~","")</f>
        <v/>
      </c>
    </row>
    <row r="274" spans="1:22" s="760" customFormat="1">
      <c r="C274" s="760" t="s">
        <v>985</v>
      </c>
      <c r="E274" s="763">
        <f>SUM(G274:T274)</f>
        <v>2052666668.5223436</v>
      </c>
      <c r="F274" s="769"/>
      <c r="G274" s="763">
        <f t="shared" ref="G274:L274" si="54">SUM(G266:G271)</f>
        <v>1170634800.2539091</v>
      </c>
      <c r="H274" s="763">
        <f t="shared" si="54"/>
        <v>257251074.73064262</v>
      </c>
      <c r="I274" s="763">
        <f t="shared" si="54"/>
        <v>245884450.28274417</v>
      </c>
      <c r="J274" s="763">
        <f t="shared" si="54"/>
        <v>147889497.38855532</v>
      </c>
      <c r="K274" s="763">
        <f t="shared" si="54"/>
        <v>99820594.579624161</v>
      </c>
      <c r="L274" s="763">
        <f t="shared" si="54"/>
        <v>418163.22361665015</v>
      </c>
      <c r="M274" s="763">
        <f t="shared" ref="M274:S274" si="55">SUM(M266:M271)</f>
        <v>10751087.360208396</v>
      </c>
      <c r="N274" s="763">
        <f t="shared" si="55"/>
        <v>50010553.255189732</v>
      </c>
      <c r="O274" s="763">
        <f t="shared" si="55"/>
        <v>38783946.668319248</v>
      </c>
      <c r="P274" s="763">
        <f t="shared" si="55"/>
        <v>1162311.1535291781</v>
      </c>
      <c r="Q274" s="763">
        <f t="shared" si="55"/>
        <v>10789511.872144923</v>
      </c>
      <c r="R274" s="763">
        <f t="shared" si="55"/>
        <v>18567886.71547287</v>
      </c>
      <c r="S274" s="763">
        <f t="shared" si="55"/>
        <v>702791.03838735132</v>
      </c>
      <c r="T274" s="763"/>
      <c r="U274" s="782"/>
      <c r="V274" s="782"/>
    </row>
    <row r="275" spans="1:22">
      <c r="A275" s="773"/>
      <c r="B275" s="773"/>
    </row>
    <row r="276" spans="1:22">
      <c r="A276" s="1326" t="str">
        <f>A1</f>
        <v>Puget Sound Energy</v>
      </c>
      <c r="B276" s="1326"/>
      <c r="C276" s="1326"/>
      <c r="D276" s="1326"/>
      <c r="E276" s="1326"/>
      <c r="F276" s="1326"/>
      <c r="G276" s="1326"/>
      <c r="H276" s="1326"/>
      <c r="I276" s="1326"/>
      <c r="J276" s="1326"/>
      <c r="K276" s="1326"/>
      <c r="L276" s="1326"/>
      <c r="M276" s="1326"/>
      <c r="N276" s="1326"/>
      <c r="O276" s="1326"/>
      <c r="P276" s="1326"/>
      <c r="Q276" s="1326"/>
      <c r="R276" s="1326"/>
      <c r="S276" s="1326"/>
    </row>
    <row r="277" spans="1:22">
      <c r="A277" s="1326" t="str">
        <f>A2</f>
        <v>ELECTRIC COST OF SERVICE SUMMARY</v>
      </c>
      <c r="B277" s="1326"/>
      <c r="C277" s="1326"/>
      <c r="D277" s="1326"/>
      <c r="E277" s="1326"/>
      <c r="F277" s="1326"/>
      <c r="G277" s="1326"/>
      <c r="H277" s="1326"/>
      <c r="I277" s="1326"/>
      <c r="J277" s="1326"/>
      <c r="K277" s="1326"/>
      <c r="L277" s="1326"/>
      <c r="M277" s="1326"/>
      <c r="N277" s="1326"/>
      <c r="O277" s="1326"/>
      <c r="P277" s="1326"/>
      <c r="Q277" s="1326"/>
      <c r="R277" s="1326"/>
      <c r="S277" s="1326"/>
    </row>
    <row r="278" spans="1:22">
      <c r="A278" s="1326" t="s">
        <v>1139</v>
      </c>
      <c r="B278" s="1326"/>
      <c r="C278" s="1326"/>
      <c r="D278" s="1326"/>
      <c r="E278" s="1326"/>
      <c r="F278" s="1326"/>
      <c r="G278" s="1326"/>
      <c r="H278" s="1326"/>
      <c r="I278" s="1326"/>
      <c r="J278" s="1326"/>
      <c r="K278" s="1326"/>
      <c r="L278" s="1326"/>
      <c r="M278" s="1326"/>
      <c r="N278" s="1326"/>
      <c r="O278" s="1326"/>
      <c r="P278" s="1326"/>
      <c r="Q278" s="1326"/>
      <c r="R278" s="1326"/>
      <c r="S278" s="1326"/>
    </row>
    <row r="279" spans="1:22">
      <c r="A279" s="1326" t="s">
        <v>986</v>
      </c>
      <c r="B279" s="1326"/>
      <c r="C279" s="1326"/>
      <c r="D279" s="1326"/>
      <c r="E279" s="1326"/>
      <c r="F279" s="1326"/>
      <c r="G279" s="1326"/>
      <c r="H279" s="1326"/>
      <c r="I279" s="1326"/>
      <c r="J279" s="1326"/>
      <c r="K279" s="1326"/>
      <c r="L279" s="1326"/>
      <c r="M279" s="1326"/>
      <c r="N279" s="1326"/>
      <c r="O279" s="1326"/>
      <c r="P279" s="1326"/>
      <c r="Q279" s="1326"/>
      <c r="R279" s="1326"/>
      <c r="S279" s="1326"/>
    </row>
    <row r="281" spans="1:22" s="772" customFormat="1" ht="26.25" customHeight="1">
      <c r="E281" s="772" t="s">
        <v>983</v>
      </c>
      <c r="G281" s="772" t="str">
        <f>[7]INPUTS!$C$18</f>
        <v>Residential Sch 7</v>
      </c>
      <c r="H281" s="772" t="str">
        <f>[7]INPUTS!$C$19</f>
        <v>Sec Volt Sch 24 (kW&lt; 50)</v>
      </c>
      <c r="I281" s="772" t="str">
        <f>[7]INPUTS!$C$20</f>
        <v>Sec Volt Sch 25 (kW &gt; 50 &amp; &lt; 350)</v>
      </c>
      <c r="J281" s="772" t="str">
        <f>[7]INPUTS!$C$21</f>
        <v>Sec Volt Sch 26 (kW &gt; 350)</v>
      </c>
      <c r="K281" s="772" t="str">
        <f>[7]INPUTS!$C$22</f>
        <v>Pri Volt Sch 31 (General Service)</v>
      </c>
      <c r="L281" s="772" t="str">
        <f>[7]INPUTS!$C$23</f>
        <v>Pri Volt Sch 35 (Irrigation)</v>
      </c>
      <c r="M281" s="772" t="str">
        <f>[7]INPUTS!$B$24</f>
        <v>Pri Svc 43</v>
      </c>
      <c r="N281" s="772" t="str">
        <f>[7]INPUTS!$B$25</f>
        <v>Campus 40</v>
      </c>
      <c r="O281" s="772" t="str">
        <f>[7]INPUTS!$B$26</f>
        <v>High Volt 46/49</v>
      </c>
      <c r="P281" s="772" t="str">
        <f>[7]INPUTS!$B$27</f>
        <v>Choice/Retail Wheeling PV</v>
      </c>
      <c r="Q281" s="772" t="str">
        <f>[7]INPUTS!$B$28</f>
        <v>Choice/Retail Wheeling HV</v>
      </c>
      <c r="R281" s="772" t="str">
        <f>[7]INPUTS!$B$29</f>
        <v>Lighting 50-59</v>
      </c>
      <c r="S281" s="772" t="str">
        <f>[7]INPUTS!$B$30</f>
        <v>Firm Resale Small</v>
      </c>
      <c r="U281" s="784"/>
      <c r="V281" s="784"/>
    </row>
    <row r="282" spans="1:22" s="759" customFormat="1">
      <c r="C282" s="759" t="s">
        <v>856</v>
      </c>
      <c r="E282" s="759" t="s">
        <v>857</v>
      </c>
      <c r="G282" s="759" t="s">
        <v>858</v>
      </c>
      <c r="H282" s="759" t="s">
        <v>859</v>
      </c>
      <c r="I282" s="759" t="s">
        <v>860</v>
      </c>
      <c r="J282" s="759" t="s">
        <v>861</v>
      </c>
      <c r="K282" s="759" t="s">
        <v>862</v>
      </c>
      <c r="L282" s="759" t="s">
        <v>961</v>
      </c>
      <c r="M282" s="759" t="s">
        <v>962</v>
      </c>
      <c r="N282" s="759" t="s">
        <v>863</v>
      </c>
      <c r="O282" s="759" t="s">
        <v>864</v>
      </c>
      <c r="P282" s="759" t="s">
        <v>865</v>
      </c>
      <c r="Q282" s="759" t="s">
        <v>866</v>
      </c>
      <c r="R282" s="759" t="s">
        <v>867</v>
      </c>
      <c r="S282" s="759" t="s">
        <v>963</v>
      </c>
      <c r="U282" s="783"/>
      <c r="V282" s="783"/>
    </row>
    <row r="283" spans="1:22">
      <c r="B283" s="760" t="str">
        <f>[7]INPUTS!$F$11</f>
        <v>Production</v>
      </c>
      <c r="E283" s="765"/>
      <c r="F283" s="765"/>
      <c r="G283" s="765"/>
      <c r="H283" s="765"/>
      <c r="I283" s="765"/>
      <c r="J283" s="765"/>
      <c r="K283" s="765"/>
      <c r="L283" s="765"/>
      <c r="M283" s="765"/>
      <c r="N283" s="765"/>
      <c r="O283" s="765"/>
      <c r="P283" s="765"/>
      <c r="Q283" s="765"/>
      <c r="R283" s="765"/>
      <c r="S283" s="765"/>
      <c r="T283" s="765"/>
    </row>
    <row r="284" spans="1:22">
      <c r="B284" s="758" t="str">
        <f>IF(OR((B283="~"),(C284="~")),"~","")</f>
        <v/>
      </c>
      <c r="C284" s="758" t="str">
        <f>IF(B283="~","~",[7]INPUTS!$C$42)</f>
        <v>Demand</v>
      </c>
      <c r="E284" s="767" t="e">
        <f ca="1">ROUND(IF($C284=0,0,E175/E$383),6)</f>
        <v>#REF!</v>
      </c>
      <c r="F284" s="779"/>
      <c r="G284" s="767" t="e">
        <f ca="1">ROUND(IF($C284=0,0,G175/G$383),6)</f>
        <v>#REF!</v>
      </c>
      <c r="H284" s="767" t="e">
        <f t="shared" ref="H284:S284" ca="1" si="56">ROUND(IF($C284=0,0,H175/H$383),6)</f>
        <v>#REF!</v>
      </c>
      <c r="I284" s="767" t="e">
        <f t="shared" ca="1" si="56"/>
        <v>#REF!</v>
      </c>
      <c r="J284" s="767" t="e">
        <f t="shared" ca="1" si="56"/>
        <v>#REF!</v>
      </c>
      <c r="K284" s="767" t="e">
        <f t="shared" ca="1" si="56"/>
        <v>#REF!</v>
      </c>
      <c r="L284" s="767" t="e">
        <f t="shared" ca="1" si="56"/>
        <v>#REF!</v>
      </c>
      <c r="M284" s="767" t="e">
        <f t="shared" ca="1" si="56"/>
        <v>#REF!</v>
      </c>
      <c r="N284" s="767" t="e">
        <f t="shared" ca="1" si="56"/>
        <v>#REF!</v>
      </c>
      <c r="O284" s="767" t="e">
        <f t="shared" ca="1" si="56"/>
        <v>#REF!</v>
      </c>
      <c r="P284" s="767" t="e">
        <f t="shared" ca="1" si="56"/>
        <v>#REF!</v>
      </c>
      <c r="Q284" s="767" t="e">
        <f t="shared" ca="1" si="56"/>
        <v>#REF!</v>
      </c>
      <c r="R284" s="767" t="e">
        <f t="shared" ca="1" si="56"/>
        <v>#REF!</v>
      </c>
      <c r="S284" s="767" t="e">
        <f t="shared" ca="1" si="56"/>
        <v>#REF!</v>
      </c>
      <c r="T284" s="767"/>
    </row>
    <row r="285" spans="1:22">
      <c r="B285" s="758" t="str">
        <f>IF(OR((B283="~"),(C285="~")),"~","")</f>
        <v/>
      </c>
      <c r="C285" s="758" t="str">
        <f>IF(B283="~","~",[7]INPUTS!$C$43)</f>
        <v>Energy</v>
      </c>
      <c r="E285" s="767" t="e">
        <f t="shared" ref="E285:E290" ca="1" si="57">ROUND(IF($C285=0,0,E176/E$383),6)</f>
        <v>#REF!</v>
      </c>
      <c r="F285" s="779"/>
      <c r="G285" s="767" t="e">
        <f t="shared" ref="G285:S290" ca="1" si="58">ROUND(IF($C285=0,0,G176/G$383),6)</f>
        <v>#REF!</v>
      </c>
      <c r="H285" s="767" t="e">
        <f t="shared" ca="1" si="58"/>
        <v>#REF!</v>
      </c>
      <c r="I285" s="767" t="e">
        <f t="shared" ca="1" si="58"/>
        <v>#REF!</v>
      </c>
      <c r="J285" s="767" t="e">
        <f t="shared" ca="1" si="58"/>
        <v>#REF!</v>
      </c>
      <c r="K285" s="767" t="e">
        <f t="shared" ca="1" si="58"/>
        <v>#REF!</v>
      </c>
      <c r="L285" s="767" t="e">
        <f t="shared" ca="1" si="58"/>
        <v>#REF!</v>
      </c>
      <c r="M285" s="767" t="e">
        <f t="shared" ca="1" si="58"/>
        <v>#REF!</v>
      </c>
      <c r="N285" s="767" t="e">
        <f t="shared" ca="1" si="58"/>
        <v>#REF!</v>
      </c>
      <c r="O285" s="767" t="e">
        <f t="shared" ca="1" si="58"/>
        <v>#REF!</v>
      </c>
      <c r="P285" s="767" t="e">
        <f t="shared" ca="1" si="58"/>
        <v>#REF!</v>
      </c>
      <c r="Q285" s="767" t="e">
        <f t="shared" ca="1" si="58"/>
        <v>#REF!</v>
      </c>
      <c r="R285" s="767" t="e">
        <f t="shared" ca="1" si="58"/>
        <v>#REF!</v>
      </c>
      <c r="S285" s="767" t="e">
        <f t="shared" ca="1" si="58"/>
        <v>#REF!</v>
      </c>
      <c r="T285" s="767"/>
    </row>
    <row r="286" spans="1:22">
      <c r="B286" s="758" t="str">
        <f>IF(OR((B283="~"),(C286="~")),"~","")</f>
        <v/>
      </c>
      <c r="C286" s="758" t="str">
        <f>IF(B283="~","~",[7]INPUTS!$C$44)</f>
        <v>Customer</v>
      </c>
      <c r="E286" s="767" t="e">
        <f t="shared" ca="1" si="57"/>
        <v>#REF!</v>
      </c>
      <c r="F286" s="779"/>
      <c r="G286" s="767" t="e">
        <f t="shared" ca="1" si="58"/>
        <v>#REF!</v>
      </c>
      <c r="H286" s="767" t="e">
        <f t="shared" ca="1" si="58"/>
        <v>#REF!</v>
      </c>
      <c r="I286" s="767" t="e">
        <f t="shared" ca="1" si="58"/>
        <v>#REF!</v>
      </c>
      <c r="J286" s="767" t="e">
        <f t="shared" ca="1" si="58"/>
        <v>#REF!</v>
      </c>
      <c r="K286" s="767" t="e">
        <f t="shared" ca="1" si="58"/>
        <v>#REF!</v>
      </c>
      <c r="L286" s="767" t="e">
        <f t="shared" ca="1" si="58"/>
        <v>#REF!</v>
      </c>
      <c r="M286" s="767" t="e">
        <f t="shared" ca="1" si="58"/>
        <v>#REF!</v>
      </c>
      <c r="N286" s="767" t="e">
        <f t="shared" ca="1" si="58"/>
        <v>#REF!</v>
      </c>
      <c r="O286" s="767" t="e">
        <f t="shared" ca="1" si="58"/>
        <v>#REF!</v>
      </c>
      <c r="P286" s="767" t="e">
        <f t="shared" ca="1" si="58"/>
        <v>#REF!</v>
      </c>
      <c r="Q286" s="767" t="e">
        <f t="shared" ca="1" si="58"/>
        <v>#REF!</v>
      </c>
      <c r="R286" s="767" t="e">
        <f t="shared" ca="1" si="58"/>
        <v>#REF!</v>
      </c>
      <c r="S286" s="767" t="e">
        <f t="shared" ca="1" si="58"/>
        <v>#REF!</v>
      </c>
      <c r="T286" s="767"/>
    </row>
    <row r="287" spans="1:22">
      <c r="B287" s="758" t="str">
        <f>IF(OR((B283="~"),(C287="~")),"~","")</f>
        <v>~</v>
      </c>
      <c r="C287" s="758" t="str">
        <f>IF(B283="~","~",[7]INPUTS!$C$45)</f>
        <v>~</v>
      </c>
      <c r="E287" s="767" t="e">
        <f t="shared" ca="1" si="57"/>
        <v>#REF!</v>
      </c>
      <c r="F287" s="779"/>
      <c r="G287" s="767" t="e">
        <f t="shared" ca="1" si="58"/>
        <v>#REF!</v>
      </c>
      <c r="H287" s="767" t="e">
        <f t="shared" ca="1" si="58"/>
        <v>#REF!</v>
      </c>
      <c r="I287" s="767" t="e">
        <f t="shared" ca="1" si="58"/>
        <v>#REF!</v>
      </c>
      <c r="J287" s="767" t="e">
        <f t="shared" ca="1" si="58"/>
        <v>#REF!</v>
      </c>
      <c r="K287" s="767" t="e">
        <f t="shared" ca="1" si="58"/>
        <v>#REF!</v>
      </c>
      <c r="L287" s="767" t="e">
        <f t="shared" ca="1" si="58"/>
        <v>#REF!</v>
      </c>
      <c r="M287" s="767" t="e">
        <f t="shared" ca="1" si="58"/>
        <v>#REF!</v>
      </c>
      <c r="N287" s="767" t="e">
        <f t="shared" ca="1" si="58"/>
        <v>#REF!</v>
      </c>
      <c r="O287" s="767" t="e">
        <f t="shared" ca="1" si="58"/>
        <v>#REF!</v>
      </c>
      <c r="P287" s="767" t="e">
        <f t="shared" ca="1" si="58"/>
        <v>#REF!</v>
      </c>
      <c r="Q287" s="767" t="e">
        <f t="shared" ca="1" si="58"/>
        <v>#REF!</v>
      </c>
      <c r="R287" s="767" t="e">
        <f t="shared" ca="1" si="58"/>
        <v>#REF!</v>
      </c>
      <c r="S287" s="767" t="e">
        <f t="shared" ca="1" si="58"/>
        <v>#REF!</v>
      </c>
      <c r="T287" s="767"/>
    </row>
    <row r="288" spans="1:22">
      <c r="B288" s="758" t="str">
        <f>IF(OR((B283="~"),(C288="~")),"~","")</f>
        <v>~</v>
      </c>
      <c r="C288" s="758" t="str">
        <f>IF(B283="~","~",[7]INPUTS!$C$46)</f>
        <v>~</v>
      </c>
      <c r="E288" s="767" t="e">
        <f t="shared" ca="1" si="57"/>
        <v>#REF!</v>
      </c>
      <c r="F288" s="779"/>
      <c r="G288" s="767" t="e">
        <f t="shared" ca="1" si="58"/>
        <v>#REF!</v>
      </c>
      <c r="H288" s="767" t="e">
        <f t="shared" ca="1" si="58"/>
        <v>#REF!</v>
      </c>
      <c r="I288" s="767" t="e">
        <f t="shared" ca="1" si="58"/>
        <v>#REF!</v>
      </c>
      <c r="J288" s="767" t="e">
        <f t="shared" ca="1" si="58"/>
        <v>#REF!</v>
      </c>
      <c r="K288" s="767" t="e">
        <f t="shared" ca="1" si="58"/>
        <v>#REF!</v>
      </c>
      <c r="L288" s="767" t="e">
        <f t="shared" ca="1" si="58"/>
        <v>#REF!</v>
      </c>
      <c r="M288" s="767" t="e">
        <f t="shared" ca="1" si="58"/>
        <v>#REF!</v>
      </c>
      <c r="N288" s="767" t="e">
        <f t="shared" ca="1" si="58"/>
        <v>#REF!</v>
      </c>
      <c r="O288" s="767" t="e">
        <f t="shared" ca="1" si="58"/>
        <v>#REF!</v>
      </c>
      <c r="P288" s="767" t="e">
        <f t="shared" ca="1" si="58"/>
        <v>#REF!</v>
      </c>
      <c r="Q288" s="767" t="e">
        <f t="shared" ca="1" si="58"/>
        <v>#REF!</v>
      </c>
      <c r="R288" s="767" t="e">
        <f t="shared" ca="1" si="58"/>
        <v>#REF!</v>
      </c>
      <c r="S288" s="767" t="e">
        <f t="shared" ca="1" si="58"/>
        <v>#REF!</v>
      </c>
      <c r="T288" s="767"/>
    </row>
    <row r="289" spans="2:22">
      <c r="B289" s="758" t="str">
        <f>IF(OR((B283="~"),(C289="~")),"~","")</f>
        <v>~</v>
      </c>
      <c r="C289" s="758" t="str">
        <f>IF(B283="~","~",[7]INPUTS!$C$47)</f>
        <v>~</v>
      </c>
      <c r="E289" s="767" t="e">
        <f t="shared" ca="1" si="57"/>
        <v>#REF!</v>
      </c>
      <c r="F289" s="779"/>
      <c r="G289" s="767" t="e">
        <f t="shared" ca="1" si="58"/>
        <v>#REF!</v>
      </c>
      <c r="H289" s="767" t="e">
        <f t="shared" ca="1" si="58"/>
        <v>#REF!</v>
      </c>
      <c r="I289" s="767" t="e">
        <f t="shared" ca="1" si="58"/>
        <v>#REF!</v>
      </c>
      <c r="J289" s="767" t="e">
        <f t="shared" ca="1" si="58"/>
        <v>#REF!</v>
      </c>
      <c r="K289" s="767" t="e">
        <f t="shared" ca="1" si="58"/>
        <v>#REF!</v>
      </c>
      <c r="L289" s="767" t="e">
        <f t="shared" ca="1" si="58"/>
        <v>#REF!</v>
      </c>
      <c r="M289" s="767" t="e">
        <f t="shared" ca="1" si="58"/>
        <v>#REF!</v>
      </c>
      <c r="N289" s="767" t="e">
        <f t="shared" ca="1" si="58"/>
        <v>#REF!</v>
      </c>
      <c r="O289" s="767" t="e">
        <f t="shared" ca="1" si="58"/>
        <v>#REF!</v>
      </c>
      <c r="P289" s="767" t="e">
        <f t="shared" ca="1" si="58"/>
        <v>#REF!</v>
      </c>
      <c r="Q289" s="767" t="e">
        <f t="shared" ca="1" si="58"/>
        <v>#REF!</v>
      </c>
      <c r="R289" s="767" t="e">
        <f t="shared" ca="1" si="58"/>
        <v>#REF!</v>
      </c>
      <c r="S289" s="767" t="e">
        <f t="shared" ca="1" si="58"/>
        <v>#REF!</v>
      </c>
      <c r="T289" s="767"/>
    </row>
    <row r="290" spans="2:22" s="760" customFormat="1">
      <c r="B290" s="760" t="str">
        <f>IF(OR((B283="~"),(C290="~")),"~","")</f>
        <v/>
      </c>
      <c r="C290" s="760" t="s">
        <v>160</v>
      </c>
      <c r="E290" s="774" t="e">
        <f t="shared" ca="1" si="57"/>
        <v>#REF!</v>
      </c>
      <c r="F290" s="780"/>
      <c r="G290" s="774" t="e">
        <f t="shared" ca="1" si="58"/>
        <v>#REF!</v>
      </c>
      <c r="H290" s="774" t="e">
        <f t="shared" ca="1" si="58"/>
        <v>#REF!</v>
      </c>
      <c r="I290" s="774" t="e">
        <f t="shared" ca="1" si="58"/>
        <v>#REF!</v>
      </c>
      <c r="J290" s="774" t="e">
        <f t="shared" ca="1" si="58"/>
        <v>#REF!</v>
      </c>
      <c r="K290" s="774" t="e">
        <f t="shared" ca="1" si="58"/>
        <v>#REF!</v>
      </c>
      <c r="L290" s="774" t="e">
        <f t="shared" ca="1" si="58"/>
        <v>#REF!</v>
      </c>
      <c r="M290" s="774" t="e">
        <f t="shared" ca="1" si="58"/>
        <v>#REF!</v>
      </c>
      <c r="N290" s="774" t="e">
        <f t="shared" ca="1" si="58"/>
        <v>#REF!</v>
      </c>
      <c r="O290" s="774" t="e">
        <f t="shared" ca="1" si="58"/>
        <v>#REF!</v>
      </c>
      <c r="P290" s="774" t="e">
        <f t="shared" ca="1" si="58"/>
        <v>#REF!</v>
      </c>
      <c r="Q290" s="774" t="e">
        <f t="shared" ca="1" si="58"/>
        <v>#REF!</v>
      </c>
      <c r="R290" s="774" t="e">
        <f t="shared" ca="1" si="58"/>
        <v>#REF!</v>
      </c>
      <c r="S290" s="774" t="e">
        <f t="shared" ca="1" si="58"/>
        <v>#REF!</v>
      </c>
      <c r="T290" s="774"/>
      <c r="U290" s="782"/>
      <c r="V290" s="782"/>
    </row>
    <row r="291" spans="2:22">
      <c r="B291" s="758" t="str">
        <f>IF(OR((B283="~"),(C291="~")),"~","")</f>
        <v/>
      </c>
      <c r="E291" s="781"/>
      <c r="F291" s="781"/>
      <c r="G291" s="781"/>
      <c r="H291" s="781"/>
      <c r="I291" s="781"/>
      <c r="J291" s="781"/>
      <c r="K291" s="781"/>
      <c r="L291" s="781"/>
      <c r="M291" s="781"/>
      <c r="N291" s="781"/>
      <c r="O291" s="781"/>
      <c r="P291" s="781"/>
      <c r="Q291" s="781"/>
      <c r="R291" s="781"/>
      <c r="S291" s="781"/>
    </row>
    <row r="292" spans="2:22">
      <c r="B292" s="760" t="str">
        <f>[7]INPUTS!$F$12</f>
        <v>Transmission</v>
      </c>
      <c r="E292" s="779"/>
      <c r="F292" s="779"/>
      <c r="G292" s="779"/>
      <c r="H292" s="779"/>
      <c r="I292" s="779"/>
      <c r="J292" s="779"/>
      <c r="K292" s="779"/>
      <c r="L292" s="779"/>
      <c r="M292" s="779"/>
      <c r="N292" s="779"/>
      <c r="O292" s="779"/>
      <c r="P292" s="779"/>
      <c r="Q292" s="779"/>
      <c r="R292" s="779"/>
      <c r="S292" s="779"/>
      <c r="T292" s="765"/>
    </row>
    <row r="293" spans="2:22">
      <c r="B293" s="758" t="str">
        <f>IF(OR((B292="~"),(C293="~")),"~","")</f>
        <v/>
      </c>
      <c r="C293" s="758" t="str">
        <f>IF(B292="~","~",[7]INPUTS!$C$42)</f>
        <v>Demand</v>
      </c>
      <c r="E293" s="767" t="e">
        <f t="shared" ref="E293:E299" ca="1" si="59">ROUND(IF($C293=0,0,E184/E$383),6)</f>
        <v>#REF!</v>
      </c>
      <c r="F293" s="779"/>
      <c r="G293" s="767" t="e">
        <f t="shared" ref="G293:S299" ca="1" si="60">ROUND(IF($C293=0,0,G184/G$383),6)</f>
        <v>#REF!</v>
      </c>
      <c r="H293" s="767" t="e">
        <f t="shared" ca="1" si="60"/>
        <v>#REF!</v>
      </c>
      <c r="I293" s="767" t="e">
        <f t="shared" ca="1" si="60"/>
        <v>#REF!</v>
      </c>
      <c r="J293" s="767" t="e">
        <f t="shared" ca="1" si="60"/>
        <v>#REF!</v>
      </c>
      <c r="K293" s="767" t="e">
        <f t="shared" ca="1" si="60"/>
        <v>#REF!</v>
      </c>
      <c r="L293" s="767" t="e">
        <f t="shared" ca="1" si="60"/>
        <v>#REF!</v>
      </c>
      <c r="M293" s="767" t="e">
        <f t="shared" ca="1" si="60"/>
        <v>#REF!</v>
      </c>
      <c r="N293" s="767" t="e">
        <f t="shared" ca="1" si="60"/>
        <v>#REF!</v>
      </c>
      <c r="O293" s="767" t="e">
        <f t="shared" ca="1" si="60"/>
        <v>#REF!</v>
      </c>
      <c r="P293" s="767" t="e">
        <f t="shared" ca="1" si="60"/>
        <v>#REF!</v>
      </c>
      <c r="Q293" s="767" t="e">
        <f t="shared" ca="1" si="60"/>
        <v>#REF!</v>
      </c>
      <c r="R293" s="767" t="e">
        <f t="shared" ca="1" si="60"/>
        <v>#REF!</v>
      </c>
      <c r="S293" s="767" t="e">
        <f t="shared" ca="1" si="60"/>
        <v>#REF!</v>
      </c>
      <c r="T293" s="767"/>
    </row>
    <row r="294" spans="2:22">
      <c r="B294" s="758" t="str">
        <f>IF(OR((B292="~"),(C294="~")),"~","")</f>
        <v/>
      </c>
      <c r="C294" s="758" t="str">
        <f>IF(B292="~","~",[7]INPUTS!$C$43)</f>
        <v>Energy</v>
      </c>
      <c r="E294" s="767" t="e">
        <f t="shared" ca="1" si="59"/>
        <v>#REF!</v>
      </c>
      <c r="F294" s="779"/>
      <c r="G294" s="767" t="e">
        <f t="shared" ca="1" si="60"/>
        <v>#REF!</v>
      </c>
      <c r="H294" s="767" t="e">
        <f t="shared" ca="1" si="60"/>
        <v>#REF!</v>
      </c>
      <c r="I294" s="767" t="e">
        <f t="shared" ca="1" si="60"/>
        <v>#REF!</v>
      </c>
      <c r="J294" s="767" t="e">
        <f t="shared" ca="1" si="60"/>
        <v>#REF!</v>
      </c>
      <c r="K294" s="767" t="e">
        <f t="shared" ca="1" si="60"/>
        <v>#REF!</v>
      </c>
      <c r="L294" s="767" t="e">
        <f t="shared" ca="1" si="60"/>
        <v>#REF!</v>
      </c>
      <c r="M294" s="767" t="e">
        <f t="shared" ca="1" si="60"/>
        <v>#REF!</v>
      </c>
      <c r="N294" s="767" t="e">
        <f t="shared" ca="1" si="60"/>
        <v>#REF!</v>
      </c>
      <c r="O294" s="767" t="e">
        <f t="shared" ca="1" si="60"/>
        <v>#REF!</v>
      </c>
      <c r="P294" s="767" t="e">
        <f t="shared" ca="1" si="60"/>
        <v>#REF!</v>
      </c>
      <c r="Q294" s="767" t="e">
        <f t="shared" ca="1" si="60"/>
        <v>#REF!</v>
      </c>
      <c r="R294" s="767" t="e">
        <f t="shared" ca="1" si="60"/>
        <v>#REF!</v>
      </c>
      <c r="S294" s="767" t="e">
        <f t="shared" ca="1" si="60"/>
        <v>#REF!</v>
      </c>
      <c r="T294" s="767"/>
    </row>
    <row r="295" spans="2:22">
      <c r="B295" s="758" t="str">
        <f>IF(OR((B292="~"),(C295="~")),"~","")</f>
        <v/>
      </c>
      <c r="C295" s="758" t="str">
        <f>IF(B292="~","~",[7]INPUTS!$C$44)</f>
        <v>Customer</v>
      </c>
      <c r="E295" s="767" t="e">
        <f t="shared" ca="1" si="59"/>
        <v>#REF!</v>
      </c>
      <c r="F295" s="779"/>
      <c r="G295" s="767" t="e">
        <f t="shared" ca="1" si="60"/>
        <v>#REF!</v>
      </c>
      <c r="H295" s="767" t="e">
        <f t="shared" ca="1" si="60"/>
        <v>#REF!</v>
      </c>
      <c r="I295" s="767" t="e">
        <f t="shared" ca="1" si="60"/>
        <v>#REF!</v>
      </c>
      <c r="J295" s="767" t="e">
        <f t="shared" ca="1" si="60"/>
        <v>#REF!</v>
      </c>
      <c r="K295" s="767" t="e">
        <f t="shared" ca="1" si="60"/>
        <v>#REF!</v>
      </c>
      <c r="L295" s="767" t="e">
        <f t="shared" ca="1" si="60"/>
        <v>#REF!</v>
      </c>
      <c r="M295" s="767" t="e">
        <f t="shared" ca="1" si="60"/>
        <v>#REF!</v>
      </c>
      <c r="N295" s="767" t="e">
        <f t="shared" ca="1" si="60"/>
        <v>#REF!</v>
      </c>
      <c r="O295" s="767" t="e">
        <f t="shared" ca="1" si="60"/>
        <v>#REF!</v>
      </c>
      <c r="P295" s="767" t="e">
        <f t="shared" ca="1" si="60"/>
        <v>#REF!</v>
      </c>
      <c r="Q295" s="767" t="e">
        <f t="shared" ca="1" si="60"/>
        <v>#REF!</v>
      </c>
      <c r="R295" s="767" t="e">
        <f t="shared" ca="1" si="60"/>
        <v>#REF!</v>
      </c>
      <c r="S295" s="767" t="e">
        <f t="shared" ca="1" si="60"/>
        <v>#REF!</v>
      </c>
      <c r="T295" s="767"/>
    </row>
    <row r="296" spans="2:22">
      <c r="B296" s="758" t="str">
        <f>IF(OR((B292="~"),(C296="~")),"~","")</f>
        <v>~</v>
      </c>
      <c r="C296" s="758" t="str">
        <f>IF(B292="~","~",[7]INPUTS!$C$45)</f>
        <v>~</v>
      </c>
      <c r="E296" s="767" t="e">
        <f t="shared" ca="1" si="59"/>
        <v>#REF!</v>
      </c>
      <c r="F296" s="779"/>
      <c r="G296" s="767" t="e">
        <f t="shared" ca="1" si="60"/>
        <v>#REF!</v>
      </c>
      <c r="H296" s="767" t="e">
        <f t="shared" ca="1" si="60"/>
        <v>#REF!</v>
      </c>
      <c r="I296" s="767" t="e">
        <f t="shared" ca="1" si="60"/>
        <v>#REF!</v>
      </c>
      <c r="J296" s="767" t="e">
        <f t="shared" ca="1" si="60"/>
        <v>#REF!</v>
      </c>
      <c r="K296" s="767" t="e">
        <f t="shared" ca="1" si="60"/>
        <v>#REF!</v>
      </c>
      <c r="L296" s="767" t="e">
        <f t="shared" ca="1" si="60"/>
        <v>#REF!</v>
      </c>
      <c r="M296" s="767" t="e">
        <f t="shared" ca="1" si="60"/>
        <v>#REF!</v>
      </c>
      <c r="N296" s="767" t="e">
        <f t="shared" ca="1" si="60"/>
        <v>#REF!</v>
      </c>
      <c r="O296" s="767" t="e">
        <f t="shared" ca="1" si="60"/>
        <v>#REF!</v>
      </c>
      <c r="P296" s="767" t="e">
        <f t="shared" ca="1" si="60"/>
        <v>#REF!</v>
      </c>
      <c r="Q296" s="767" t="e">
        <f t="shared" ca="1" si="60"/>
        <v>#REF!</v>
      </c>
      <c r="R296" s="767" t="e">
        <f t="shared" ca="1" si="60"/>
        <v>#REF!</v>
      </c>
      <c r="S296" s="767" t="e">
        <f t="shared" ca="1" si="60"/>
        <v>#REF!</v>
      </c>
      <c r="T296" s="767"/>
    </row>
    <row r="297" spans="2:22">
      <c r="B297" s="758" t="str">
        <f>IF(OR((B292="~"),(C297="~")),"~","")</f>
        <v>~</v>
      </c>
      <c r="C297" s="758" t="str">
        <f>IF(B292="~","~",[7]INPUTS!$C$46)</f>
        <v>~</v>
      </c>
      <c r="E297" s="767" t="e">
        <f t="shared" ca="1" si="59"/>
        <v>#REF!</v>
      </c>
      <c r="F297" s="779"/>
      <c r="G297" s="767" t="e">
        <f t="shared" ca="1" si="60"/>
        <v>#REF!</v>
      </c>
      <c r="H297" s="767" t="e">
        <f t="shared" ca="1" si="60"/>
        <v>#REF!</v>
      </c>
      <c r="I297" s="767" t="e">
        <f t="shared" ca="1" si="60"/>
        <v>#REF!</v>
      </c>
      <c r="J297" s="767" t="e">
        <f t="shared" ca="1" si="60"/>
        <v>#REF!</v>
      </c>
      <c r="K297" s="767" t="e">
        <f t="shared" ca="1" si="60"/>
        <v>#REF!</v>
      </c>
      <c r="L297" s="767" t="e">
        <f t="shared" ca="1" si="60"/>
        <v>#REF!</v>
      </c>
      <c r="M297" s="767" t="e">
        <f t="shared" ca="1" si="60"/>
        <v>#REF!</v>
      </c>
      <c r="N297" s="767" t="e">
        <f t="shared" ca="1" si="60"/>
        <v>#REF!</v>
      </c>
      <c r="O297" s="767" t="e">
        <f t="shared" ca="1" si="60"/>
        <v>#REF!</v>
      </c>
      <c r="P297" s="767" t="e">
        <f t="shared" ca="1" si="60"/>
        <v>#REF!</v>
      </c>
      <c r="Q297" s="767" t="e">
        <f t="shared" ca="1" si="60"/>
        <v>#REF!</v>
      </c>
      <c r="R297" s="767" t="e">
        <f t="shared" ca="1" si="60"/>
        <v>#REF!</v>
      </c>
      <c r="S297" s="767" t="e">
        <f t="shared" ca="1" si="60"/>
        <v>#REF!</v>
      </c>
      <c r="T297" s="767"/>
    </row>
    <row r="298" spans="2:22">
      <c r="B298" s="758" t="str">
        <f>IF(OR((B292="~"),(C298="~")),"~","")</f>
        <v>~</v>
      </c>
      <c r="C298" s="758" t="str">
        <f>IF(B292="~","~",[7]INPUTS!$C$47)</f>
        <v>~</v>
      </c>
      <c r="E298" s="767" t="e">
        <f t="shared" ca="1" si="59"/>
        <v>#REF!</v>
      </c>
      <c r="F298" s="779"/>
      <c r="G298" s="767" t="e">
        <f t="shared" ca="1" si="60"/>
        <v>#REF!</v>
      </c>
      <c r="H298" s="767" t="e">
        <f t="shared" ca="1" si="60"/>
        <v>#REF!</v>
      </c>
      <c r="I298" s="767" t="e">
        <f t="shared" ca="1" si="60"/>
        <v>#REF!</v>
      </c>
      <c r="J298" s="767" t="e">
        <f t="shared" ca="1" si="60"/>
        <v>#REF!</v>
      </c>
      <c r="K298" s="767" t="e">
        <f t="shared" ca="1" si="60"/>
        <v>#REF!</v>
      </c>
      <c r="L298" s="767" t="e">
        <f t="shared" ca="1" si="60"/>
        <v>#REF!</v>
      </c>
      <c r="M298" s="767" t="e">
        <f t="shared" ca="1" si="60"/>
        <v>#REF!</v>
      </c>
      <c r="N298" s="767" t="e">
        <f t="shared" ca="1" si="60"/>
        <v>#REF!</v>
      </c>
      <c r="O298" s="767" t="e">
        <f t="shared" ca="1" si="60"/>
        <v>#REF!</v>
      </c>
      <c r="P298" s="767" t="e">
        <f t="shared" ca="1" si="60"/>
        <v>#REF!</v>
      </c>
      <c r="Q298" s="767" t="e">
        <f t="shared" ca="1" si="60"/>
        <v>#REF!</v>
      </c>
      <c r="R298" s="767" t="e">
        <f t="shared" ca="1" si="60"/>
        <v>#REF!</v>
      </c>
      <c r="S298" s="767" t="e">
        <f t="shared" ca="1" si="60"/>
        <v>#REF!</v>
      </c>
      <c r="T298" s="767"/>
    </row>
    <row r="299" spans="2:22" s="760" customFormat="1">
      <c r="B299" s="760" t="str">
        <f>IF(OR((B292="~"),(C299="~")),"~","")</f>
        <v/>
      </c>
      <c r="C299" s="760" t="s">
        <v>160</v>
      </c>
      <c r="E299" s="774" t="e">
        <f t="shared" ca="1" si="59"/>
        <v>#REF!</v>
      </c>
      <c r="F299" s="780"/>
      <c r="G299" s="774" t="e">
        <f t="shared" ca="1" si="60"/>
        <v>#REF!</v>
      </c>
      <c r="H299" s="774" t="e">
        <f t="shared" ca="1" si="60"/>
        <v>#REF!</v>
      </c>
      <c r="I299" s="774" t="e">
        <f t="shared" ca="1" si="60"/>
        <v>#REF!</v>
      </c>
      <c r="J299" s="774" t="e">
        <f t="shared" ca="1" si="60"/>
        <v>#REF!</v>
      </c>
      <c r="K299" s="774" t="e">
        <f t="shared" ca="1" si="60"/>
        <v>#REF!</v>
      </c>
      <c r="L299" s="774" t="e">
        <f t="shared" ca="1" si="60"/>
        <v>#REF!</v>
      </c>
      <c r="M299" s="774" t="e">
        <f t="shared" ca="1" si="60"/>
        <v>#REF!</v>
      </c>
      <c r="N299" s="774" t="e">
        <f t="shared" ca="1" si="60"/>
        <v>#REF!</v>
      </c>
      <c r="O299" s="774" t="e">
        <f t="shared" ca="1" si="60"/>
        <v>#REF!</v>
      </c>
      <c r="P299" s="774" t="e">
        <f t="shared" ca="1" si="60"/>
        <v>#REF!</v>
      </c>
      <c r="Q299" s="774" t="e">
        <f t="shared" ca="1" si="60"/>
        <v>#REF!</v>
      </c>
      <c r="R299" s="774" t="e">
        <f t="shared" ca="1" si="60"/>
        <v>#REF!</v>
      </c>
      <c r="S299" s="774" t="e">
        <f t="shared" ca="1" si="60"/>
        <v>#REF!</v>
      </c>
      <c r="T299" s="774"/>
      <c r="U299" s="782"/>
      <c r="V299" s="782"/>
    </row>
    <row r="300" spans="2:22">
      <c r="B300" s="758" t="str">
        <f>IF(OR((B292="~"),(C300="~")),"~","")</f>
        <v/>
      </c>
      <c r="E300" s="781"/>
      <c r="F300" s="781"/>
      <c r="G300" s="781"/>
      <c r="H300" s="781"/>
      <c r="I300" s="781"/>
      <c r="J300" s="781"/>
      <c r="K300" s="781"/>
      <c r="L300" s="781"/>
      <c r="M300" s="781"/>
      <c r="N300" s="781"/>
      <c r="O300" s="781"/>
      <c r="P300" s="781"/>
      <c r="Q300" s="781"/>
      <c r="R300" s="781"/>
      <c r="S300" s="781"/>
    </row>
    <row r="301" spans="2:22">
      <c r="B301" s="760" t="str">
        <f>[7]INPUTS!$F$13</f>
        <v>Distribution</v>
      </c>
      <c r="E301" s="779"/>
      <c r="F301" s="779"/>
      <c r="G301" s="779"/>
      <c r="H301" s="779"/>
      <c r="I301" s="779"/>
      <c r="J301" s="779"/>
      <c r="K301" s="779"/>
      <c r="L301" s="779"/>
      <c r="M301" s="779"/>
      <c r="N301" s="779"/>
      <c r="O301" s="779"/>
      <c r="P301" s="779"/>
      <c r="Q301" s="779"/>
      <c r="R301" s="779"/>
      <c r="S301" s="779"/>
      <c r="T301" s="765"/>
    </row>
    <row r="302" spans="2:22">
      <c r="B302" s="758" t="str">
        <f>IF(OR((B301="~"),(C302="~")),"~","")</f>
        <v/>
      </c>
      <c r="C302" s="758" t="str">
        <f>IF(B301="~","~",[7]INPUTS!$C$42)</f>
        <v>Demand</v>
      </c>
      <c r="E302" s="767" t="e">
        <f t="shared" ref="E302:E308" ca="1" si="61">ROUND(IF($C302=0,0,E193/E$383),6)</f>
        <v>#REF!</v>
      </c>
      <c r="F302" s="779"/>
      <c r="G302" s="767" t="e">
        <f t="shared" ref="G302:S308" ca="1" si="62">ROUND(IF($C302=0,0,G193/G$383),6)</f>
        <v>#REF!</v>
      </c>
      <c r="H302" s="767" t="e">
        <f t="shared" ca="1" si="62"/>
        <v>#REF!</v>
      </c>
      <c r="I302" s="767" t="e">
        <f t="shared" ca="1" si="62"/>
        <v>#REF!</v>
      </c>
      <c r="J302" s="767" t="e">
        <f t="shared" ca="1" si="62"/>
        <v>#REF!</v>
      </c>
      <c r="K302" s="767" t="e">
        <f t="shared" ca="1" si="62"/>
        <v>#REF!</v>
      </c>
      <c r="L302" s="767" t="e">
        <f t="shared" ca="1" si="62"/>
        <v>#REF!</v>
      </c>
      <c r="M302" s="767" t="e">
        <f t="shared" ca="1" si="62"/>
        <v>#REF!</v>
      </c>
      <c r="N302" s="767" t="e">
        <f t="shared" ca="1" si="62"/>
        <v>#REF!</v>
      </c>
      <c r="O302" s="767" t="e">
        <f t="shared" ca="1" si="62"/>
        <v>#REF!</v>
      </c>
      <c r="P302" s="767" t="e">
        <f t="shared" ca="1" si="62"/>
        <v>#REF!</v>
      </c>
      <c r="Q302" s="767" t="e">
        <f t="shared" ca="1" si="62"/>
        <v>#REF!</v>
      </c>
      <c r="R302" s="767" t="e">
        <f t="shared" ca="1" si="62"/>
        <v>#REF!</v>
      </c>
      <c r="S302" s="767" t="e">
        <f t="shared" ca="1" si="62"/>
        <v>#REF!</v>
      </c>
      <c r="T302" s="767"/>
    </row>
    <row r="303" spans="2:22">
      <c r="B303" s="758" t="str">
        <f>IF(OR((B301="~"),(C303="~")),"~","")</f>
        <v/>
      </c>
      <c r="C303" s="758" t="str">
        <f>IF(B301="~","~",[7]INPUTS!$C$43)</f>
        <v>Energy</v>
      </c>
      <c r="E303" s="767" t="e">
        <f t="shared" ca="1" si="61"/>
        <v>#REF!</v>
      </c>
      <c r="F303" s="779"/>
      <c r="G303" s="767" t="e">
        <f t="shared" ca="1" si="62"/>
        <v>#REF!</v>
      </c>
      <c r="H303" s="767" t="e">
        <f t="shared" ca="1" si="62"/>
        <v>#REF!</v>
      </c>
      <c r="I303" s="767" t="e">
        <f t="shared" ca="1" si="62"/>
        <v>#REF!</v>
      </c>
      <c r="J303" s="767" t="e">
        <f t="shared" ca="1" si="62"/>
        <v>#REF!</v>
      </c>
      <c r="K303" s="767" t="e">
        <f t="shared" ca="1" si="62"/>
        <v>#REF!</v>
      </c>
      <c r="L303" s="767" t="e">
        <f t="shared" ca="1" si="62"/>
        <v>#REF!</v>
      </c>
      <c r="M303" s="767" t="e">
        <f t="shared" ca="1" si="62"/>
        <v>#REF!</v>
      </c>
      <c r="N303" s="767" t="e">
        <f t="shared" ca="1" si="62"/>
        <v>#REF!</v>
      </c>
      <c r="O303" s="767" t="e">
        <f t="shared" ca="1" si="62"/>
        <v>#REF!</v>
      </c>
      <c r="P303" s="767" t="e">
        <f t="shared" ca="1" si="62"/>
        <v>#REF!</v>
      </c>
      <c r="Q303" s="767" t="e">
        <f t="shared" ca="1" si="62"/>
        <v>#REF!</v>
      </c>
      <c r="R303" s="767" t="e">
        <f t="shared" ca="1" si="62"/>
        <v>#REF!</v>
      </c>
      <c r="S303" s="767" t="e">
        <f t="shared" ca="1" si="62"/>
        <v>#REF!</v>
      </c>
      <c r="T303" s="767"/>
    </row>
    <row r="304" spans="2:22">
      <c r="B304" s="758" t="str">
        <f>IF(OR((B301="~"),(C304="~")),"~","")</f>
        <v/>
      </c>
      <c r="C304" s="758" t="str">
        <f>IF(B301="~","~",[7]INPUTS!$C$44)</f>
        <v>Customer</v>
      </c>
      <c r="E304" s="767" t="e">
        <f t="shared" ca="1" si="61"/>
        <v>#REF!</v>
      </c>
      <c r="F304" s="779"/>
      <c r="G304" s="767" t="e">
        <f t="shared" ca="1" si="62"/>
        <v>#REF!</v>
      </c>
      <c r="H304" s="767" t="e">
        <f t="shared" ca="1" si="62"/>
        <v>#REF!</v>
      </c>
      <c r="I304" s="767" t="e">
        <f t="shared" ca="1" si="62"/>
        <v>#REF!</v>
      </c>
      <c r="J304" s="767" t="e">
        <f t="shared" ca="1" si="62"/>
        <v>#REF!</v>
      </c>
      <c r="K304" s="767" t="e">
        <f t="shared" ca="1" si="62"/>
        <v>#REF!</v>
      </c>
      <c r="L304" s="767" t="e">
        <f t="shared" ca="1" si="62"/>
        <v>#REF!</v>
      </c>
      <c r="M304" s="767" t="e">
        <f t="shared" ca="1" si="62"/>
        <v>#REF!</v>
      </c>
      <c r="N304" s="767" t="e">
        <f t="shared" ca="1" si="62"/>
        <v>#REF!</v>
      </c>
      <c r="O304" s="767" t="e">
        <f t="shared" ca="1" si="62"/>
        <v>#REF!</v>
      </c>
      <c r="P304" s="767" t="e">
        <f t="shared" ca="1" si="62"/>
        <v>#REF!</v>
      </c>
      <c r="Q304" s="767" t="e">
        <f t="shared" ca="1" si="62"/>
        <v>#REF!</v>
      </c>
      <c r="R304" s="767" t="e">
        <f t="shared" ca="1" si="62"/>
        <v>#REF!</v>
      </c>
      <c r="S304" s="767" t="e">
        <f t="shared" ca="1" si="62"/>
        <v>#REF!</v>
      </c>
      <c r="T304" s="767"/>
    </row>
    <row r="305" spans="2:22">
      <c r="B305" s="758" t="str">
        <f>IF(OR((B301="~"),(C305="~")),"~","")</f>
        <v>~</v>
      </c>
      <c r="C305" s="758" t="str">
        <f>IF(B301="~","~",[7]INPUTS!$C$45)</f>
        <v>~</v>
      </c>
      <c r="E305" s="767" t="e">
        <f t="shared" ca="1" si="61"/>
        <v>#REF!</v>
      </c>
      <c r="F305" s="779"/>
      <c r="G305" s="767" t="e">
        <f t="shared" ca="1" si="62"/>
        <v>#REF!</v>
      </c>
      <c r="H305" s="767" t="e">
        <f t="shared" ca="1" si="62"/>
        <v>#REF!</v>
      </c>
      <c r="I305" s="767" t="e">
        <f t="shared" ca="1" si="62"/>
        <v>#REF!</v>
      </c>
      <c r="J305" s="767" t="e">
        <f t="shared" ca="1" si="62"/>
        <v>#REF!</v>
      </c>
      <c r="K305" s="767" t="e">
        <f t="shared" ca="1" si="62"/>
        <v>#REF!</v>
      </c>
      <c r="L305" s="767" t="e">
        <f t="shared" ca="1" si="62"/>
        <v>#REF!</v>
      </c>
      <c r="M305" s="767" t="e">
        <f t="shared" ca="1" si="62"/>
        <v>#REF!</v>
      </c>
      <c r="N305" s="767" t="e">
        <f t="shared" ca="1" si="62"/>
        <v>#REF!</v>
      </c>
      <c r="O305" s="767" t="e">
        <f t="shared" ca="1" si="62"/>
        <v>#REF!</v>
      </c>
      <c r="P305" s="767" t="e">
        <f t="shared" ca="1" si="62"/>
        <v>#REF!</v>
      </c>
      <c r="Q305" s="767" t="e">
        <f t="shared" ca="1" si="62"/>
        <v>#REF!</v>
      </c>
      <c r="R305" s="767" t="e">
        <f t="shared" ca="1" si="62"/>
        <v>#REF!</v>
      </c>
      <c r="S305" s="767" t="e">
        <f t="shared" ca="1" si="62"/>
        <v>#REF!</v>
      </c>
      <c r="T305" s="767"/>
    </row>
    <row r="306" spans="2:22">
      <c r="B306" s="758" t="str">
        <f>IF(OR((B301="~"),(C306="~")),"~","")</f>
        <v>~</v>
      </c>
      <c r="C306" s="758" t="str">
        <f>IF(B301="~","~",[7]INPUTS!$C$46)</f>
        <v>~</v>
      </c>
      <c r="E306" s="767" t="e">
        <f t="shared" ca="1" si="61"/>
        <v>#REF!</v>
      </c>
      <c r="F306" s="779"/>
      <c r="G306" s="767" t="e">
        <f t="shared" ca="1" si="62"/>
        <v>#REF!</v>
      </c>
      <c r="H306" s="767" t="e">
        <f t="shared" ca="1" si="62"/>
        <v>#REF!</v>
      </c>
      <c r="I306" s="767" t="e">
        <f t="shared" ca="1" si="62"/>
        <v>#REF!</v>
      </c>
      <c r="J306" s="767" t="e">
        <f t="shared" ca="1" si="62"/>
        <v>#REF!</v>
      </c>
      <c r="K306" s="767" t="e">
        <f t="shared" ca="1" si="62"/>
        <v>#REF!</v>
      </c>
      <c r="L306" s="767" t="e">
        <f t="shared" ca="1" si="62"/>
        <v>#REF!</v>
      </c>
      <c r="M306" s="767" t="e">
        <f t="shared" ca="1" si="62"/>
        <v>#REF!</v>
      </c>
      <c r="N306" s="767" t="e">
        <f t="shared" ca="1" si="62"/>
        <v>#REF!</v>
      </c>
      <c r="O306" s="767" t="e">
        <f t="shared" ca="1" si="62"/>
        <v>#REF!</v>
      </c>
      <c r="P306" s="767" t="e">
        <f t="shared" ca="1" si="62"/>
        <v>#REF!</v>
      </c>
      <c r="Q306" s="767" t="e">
        <f t="shared" ca="1" si="62"/>
        <v>#REF!</v>
      </c>
      <c r="R306" s="767" t="e">
        <f t="shared" ca="1" si="62"/>
        <v>#REF!</v>
      </c>
      <c r="S306" s="767" t="e">
        <f t="shared" ca="1" si="62"/>
        <v>#REF!</v>
      </c>
      <c r="T306" s="767"/>
    </row>
    <row r="307" spans="2:22">
      <c r="B307" s="758" t="str">
        <f>IF(OR((B301="~"),(C307="~")),"~","")</f>
        <v>~</v>
      </c>
      <c r="C307" s="758" t="str">
        <f>IF(B301="~","~",[7]INPUTS!$C$47)</f>
        <v>~</v>
      </c>
      <c r="E307" s="767" t="e">
        <f t="shared" ca="1" si="61"/>
        <v>#REF!</v>
      </c>
      <c r="F307" s="779"/>
      <c r="G307" s="767" t="e">
        <f t="shared" ca="1" si="62"/>
        <v>#REF!</v>
      </c>
      <c r="H307" s="767" t="e">
        <f t="shared" ca="1" si="62"/>
        <v>#REF!</v>
      </c>
      <c r="I307" s="767" t="e">
        <f t="shared" ca="1" si="62"/>
        <v>#REF!</v>
      </c>
      <c r="J307" s="767" t="e">
        <f t="shared" ca="1" si="62"/>
        <v>#REF!</v>
      </c>
      <c r="K307" s="767" t="e">
        <f t="shared" ca="1" si="62"/>
        <v>#REF!</v>
      </c>
      <c r="L307" s="767" t="e">
        <f t="shared" ca="1" si="62"/>
        <v>#REF!</v>
      </c>
      <c r="M307" s="767" t="e">
        <f t="shared" ca="1" si="62"/>
        <v>#REF!</v>
      </c>
      <c r="N307" s="767" t="e">
        <f t="shared" ca="1" si="62"/>
        <v>#REF!</v>
      </c>
      <c r="O307" s="767" t="e">
        <f t="shared" ca="1" si="62"/>
        <v>#REF!</v>
      </c>
      <c r="P307" s="767" t="e">
        <f t="shared" ca="1" si="62"/>
        <v>#REF!</v>
      </c>
      <c r="Q307" s="767" t="e">
        <f t="shared" ca="1" si="62"/>
        <v>#REF!</v>
      </c>
      <c r="R307" s="767" t="e">
        <f t="shared" ca="1" si="62"/>
        <v>#REF!</v>
      </c>
      <c r="S307" s="767" t="e">
        <f t="shared" ca="1" si="62"/>
        <v>#REF!</v>
      </c>
      <c r="T307" s="767"/>
    </row>
    <row r="308" spans="2:22" s="760" customFormat="1">
      <c r="B308" s="760" t="str">
        <f>IF(OR((B301="~"),(C308="~")),"~","")</f>
        <v/>
      </c>
      <c r="C308" s="760" t="s">
        <v>160</v>
      </c>
      <c r="E308" s="774" t="e">
        <f t="shared" ca="1" si="61"/>
        <v>#REF!</v>
      </c>
      <c r="F308" s="780"/>
      <c r="G308" s="774" t="e">
        <f t="shared" ca="1" si="62"/>
        <v>#REF!</v>
      </c>
      <c r="H308" s="774" t="e">
        <f t="shared" ca="1" si="62"/>
        <v>#REF!</v>
      </c>
      <c r="I308" s="774" t="e">
        <f t="shared" ca="1" si="62"/>
        <v>#REF!</v>
      </c>
      <c r="J308" s="774" t="e">
        <f t="shared" ca="1" si="62"/>
        <v>#REF!</v>
      </c>
      <c r="K308" s="774" t="e">
        <f t="shared" ca="1" si="62"/>
        <v>#REF!</v>
      </c>
      <c r="L308" s="774" t="e">
        <f t="shared" ca="1" si="62"/>
        <v>#REF!</v>
      </c>
      <c r="M308" s="774" t="e">
        <f t="shared" ca="1" si="62"/>
        <v>#REF!</v>
      </c>
      <c r="N308" s="774" t="e">
        <f t="shared" ca="1" si="62"/>
        <v>#REF!</v>
      </c>
      <c r="O308" s="774" t="e">
        <f t="shared" ca="1" si="62"/>
        <v>#REF!</v>
      </c>
      <c r="P308" s="774" t="e">
        <f t="shared" ca="1" si="62"/>
        <v>#REF!</v>
      </c>
      <c r="Q308" s="774" t="e">
        <f t="shared" ca="1" si="62"/>
        <v>#REF!</v>
      </c>
      <c r="R308" s="774" t="e">
        <f t="shared" ca="1" si="62"/>
        <v>#REF!</v>
      </c>
      <c r="S308" s="774" t="e">
        <f t="shared" ca="1" si="62"/>
        <v>#REF!</v>
      </c>
      <c r="T308" s="774"/>
      <c r="U308" s="782"/>
      <c r="V308" s="782"/>
    </row>
    <row r="309" spans="2:22">
      <c r="B309" s="758" t="str">
        <f>IF(OR((B301="~"),(C309="~")),"~","")</f>
        <v/>
      </c>
      <c r="E309" s="781"/>
      <c r="F309" s="781"/>
      <c r="G309" s="781"/>
      <c r="H309" s="781"/>
      <c r="I309" s="781"/>
      <c r="J309" s="781"/>
      <c r="K309" s="781"/>
      <c r="L309" s="781"/>
      <c r="M309" s="781"/>
      <c r="N309" s="781"/>
      <c r="O309" s="781"/>
      <c r="P309" s="781"/>
      <c r="Q309" s="781"/>
      <c r="R309" s="781"/>
      <c r="S309" s="781"/>
    </row>
    <row r="310" spans="2:22">
      <c r="B310" s="760" t="str">
        <f>[7]INPUTS!$F$14</f>
        <v>~</v>
      </c>
      <c r="E310" s="779"/>
      <c r="F310" s="779"/>
      <c r="G310" s="779"/>
      <c r="H310" s="779"/>
      <c r="I310" s="779"/>
      <c r="J310" s="779"/>
      <c r="K310" s="779"/>
      <c r="L310" s="779"/>
      <c r="M310" s="779"/>
      <c r="N310" s="779"/>
      <c r="O310" s="779"/>
      <c r="P310" s="779"/>
      <c r="Q310" s="779"/>
      <c r="R310" s="779"/>
      <c r="S310" s="779"/>
      <c r="T310" s="765"/>
    </row>
    <row r="311" spans="2:22">
      <c r="B311" s="758" t="str">
        <f>IF(OR((B310="~"),(C311="~")),"~","")</f>
        <v>~</v>
      </c>
      <c r="C311" s="758" t="str">
        <f>IF(B310="~","~",[7]INPUTS!$C$42)</f>
        <v>~</v>
      </c>
      <c r="E311" s="767" t="e">
        <f t="shared" ref="E311:E316" ca="1" si="63">ROUND(IF($C311=0,0,E202/E$383),6)</f>
        <v>#REF!</v>
      </c>
      <c r="F311" s="779"/>
      <c r="G311" s="767" t="e">
        <f t="shared" ref="G311:S316" ca="1" si="64">ROUND(IF($C311=0,0,G202/G$383),6)</f>
        <v>#REF!</v>
      </c>
      <c r="H311" s="767" t="e">
        <f t="shared" ca="1" si="64"/>
        <v>#REF!</v>
      </c>
      <c r="I311" s="767" t="e">
        <f t="shared" ca="1" si="64"/>
        <v>#REF!</v>
      </c>
      <c r="J311" s="767" t="e">
        <f t="shared" ca="1" si="64"/>
        <v>#REF!</v>
      </c>
      <c r="K311" s="767" t="e">
        <f t="shared" ca="1" si="64"/>
        <v>#REF!</v>
      </c>
      <c r="L311" s="767" t="e">
        <f t="shared" ca="1" si="64"/>
        <v>#REF!</v>
      </c>
      <c r="M311" s="767" t="e">
        <f t="shared" ca="1" si="64"/>
        <v>#REF!</v>
      </c>
      <c r="N311" s="767" t="e">
        <f t="shared" ca="1" si="64"/>
        <v>#REF!</v>
      </c>
      <c r="O311" s="767" t="e">
        <f t="shared" ca="1" si="64"/>
        <v>#REF!</v>
      </c>
      <c r="P311" s="767" t="e">
        <f t="shared" ca="1" si="64"/>
        <v>#REF!</v>
      </c>
      <c r="Q311" s="767" t="e">
        <f t="shared" ca="1" si="64"/>
        <v>#REF!</v>
      </c>
      <c r="R311" s="767" t="e">
        <f t="shared" ca="1" si="64"/>
        <v>#REF!</v>
      </c>
      <c r="S311" s="767" t="e">
        <f t="shared" ca="1" si="64"/>
        <v>#REF!</v>
      </c>
      <c r="T311" s="767"/>
    </row>
    <row r="312" spans="2:22">
      <c r="B312" s="758" t="str">
        <f>IF(OR((B310="~"),(C312="~")),"~","")</f>
        <v>~</v>
      </c>
      <c r="C312" s="758" t="str">
        <f>IF(B310="~","~",[7]INPUTS!$C$43)</f>
        <v>~</v>
      </c>
      <c r="E312" s="767" t="e">
        <f t="shared" ca="1" si="63"/>
        <v>#REF!</v>
      </c>
      <c r="F312" s="779"/>
      <c r="G312" s="767" t="e">
        <f t="shared" ca="1" si="64"/>
        <v>#REF!</v>
      </c>
      <c r="H312" s="767" t="e">
        <f t="shared" ca="1" si="64"/>
        <v>#REF!</v>
      </c>
      <c r="I312" s="767" t="e">
        <f t="shared" ca="1" si="64"/>
        <v>#REF!</v>
      </c>
      <c r="J312" s="767" t="e">
        <f t="shared" ca="1" si="64"/>
        <v>#REF!</v>
      </c>
      <c r="K312" s="767" t="e">
        <f t="shared" ca="1" si="64"/>
        <v>#REF!</v>
      </c>
      <c r="L312" s="767" t="e">
        <f t="shared" ca="1" si="64"/>
        <v>#REF!</v>
      </c>
      <c r="M312" s="767" t="e">
        <f t="shared" ca="1" si="64"/>
        <v>#REF!</v>
      </c>
      <c r="N312" s="767" t="e">
        <f t="shared" ca="1" si="64"/>
        <v>#REF!</v>
      </c>
      <c r="O312" s="767" t="e">
        <f t="shared" ca="1" si="64"/>
        <v>#REF!</v>
      </c>
      <c r="P312" s="767" t="e">
        <f t="shared" ca="1" si="64"/>
        <v>#REF!</v>
      </c>
      <c r="Q312" s="767" t="e">
        <f t="shared" ca="1" si="64"/>
        <v>#REF!</v>
      </c>
      <c r="R312" s="767" t="e">
        <f t="shared" ca="1" si="64"/>
        <v>#REF!</v>
      </c>
      <c r="S312" s="767" t="e">
        <f t="shared" ca="1" si="64"/>
        <v>#REF!</v>
      </c>
      <c r="T312" s="767"/>
    </row>
    <row r="313" spans="2:22">
      <c r="B313" s="758" t="str">
        <f>IF(OR((B310="~"),(C313="~")),"~","")</f>
        <v>~</v>
      </c>
      <c r="C313" s="758" t="str">
        <f>IF(B310="~","~",[7]INPUTS!$C$44)</f>
        <v>~</v>
      </c>
      <c r="E313" s="767" t="e">
        <f t="shared" ca="1" si="63"/>
        <v>#REF!</v>
      </c>
      <c r="F313" s="779"/>
      <c r="G313" s="767" t="e">
        <f t="shared" ca="1" si="64"/>
        <v>#REF!</v>
      </c>
      <c r="H313" s="767" t="e">
        <f t="shared" ca="1" si="64"/>
        <v>#REF!</v>
      </c>
      <c r="I313" s="767" t="e">
        <f t="shared" ca="1" si="64"/>
        <v>#REF!</v>
      </c>
      <c r="J313" s="767" t="e">
        <f t="shared" ca="1" si="64"/>
        <v>#REF!</v>
      </c>
      <c r="K313" s="767" t="e">
        <f t="shared" ca="1" si="64"/>
        <v>#REF!</v>
      </c>
      <c r="L313" s="767" t="e">
        <f t="shared" ca="1" si="64"/>
        <v>#REF!</v>
      </c>
      <c r="M313" s="767" t="e">
        <f t="shared" ca="1" si="64"/>
        <v>#REF!</v>
      </c>
      <c r="N313" s="767" t="e">
        <f t="shared" ca="1" si="64"/>
        <v>#REF!</v>
      </c>
      <c r="O313" s="767" t="e">
        <f t="shared" ca="1" si="64"/>
        <v>#REF!</v>
      </c>
      <c r="P313" s="767" t="e">
        <f t="shared" ca="1" si="64"/>
        <v>#REF!</v>
      </c>
      <c r="Q313" s="767" t="e">
        <f t="shared" ca="1" si="64"/>
        <v>#REF!</v>
      </c>
      <c r="R313" s="767" t="e">
        <f t="shared" ca="1" si="64"/>
        <v>#REF!</v>
      </c>
      <c r="S313" s="767" t="e">
        <f t="shared" ca="1" si="64"/>
        <v>#REF!</v>
      </c>
      <c r="T313" s="767"/>
    </row>
    <row r="314" spans="2:22">
      <c r="B314" s="758" t="str">
        <f>IF(OR((B310="~"),(C314="~")),"~","")</f>
        <v>~</v>
      </c>
      <c r="C314" s="758" t="str">
        <f>IF(B310="~","~",[7]INPUTS!$C$45)</f>
        <v>~</v>
      </c>
      <c r="E314" s="767" t="e">
        <f t="shared" ca="1" si="63"/>
        <v>#REF!</v>
      </c>
      <c r="F314" s="779"/>
      <c r="G314" s="767" t="e">
        <f t="shared" ca="1" si="64"/>
        <v>#REF!</v>
      </c>
      <c r="H314" s="767" t="e">
        <f t="shared" ca="1" si="64"/>
        <v>#REF!</v>
      </c>
      <c r="I314" s="767" t="e">
        <f t="shared" ca="1" si="64"/>
        <v>#REF!</v>
      </c>
      <c r="J314" s="767" t="e">
        <f t="shared" ca="1" si="64"/>
        <v>#REF!</v>
      </c>
      <c r="K314" s="767" t="e">
        <f t="shared" ca="1" si="64"/>
        <v>#REF!</v>
      </c>
      <c r="L314" s="767" t="e">
        <f t="shared" ca="1" si="64"/>
        <v>#REF!</v>
      </c>
      <c r="M314" s="767" t="e">
        <f t="shared" ca="1" si="64"/>
        <v>#REF!</v>
      </c>
      <c r="N314" s="767" t="e">
        <f t="shared" ca="1" si="64"/>
        <v>#REF!</v>
      </c>
      <c r="O314" s="767" t="e">
        <f t="shared" ca="1" si="64"/>
        <v>#REF!</v>
      </c>
      <c r="P314" s="767" t="e">
        <f t="shared" ca="1" si="64"/>
        <v>#REF!</v>
      </c>
      <c r="Q314" s="767" t="e">
        <f t="shared" ca="1" si="64"/>
        <v>#REF!</v>
      </c>
      <c r="R314" s="767" t="e">
        <f t="shared" ca="1" si="64"/>
        <v>#REF!</v>
      </c>
      <c r="S314" s="767" t="e">
        <f t="shared" ca="1" si="64"/>
        <v>#REF!</v>
      </c>
      <c r="T314" s="767"/>
    </row>
    <row r="315" spans="2:22">
      <c r="B315" s="758" t="str">
        <f>IF(OR((B310="~"),(C315="~")),"~","")</f>
        <v>~</v>
      </c>
      <c r="C315" s="758" t="str">
        <f>IF(B310="~","~",[7]INPUTS!$C$46)</f>
        <v>~</v>
      </c>
      <c r="E315" s="767" t="e">
        <f t="shared" ca="1" si="63"/>
        <v>#REF!</v>
      </c>
      <c r="F315" s="779"/>
      <c r="G315" s="767" t="e">
        <f t="shared" ca="1" si="64"/>
        <v>#REF!</v>
      </c>
      <c r="H315" s="767" t="e">
        <f t="shared" ca="1" si="64"/>
        <v>#REF!</v>
      </c>
      <c r="I315" s="767" t="e">
        <f t="shared" ca="1" si="64"/>
        <v>#REF!</v>
      </c>
      <c r="J315" s="767" t="e">
        <f t="shared" ca="1" si="64"/>
        <v>#REF!</v>
      </c>
      <c r="K315" s="767" t="e">
        <f t="shared" ca="1" si="64"/>
        <v>#REF!</v>
      </c>
      <c r="L315" s="767" t="e">
        <f t="shared" ca="1" si="64"/>
        <v>#REF!</v>
      </c>
      <c r="M315" s="767" t="e">
        <f t="shared" ca="1" si="64"/>
        <v>#REF!</v>
      </c>
      <c r="N315" s="767" t="e">
        <f t="shared" ca="1" si="64"/>
        <v>#REF!</v>
      </c>
      <c r="O315" s="767" t="e">
        <f t="shared" ca="1" si="64"/>
        <v>#REF!</v>
      </c>
      <c r="P315" s="767" t="e">
        <f t="shared" ca="1" si="64"/>
        <v>#REF!</v>
      </c>
      <c r="Q315" s="767" t="e">
        <f t="shared" ca="1" si="64"/>
        <v>#REF!</v>
      </c>
      <c r="R315" s="767" t="e">
        <f t="shared" ca="1" si="64"/>
        <v>#REF!</v>
      </c>
      <c r="S315" s="767" t="e">
        <f t="shared" ca="1" si="64"/>
        <v>#REF!</v>
      </c>
      <c r="T315" s="767"/>
    </row>
    <row r="316" spans="2:22">
      <c r="B316" s="758" t="str">
        <f>IF(OR((B310="~"),(C316="~")),"~","")</f>
        <v>~</v>
      </c>
      <c r="C316" s="758" t="str">
        <f>IF(B310="~","~",[7]INPUTS!$C$47)</f>
        <v>~</v>
      </c>
      <c r="E316" s="767" t="e">
        <f t="shared" ca="1" si="63"/>
        <v>#REF!</v>
      </c>
      <c r="F316" s="779"/>
      <c r="G316" s="767" t="e">
        <f t="shared" ca="1" si="64"/>
        <v>#REF!</v>
      </c>
      <c r="H316" s="767" t="e">
        <f t="shared" ca="1" si="64"/>
        <v>#REF!</v>
      </c>
      <c r="I316" s="767" t="e">
        <f t="shared" ca="1" si="64"/>
        <v>#REF!</v>
      </c>
      <c r="J316" s="767" t="e">
        <f t="shared" ca="1" si="64"/>
        <v>#REF!</v>
      </c>
      <c r="K316" s="767" t="e">
        <f t="shared" ca="1" si="64"/>
        <v>#REF!</v>
      </c>
      <c r="L316" s="767" t="e">
        <f t="shared" ca="1" si="64"/>
        <v>#REF!</v>
      </c>
      <c r="M316" s="767" t="e">
        <f t="shared" ca="1" si="64"/>
        <v>#REF!</v>
      </c>
      <c r="N316" s="767" t="e">
        <f t="shared" ca="1" si="64"/>
        <v>#REF!</v>
      </c>
      <c r="O316" s="767" t="e">
        <f t="shared" ca="1" si="64"/>
        <v>#REF!</v>
      </c>
      <c r="P316" s="767" t="e">
        <f t="shared" ca="1" si="64"/>
        <v>#REF!</v>
      </c>
      <c r="Q316" s="767" t="e">
        <f t="shared" ca="1" si="64"/>
        <v>#REF!</v>
      </c>
      <c r="R316" s="767" t="e">
        <f t="shared" ca="1" si="64"/>
        <v>#REF!</v>
      </c>
      <c r="S316" s="767" t="e">
        <f t="shared" ca="1" si="64"/>
        <v>#REF!</v>
      </c>
      <c r="T316" s="767"/>
    </row>
    <row r="317" spans="2:22" s="760" customFormat="1">
      <c r="B317" s="760" t="str">
        <f>IF(OR((B310="~"),(C317="~")),"~","")</f>
        <v>~</v>
      </c>
      <c r="C317" s="760" t="str">
        <f>IF(B310="~","~","")</f>
        <v>~</v>
      </c>
      <c r="E317" s="774"/>
      <c r="F317" s="780"/>
      <c r="G317" s="774"/>
      <c r="H317" s="774"/>
      <c r="I317" s="774"/>
      <c r="J317" s="774"/>
      <c r="K317" s="774"/>
      <c r="L317" s="774"/>
      <c r="M317" s="774"/>
      <c r="N317" s="774"/>
      <c r="O317" s="774"/>
      <c r="P317" s="774"/>
      <c r="Q317" s="774"/>
      <c r="R317" s="774"/>
      <c r="S317" s="774"/>
      <c r="T317" s="774"/>
      <c r="U317" s="782"/>
      <c r="V317" s="782"/>
    </row>
    <row r="318" spans="2:22">
      <c r="B318" s="758" t="str">
        <f>IF(OR((B310="~"),(C318="~")),"~","")</f>
        <v>~</v>
      </c>
      <c r="E318" s="781"/>
      <c r="F318" s="781"/>
      <c r="G318" s="781"/>
      <c r="H318" s="781"/>
      <c r="I318" s="781"/>
      <c r="J318" s="781"/>
      <c r="K318" s="781"/>
      <c r="L318" s="781"/>
      <c r="M318" s="781"/>
      <c r="N318" s="781"/>
      <c r="O318" s="781"/>
      <c r="P318" s="781"/>
      <c r="Q318" s="781"/>
      <c r="R318" s="781"/>
      <c r="S318" s="781"/>
    </row>
    <row r="319" spans="2:22">
      <c r="B319" s="760" t="str">
        <f>[7]INPUTS!$F$15</f>
        <v>~</v>
      </c>
      <c r="E319" s="779"/>
      <c r="F319" s="779"/>
      <c r="G319" s="779"/>
      <c r="H319" s="779"/>
      <c r="I319" s="779"/>
      <c r="J319" s="779"/>
      <c r="K319" s="779"/>
      <c r="L319" s="779"/>
      <c r="M319" s="779"/>
      <c r="N319" s="779"/>
      <c r="O319" s="779"/>
      <c r="P319" s="779"/>
      <c r="Q319" s="779"/>
      <c r="R319" s="779"/>
      <c r="S319" s="779"/>
      <c r="T319" s="765"/>
    </row>
    <row r="320" spans="2:22">
      <c r="B320" s="758" t="str">
        <f>IF(OR((B319="~"),(C320="~")),"~","")</f>
        <v>~</v>
      </c>
      <c r="C320" s="758" t="str">
        <f>IF(B319="~","~",[7]INPUTS!$C$42)</f>
        <v>~</v>
      </c>
      <c r="E320" s="767" t="e">
        <f t="shared" ref="E320:E325" ca="1" si="65">ROUND(IF($C320=0,0,E211/E$383),6)</f>
        <v>#REF!</v>
      </c>
      <c r="F320" s="779"/>
      <c r="G320" s="767" t="e">
        <f t="shared" ref="G320:S325" ca="1" si="66">ROUND(IF($C320=0,0,G211/G$383),6)</f>
        <v>#REF!</v>
      </c>
      <c r="H320" s="767" t="e">
        <f t="shared" ca="1" si="66"/>
        <v>#REF!</v>
      </c>
      <c r="I320" s="767" t="e">
        <f t="shared" ca="1" si="66"/>
        <v>#REF!</v>
      </c>
      <c r="J320" s="767" t="e">
        <f t="shared" ca="1" si="66"/>
        <v>#REF!</v>
      </c>
      <c r="K320" s="767" t="e">
        <f t="shared" ca="1" si="66"/>
        <v>#REF!</v>
      </c>
      <c r="L320" s="767" t="e">
        <f t="shared" ca="1" si="66"/>
        <v>#REF!</v>
      </c>
      <c r="M320" s="767" t="e">
        <f t="shared" ca="1" si="66"/>
        <v>#REF!</v>
      </c>
      <c r="N320" s="767" t="e">
        <f t="shared" ca="1" si="66"/>
        <v>#REF!</v>
      </c>
      <c r="O320" s="767" t="e">
        <f t="shared" ca="1" si="66"/>
        <v>#REF!</v>
      </c>
      <c r="P320" s="767" t="e">
        <f t="shared" ca="1" si="66"/>
        <v>#REF!</v>
      </c>
      <c r="Q320" s="767" t="e">
        <f t="shared" ca="1" si="66"/>
        <v>#REF!</v>
      </c>
      <c r="R320" s="767" t="e">
        <f t="shared" ca="1" si="66"/>
        <v>#REF!</v>
      </c>
      <c r="S320" s="767" t="e">
        <f t="shared" ca="1" si="66"/>
        <v>#REF!</v>
      </c>
      <c r="T320" s="767"/>
    </row>
    <row r="321" spans="2:22">
      <c r="B321" s="758" t="str">
        <f>IF(OR((B319="~"),(C321="~")),"~","")</f>
        <v>~</v>
      </c>
      <c r="C321" s="758" t="str">
        <f>IF(B319="~","~",[7]INPUTS!$C$43)</f>
        <v>~</v>
      </c>
      <c r="E321" s="767" t="e">
        <f t="shared" ca="1" si="65"/>
        <v>#REF!</v>
      </c>
      <c r="F321" s="779"/>
      <c r="G321" s="767" t="e">
        <f t="shared" ca="1" si="66"/>
        <v>#REF!</v>
      </c>
      <c r="H321" s="767" t="e">
        <f t="shared" ca="1" si="66"/>
        <v>#REF!</v>
      </c>
      <c r="I321" s="767" t="e">
        <f t="shared" ca="1" si="66"/>
        <v>#REF!</v>
      </c>
      <c r="J321" s="767" t="e">
        <f t="shared" ca="1" si="66"/>
        <v>#REF!</v>
      </c>
      <c r="K321" s="767" t="e">
        <f t="shared" ca="1" si="66"/>
        <v>#REF!</v>
      </c>
      <c r="L321" s="767" t="e">
        <f t="shared" ca="1" si="66"/>
        <v>#REF!</v>
      </c>
      <c r="M321" s="767" t="e">
        <f t="shared" ca="1" si="66"/>
        <v>#REF!</v>
      </c>
      <c r="N321" s="767" t="e">
        <f t="shared" ca="1" si="66"/>
        <v>#REF!</v>
      </c>
      <c r="O321" s="767" t="e">
        <f t="shared" ca="1" si="66"/>
        <v>#REF!</v>
      </c>
      <c r="P321" s="767" t="e">
        <f t="shared" ca="1" si="66"/>
        <v>#REF!</v>
      </c>
      <c r="Q321" s="767" t="e">
        <f t="shared" ca="1" si="66"/>
        <v>#REF!</v>
      </c>
      <c r="R321" s="767" t="e">
        <f t="shared" ca="1" si="66"/>
        <v>#REF!</v>
      </c>
      <c r="S321" s="767" t="e">
        <f t="shared" ca="1" si="66"/>
        <v>#REF!</v>
      </c>
      <c r="T321" s="767"/>
    </row>
    <row r="322" spans="2:22">
      <c r="B322" s="758" t="str">
        <f>IF(OR((B319="~"),(C322="~")),"~","")</f>
        <v>~</v>
      </c>
      <c r="C322" s="758" t="str">
        <f>IF(B319="~","~",[7]INPUTS!$C$44)</f>
        <v>~</v>
      </c>
      <c r="E322" s="767" t="e">
        <f t="shared" ca="1" si="65"/>
        <v>#REF!</v>
      </c>
      <c r="F322" s="779"/>
      <c r="G322" s="767" t="e">
        <f t="shared" ca="1" si="66"/>
        <v>#REF!</v>
      </c>
      <c r="H322" s="767" t="e">
        <f t="shared" ca="1" si="66"/>
        <v>#REF!</v>
      </c>
      <c r="I322" s="767" t="e">
        <f t="shared" ca="1" si="66"/>
        <v>#REF!</v>
      </c>
      <c r="J322" s="767" t="e">
        <f t="shared" ca="1" si="66"/>
        <v>#REF!</v>
      </c>
      <c r="K322" s="767" t="e">
        <f t="shared" ca="1" si="66"/>
        <v>#REF!</v>
      </c>
      <c r="L322" s="767" t="e">
        <f t="shared" ca="1" si="66"/>
        <v>#REF!</v>
      </c>
      <c r="M322" s="767" t="e">
        <f t="shared" ca="1" si="66"/>
        <v>#REF!</v>
      </c>
      <c r="N322" s="767" t="e">
        <f t="shared" ca="1" si="66"/>
        <v>#REF!</v>
      </c>
      <c r="O322" s="767" t="e">
        <f t="shared" ca="1" si="66"/>
        <v>#REF!</v>
      </c>
      <c r="P322" s="767" t="e">
        <f t="shared" ca="1" si="66"/>
        <v>#REF!</v>
      </c>
      <c r="Q322" s="767" t="e">
        <f t="shared" ca="1" si="66"/>
        <v>#REF!</v>
      </c>
      <c r="R322" s="767" t="e">
        <f t="shared" ca="1" si="66"/>
        <v>#REF!</v>
      </c>
      <c r="S322" s="767" t="e">
        <f t="shared" ca="1" si="66"/>
        <v>#REF!</v>
      </c>
      <c r="T322" s="767"/>
    </row>
    <row r="323" spans="2:22">
      <c r="B323" s="758" t="str">
        <f>IF(OR((B319="~"),(C323="~")),"~","")</f>
        <v>~</v>
      </c>
      <c r="C323" s="758" t="str">
        <f>IF(B319="~","~",[7]INPUTS!$C$45)</f>
        <v>~</v>
      </c>
      <c r="E323" s="767" t="e">
        <f t="shared" ca="1" si="65"/>
        <v>#REF!</v>
      </c>
      <c r="F323" s="779"/>
      <c r="G323" s="767" t="e">
        <f t="shared" ca="1" si="66"/>
        <v>#REF!</v>
      </c>
      <c r="H323" s="767" t="e">
        <f t="shared" ca="1" si="66"/>
        <v>#REF!</v>
      </c>
      <c r="I323" s="767" t="e">
        <f t="shared" ca="1" si="66"/>
        <v>#REF!</v>
      </c>
      <c r="J323" s="767" t="e">
        <f t="shared" ca="1" si="66"/>
        <v>#REF!</v>
      </c>
      <c r="K323" s="767" t="e">
        <f t="shared" ca="1" si="66"/>
        <v>#REF!</v>
      </c>
      <c r="L323" s="767" t="e">
        <f t="shared" ca="1" si="66"/>
        <v>#REF!</v>
      </c>
      <c r="M323" s="767" t="e">
        <f t="shared" ca="1" si="66"/>
        <v>#REF!</v>
      </c>
      <c r="N323" s="767" t="e">
        <f t="shared" ca="1" si="66"/>
        <v>#REF!</v>
      </c>
      <c r="O323" s="767" t="e">
        <f t="shared" ca="1" si="66"/>
        <v>#REF!</v>
      </c>
      <c r="P323" s="767" t="e">
        <f t="shared" ca="1" si="66"/>
        <v>#REF!</v>
      </c>
      <c r="Q323" s="767" t="e">
        <f t="shared" ca="1" si="66"/>
        <v>#REF!</v>
      </c>
      <c r="R323" s="767" t="e">
        <f t="shared" ca="1" si="66"/>
        <v>#REF!</v>
      </c>
      <c r="S323" s="767" t="e">
        <f t="shared" ca="1" si="66"/>
        <v>#REF!</v>
      </c>
      <c r="T323" s="767"/>
    </row>
    <row r="324" spans="2:22">
      <c r="B324" s="758" t="str">
        <f>IF(OR((B319="~"),(C324="~")),"~","")</f>
        <v>~</v>
      </c>
      <c r="C324" s="758" t="str">
        <f>IF(B319="~","~",[7]INPUTS!$C$46)</f>
        <v>~</v>
      </c>
      <c r="E324" s="767" t="e">
        <f t="shared" ca="1" si="65"/>
        <v>#REF!</v>
      </c>
      <c r="F324" s="779"/>
      <c r="G324" s="767" t="e">
        <f t="shared" ca="1" si="66"/>
        <v>#REF!</v>
      </c>
      <c r="H324" s="767" t="e">
        <f t="shared" ca="1" si="66"/>
        <v>#REF!</v>
      </c>
      <c r="I324" s="767" t="e">
        <f t="shared" ca="1" si="66"/>
        <v>#REF!</v>
      </c>
      <c r="J324" s="767" t="e">
        <f t="shared" ca="1" si="66"/>
        <v>#REF!</v>
      </c>
      <c r="K324" s="767" t="e">
        <f t="shared" ca="1" si="66"/>
        <v>#REF!</v>
      </c>
      <c r="L324" s="767" t="e">
        <f t="shared" ca="1" si="66"/>
        <v>#REF!</v>
      </c>
      <c r="M324" s="767" t="e">
        <f t="shared" ca="1" si="66"/>
        <v>#REF!</v>
      </c>
      <c r="N324" s="767" t="e">
        <f t="shared" ca="1" si="66"/>
        <v>#REF!</v>
      </c>
      <c r="O324" s="767" t="e">
        <f t="shared" ca="1" si="66"/>
        <v>#REF!</v>
      </c>
      <c r="P324" s="767" t="e">
        <f t="shared" ca="1" si="66"/>
        <v>#REF!</v>
      </c>
      <c r="Q324" s="767" t="e">
        <f t="shared" ca="1" si="66"/>
        <v>#REF!</v>
      </c>
      <c r="R324" s="767" t="e">
        <f t="shared" ca="1" si="66"/>
        <v>#REF!</v>
      </c>
      <c r="S324" s="767" t="e">
        <f t="shared" ca="1" si="66"/>
        <v>#REF!</v>
      </c>
      <c r="T324" s="767"/>
    </row>
    <row r="325" spans="2:22">
      <c r="B325" s="758" t="str">
        <f>IF(OR((B319="~"),(C325="~")),"~","")</f>
        <v>~</v>
      </c>
      <c r="C325" s="758" t="str">
        <f>IF(B319="~","~",[7]INPUTS!$C$47)</f>
        <v>~</v>
      </c>
      <c r="E325" s="767" t="e">
        <f t="shared" ca="1" si="65"/>
        <v>#REF!</v>
      </c>
      <c r="F325" s="779"/>
      <c r="G325" s="767" t="e">
        <f t="shared" ca="1" si="66"/>
        <v>#REF!</v>
      </c>
      <c r="H325" s="767" t="e">
        <f t="shared" ca="1" si="66"/>
        <v>#REF!</v>
      </c>
      <c r="I325" s="767" t="e">
        <f t="shared" ca="1" si="66"/>
        <v>#REF!</v>
      </c>
      <c r="J325" s="767" t="e">
        <f t="shared" ca="1" si="66"/>
        <v>#REF!</v>
      </c>
      <c r="K325" s="767" t="e">
        <f t="shared" ca="1" si="66"/>
        <v>#REF!</v>
      </c>
      <c r="L325" s="767" t="e">
        <f t="shared" ca="1" si="66"/>
        <v>#REF!</v>
      </c>
      <c r="M325" s="767" t="e">
        <f t="shared" ca="1" si="66"/>
        <v>#REF!</v>
      </c>
      <c r="N325" s="767" t="e">
        <f t="shared" ca="1" si="66"/>
        <v>#REF!</v>
      </c>
      <c r="O325" s="767" t="e">
        <f t="shared" ca="1" si="66"/>
        <v>#REF!</v>
      </c>
      <c r="P325" s="767" t="e">
        <f t="shared" ca="1" si="66"/>
        <v>#REF!</v>
      </c>
      <c r="Q325" s="767" t="e">
        <f t="shared" ca="1" si="66"/>
        <v>#REF!</v>
      </c>
      <c r="R325" s="767" t="e">
        <f t="shared" ca="1" si="66"/>
        <v>#REF!</v>
      </c>
      <c r="S325" s="767" t="e">
        <f t="shared" ca="1" si="66"/>
        <v>#REF!</v>
      </c>
      <c r="T325" s="767"/>
    </row>
    <row r="326" spans="2:22" s="760" customFormat="1">
      <c r="B326" s="760" t="str">
        <f>IF(OR((B319="~"),(C326="~")),"~","")</f>
        <v>~</v>
      </c>
      <c r="C326" s="760" t="str">
        <f>IF(B319="~","~","Sub-total")</f>
        <v>~</v>
      </c>
      <c r="E326" s="774"/>
      <c r="F326" s="780"/>
      <c r="G326" s="774"/>
      <c r="H326" s="774"/>
      <c r="I326" s="774"/>
      <c r="J326" s="774"/>
      <c r="K326" s="774"/>
      <c r="L326" s="774"/>
      <c r="M326" s="774"/>
      <c r="N326" s="774"/>
      <c r="O326" s="774"/>
      <c r="P326" s="774"/>
      <c r="Q326" s="774"/>
      <c r="R326" s="774"/>
      <c r="S326" s="774"/>
      <c r="T326" s="774"/>
      <c r="U326" s="782"/>
      <c r="V326" s="782"/>
    </row>
    <row r="327" spans="2:22">
      <c r="B327" s="758" t="str">
        <f>IF(OR((B319="~"),(C327="~")),"~","")</f>
        <v>~</v>
      </c>
      <c r="E327" s="781"/>
      <c r="F327" s="781"/>
      <c r="G327" s="781"/>
      <c r="H327" s="781"/>
      <c r="I327" s="781"/>
      <c r="J327" s="781"/>
      <c r="K327" s="781"/>
      <c r="L327" s="781"/>
      <c r="M327" s="781"/>
      <c r="N327" s="781"/>
      <c r="O327" s="781"/>
      <c r="P327" s="781"/>
      <c r="Q327" s="781"/>
      <c r="R327" s="781"/>
      <c r="S327" s="781"/>
    </row>
    <row r="328" spans="2:22">
      <c r="B328" s="760" t="str">
        <f>[7]INPUTS!$F$16</f>
        <v>~</v>
      </c>
      <c r="E328" s="779"/>
      <c r="F328" s="779"/>
      <c r="G328" s="779"/>
      <c r="H328" s="779"/>
      <c r="I328" s="779"/>
      <c r="J328" s="779"/>
      <c r="K328" s="779"/>
      <c r="L328" s="779"/>
      <c r="M328" s="779"/>
      <c r="N328" s="779"/>
      <c r="O328" s="779"/>
      <c r="P328" s="779"/>
      <c r="Q328" s="779"/>
      <c r="R328" s="779"/>
      <c r="S328" s="779"/>
      <c r="T328" s="765"/>
    </row>
    <row r="329" spans="2:22">
      <c r="B329" s="758" t="str">
        <f>IF(OR((B328="~"),(C329="~")),"~","")</f>
        <v>~</v>
      </c>
      <c r="C329" s="758" t="str">
        <f>IF(B328="~","~",[7]INPUTS!$C$42)</f>
        <v>~</v>
      </c>
      <c r="E329" s="767" t="e">
        <f t="shared" ref="E329:E334" ca="1" si="67">ROUND(IF($C329=0,0,E220/E$383),6)</f>
        <v>#REF!</v>
      </c>
      <c r="F329" s="779"/>
      <c r="G329" s="767" t="e">
        <f t="shared" ref="G329:S334" ca="1" si="68">ROUND(IF($C329=0,0,G220/G$383),6)</f>
        <v>#REF!</v>
      </c>
      <c r="H329" s="767" t="e">
        <f t="shared" ca="1" si="68"/>
        <v>#REF!</v>
      </c>
      <c r="I329" s="767" t="e">
        <f t="shared" ca="1" si="68"/>
        <v>#REF!</v>
      </c>
      <c r="J329" s="767" t="e">
        <f t="shared" ca="1" si="68"/>
        <v>#REF!</v>
      </c>
      <c r="K329" s="767" t="e">
        <f t="shared" ca="1" si="68"/>
        <v>#REF!</v>
      </c>
      <c r="L329" s="767" t="e">
        <f t="shared" ca="1" si="68"/>
        <v>#REF!</v>
      </c>
      <c r="M329" s="767" t="e">
        <f t="shared" ca="1" si="68"/>
        <v>#REF!</v>
      </c>
      <c r="N329" s="767" t="e">
        <f t="shared" ca="1" si="68"/>
        <v>#REF!</v>
      </c>
      <c r="O329" s="767" t="e">
        <f t="shared" ca="1" si="68"/>
        <v>#REF!</v>
      </c>
      <c r="P329" s="767" t="e">
        <f t="shared" ca="1" si="68"/>
        <v>#REF!</v>
      </c>
      <c r="Q329" s="767" t="e">
        <f t="shared" ca="1" si="68"/>
        <v>#REF!</v>
      </c>
      <c r="R329" s="767" t="e">
        <f t="shared" ca="1" si="68"/>
        <v>#REF!</v>
      </c>
      <c r="S329" s="767" t="e">
        <f t="shared" ca="1" si="68"/>
        <v>#REF!</v>
      </c>
      <c r="T329" s="767"/>
    </row>
    <row r="330" spans="2:22">
      <c r="B330" s="758" t="str">
        <f>IF(OR((B328="~"),(C330="~")),"~","")</f>
        <v>~</v>
      </c>
      <c r="C330" s="758" t="str">
        <f>IF(B328="~","~",[7]INPUTS!$C$43)</f>
        <v>~</v>
      </c>
      <c r="E330" s="767" t="e">
        <f t="shared" ca="1" si="67"/>
        <v>#REF!</v>
      </c>
      <c r="F330" s="779"/>
      <c r="G330" s="767" t="e">
        <f t="shared" ca="1" si="68"/>
        <v>#REF!</v>
      </c>
      <c r="H330" s="767" t="e">
        <f t="shared" ca="1" si="68"/>
        <v>#REF!</v>
      </c>
      <c r="I330" s="767" t="e">
        <f t="shared" ca="1" si="68"/>
        <v>#REF!</v>
      </c>
      <c r="J330" s="767" t="e">
        <f t="shared" ca="1" si="68"/>
        <v>#REF!</v>
      </c>
      <c r="K330" s="767" t="e">
        <f t="shared" ca="1" si="68"/>
        <v>#REF!</v>
      </c>
      <c r="L330" s="767" t="e">
        <f t="shared" ca="1" si="68"/>
        <v>#REF!</v>
      </c>
      <c r="M330" s="767" t="e">
        <f t="shared" ca="1" si="68"/>
        <v>#REF!</v>
      </c>
      <c r="N330" s="767" t="e">
        <f t="shared" ca="1" si="68"/>
        <v>#REF!</v>
      </c>
      <c r="O330" s="767" t="e">
        <f t="shared" ca="1" si="68"/>
        <v>#REF!</v>
      </c>
      <c r="P330" s="767" t="e">
        <f t="shared" ca="1" si="68"/>
        <v>#REF!</v>
      </c>
      <c r="Q330" s="767" t="e">
        <f t="shared" ca="1" si="68"/>
        <v>#REF!</v>
      </c>
      <c r="R330" s="767" t="e">
        <f t="shared" ca="1" si="68"/>
        <v>#REF!</v>
      </c>
      <c r="S330" s="767" t="e">
        <f t="shared" ca="1" si="68"/>
        <v>#REF!</v>
      </c>
      <c r="T330" s="767"/>
    </row>
    <row r="331" spans="2:22">
      <c r="B331" s="758" t="str">
        <f>IF(OR((B328="~"),(C331="~")),"~","")</f>
        <v>~</v>
      </c>
      <c r="C331" s="758" t="str">
        <f>IF(B328="~","~",[7]INPUTS!$C$44)</f>
        <v>~</v>
      </c>
      <c r="E331" s="767" t="e">
        <f t="shared" ca="1" si="67"/>
        <v>#REF!</v>
      </c>
      <c r="F331" s="779"/>
      <c r="G331" s="767" t="e">
        <f t="shared" ca="1" si="68"/>
        <v>#REF!</v>
      </c>
      <c r="H331" s="767" t="e">
        <f t="shared" ca="1" si="68"/>
        <v>#REF!</v>
      </c>
      <c r="I331" s="767" t="e">
        <f t="shared" ca="1" si="68"/>
        <v>#REF!</v>
      </c>
      <c r="J331" s="767" t="e">
        <f t="shared" ca="1" si="68"/>
        <v>#REF!</v>
      </c>
      <c r="K331" s="767" t="e">
        <f t="shared" ca="1" si="68"/>
        <v>#REF!</v>
      </c>
      <c r="L331" s="767" t="e">
        <f t="shared" ca="1" si="68"/>
        <v>#REF!</v>
      </c>
      <c r="M331" s="767" t="e">
        <f t="shared" ca="1" si="68"/>
        <v>#REF!</v>
      </c>
      <c r="N331" s="767" t="e">
        <f t="shared" ca="1" si="68"/>
        <v>#REF!</v>
      </c>
      <c r="O331" s="767" t="e">
        <f t="shared" ca="1" si="68"/>
        <v>#REF!</v>
      </c>
      <c r="P331" s="767" t="e">
        <f t="shared" ca="1" si="68"/>
        <v>#REF!</v>
      </c>
      <c r="Q331" s="767" t="e">
        <f t="shared" ca="1" si="68"/>
        <v>#REF!</v>
      </c>
      <c r="R331" s="767" t="e">
        <f t="shared" ca="1" si="68"/>
        <v>#REF!</v>
      </c>
      <c r="S331" s="767" t="e">
        <f t="shared" ca="1" si="68"/>
        <v>#REF!</v>
      </c>
      <c r="T331" s="767"/>
    </row>
    <row r="332" spans="2:22">
      <c r="B332" s="758" t="str">
        <f>IF(OR((B328="~"),(C332="~")),"~","")</f>
        <v>~</v>
      </c>
      <c r="C332" s="758" t="str">
        <f>IF(B328="~","~",[7]INPUTS!$C$45)</f>
        <v>~</v>
      </c>
      <c r="E332" s="767" t="e">
        <f t="shared" ca="1" si="67"/>
        <v>#REF!</v>
      </c>
      <c r="F332" s="779"/>
      <c r="G332" s="767" t="e">
        <f t="shared" ca="1" si="68"/>
        <v>#REF!</v>
      </c>
      <c r="H332" s="767" t="e">
        <f t="shared" ca="1" si="68"/>
        <v>#REF!</v>
      </c>
      <c r="I332" s="767" t="e">
        <f t="shared" ca="1" si="68"/>
        <v>#REF!</v>
      </c>
      <c r="J332" s="767" t="e">
        <f t="shared" ca="1" si="68"/>
        <v>#REF!</v>
      </c>
      <c r="K332" s="767" t="e">
        <f t="shared" ca="1" si="68"/>
        <v>#REF!</v>
      </c>
      <c r="L332" s="767" t="e">
        <f t="shared" ca="1" si="68"/>
        <v>#REF!</v>
      </c>
      <c r="M332" s="767" t="e">
        <f t="shared" ca="1" si="68"/>
        <v>#REF!</v>
      </c>
      <c r="N332" s="767" t="e">
        <f t="shared" ca="1" si="68"/>
        <v>#REF!</v>
      </c>
      <c r="O332" s="767" t="e">
        <f t="shared" ca="1" si="68"/>
        <v>#REF!</v>
      </c>
      <c r="P332" s="767" t="e">
        <f t="shared" ca="1" si="68"/>
        <v>#REF!</v>
      </c>
      <c r="Q332" s="767" t="e">
        <f t="shared" ca="1" si="68"/>
        <v>#REF!</v>
      </c>
      <c r="R332" s="767" t="e">
        <f t="shared" ca="1" si="68"/>
        <v>#REF!</v>
      </c>
      <c r="S332" s="767" t="e">
        <f t="shared" ca="1" si="68"/>
        <v>#REF!</v>
      </c>
      <c r="T332" s="767"/>
    </row>
    <row r="333" spans="2:22">
      <c r="B333" s="758" t="str">
        <f>IF(OR((B328="~"),(C333="~")),"~","")</f>
        <v>~</v>
      </c>
      <c r="C333" s="758" t="str">
        <f>IF(B328="~","~",[7]INPUTS!$C$46)</f>
        <v>~</v>
      </c>
      <c r="E333" s="767" t="e">
        <f t="shared" ca="1" si="67"/>
        <v>#REF!</v>
      </c>
      <c r="F333" s="779"/>
      <c r="G333" s="767" t="e">
        <f t="shared" ca="1" si="68"/>
        <v>#REF!</v>
      </c>
      <c r="H333" s="767" t="e">
        <f t="shared" ca="1" si="68"/>
        <v>#REF!</v>
      </c>
      <c r="I333" s="767" t="e">
        <f t="shared" ca="1" si="68"/>
        <v>#REF!</v>
      </c>
      <c r="J333" s="767" t="e">
        <f t="shared" ca="1" si="68"/>
        <v>#REF!</v>
      </c>
      <c r="K333" s="767" t="e">
        <f t="shared" ca="1" si="68"/>
        <v>#REF!</v>
      </c>
      <c r="L333" s="767" t="e">
        <f t="shared" ca="1" si="68"/>
        <v>#REF!</v>
      </c>
      <c r="M333" s="767" t="e">
        <f t="shared" ca="1" si="68"/>
        <v>#REF!</v>
      </c>
      <c r="N333" s="767" t="e">
        <f t="shared" ca="1" si="68"/>
        <v>#REF!</v>
      </c>
      <c r="O333" s="767" t="e">
        <f t="shared" ca="1" si="68"/>
        <v>#REF!</v>
      </c>
      <c r="P333" s="767" t="e">
        <f t="shared" ca="1" si="68"/>
        <v>#REF!</v>
      </c>
      <c r="Q333" s="767" t="e">
        <f t="shared" ca="1" si="68"/>
        <v>#REF!</v>
      </c>
      <c r="R333" s="767" t="e">
        <f t="shared" ca="1" si="68"/>
        <v>#REF!</v>
      </c>
      <c r="S333" s="767" t="e">
        <f t="shared" ca="1" si="68"/>
        <v>#REF!</v>
      </c>
      <c r="T333" s="767"/>
    </row>
    <row r="334" spans="2:22">
      <c r="B334" s="758" t="str">
        <f>IF(OR((B328="~"),(C334="~")),"~","")</f>
        <v>~</v>
      </c>
      <c r="C334" s="758" t="str">
        <f>IF(B328="~","~",[7]INPUTS!$C$47)</f>
        <v>~</v>
      </c>
      <c r="E334" s="767" t="e">
        <f t="shared" ca="1" si="67"/>
        <v>#REF!</v>
      </c>
      <c r="F334" s="779"/>
      <c r="G334" s="767" t="e">
        <f t="shared" ca="1" si="68"/>
        <v>#REF!</v>
      </c>
      <c r="H334" s="767" t="e">
        <f t="shared" ca="1" si="68"/>
        <v>#REF!</v>
      </c>
      <c r="I334" s="767" t="e">
        <f t="shared" ca="1" si="68"/>
        <v>#REF!</v>
      </c>
      <c r="J334" s="767" t="e">
        <f t="shared" ca="1" si="68"/>
        <v>#REF!</v>
      </c>
      <c r="K334" s="767" t="e">
        <f t="shared" ca="1" si="68"/>
        <v>#REF!</v>
      </c>
      <c r="L334" s="767" t="e">
        <f t="shared" ca="1" si="68"/>
        <v>#REF!</v>
      </c>
      <c r="M334" s="767" t="e">
        <f t="shared" ca="1" si="68"/>
        <v>#REF!</v>
      </c>
      <c r="N334" s="767" t="e">
        <f t="shared" ca="1" si="68"/>
        <v>#REF!</v>
      </c>
      <c r="O334" s="767" t="e">
        <f t="shared" ca="1" si="68"/>
        <v>#REF!</v>
      </c>
      <c r="P334" s="767" t="e">
        <f t="shared" ca="1" si="68"/>
        <v>#REF!</v>
      </c>
      <c r="Q334" s="767" t="e">
        <f t="shared" ca="1" si="68"/>
        <v>#REF!</v>
      </c>
      <c r="R334" s="767" t="e">
        <f t="shared" ca="1" si="68"/>
        <v>#REF!</v>
      </c>
      <c r="S334" s="767" t="e">
        <f t="shared" ca="1" si="68"/>
        <v>#REF!</v>
      </c>
      <c r="T334" s="767"/>
    </row>
    <row r="335" spans="2:22" s="760" customFormat="1">
      <c r="B335" s="760" t="str">
        <f>IF(OR((B328="~"),(C335="~")),"~","")</f>
        <v>~</v>
      </c>
      <c r="C335" s="760" t="str">
        <f>IF(B328="~","~","Sub-total")</f>
        <v>~</v>
      </c>
      <c r="E335" s="774"/>
      <c r="F335" s="780"/>
      <c r="G335" s="774"/>
      <c r="H335" s="774"/>
      <c r="I335" s="774"/>
      <c r="J335" s="774"/>
      <c r="K335" s="774"/>
      <c r="L335" s="774"/>
      <c r="M335" s="774"/>
      <c r="N335" s="774"/>
      <c r="O335" s="774"/>
      <c r="P335" s="774"/>
      <c r="Q335" s="774"/>
      <c r="R335" s="774"/>
      <c r="S335" s="774"/>
      <c r="T335" s="774"/>
      <c r="U335" s="782"/>
      <c r="V335" s="782"/>
    </row>
    <row r="336" spans="2:22">
      <c r="B336" s="758" t="str">
        <f>IF(OR((B328="~"),(C336="~")),"~","")</f>
        <v>~</v>
      </c>
      <c r="E336" s="781"/>
      <c r="F336" s="781"/>
      <c r="G336" s="781"/>
      <c r="H336" s="781"/>
      <c r="I336" s="781"/>
      <c r="J336" s="781"/>
      <c r="K336" s="781"/>
      <c r="L336" s="781"/>
      <c r="M336" s="781"/>
      <c r="N336" s="781"/>
      <c r="O336" s="781"/>
      <c r="P336" s="781"/>
      <c r="Q336" s="781"/>
      <c r="R336" s="781"/>
      <c r="S336" s="781"/>
    </row>
    <row r="337" spans="2:22">
      <c r="B337" s="760" t="str">
        <f>[7]INPUTS!$F$17</f>
        <v>~</v>
      </c>
      <c r="E337" s="779"/>
      <c r="F337" s="779"/>
      <c r="G337" s="779"/>
      <c r="H337" s="779"/>
      <c r="I337" s="779"/>
      <c r="J337" s="779"/>
      <c r="K337" s="779"/>
      <c r="L337" s="779"/>
      <c r="M337" s="779"/>
      <c r="N337" s="779"/>
      <c r="O337" s="779"/>
      <c r="P337" s="779"/>
      <c r="Q337" s="779"/>
      <c r="R337" s="779"/>
      <c r="S337" s="779"/>
      <c r="T337" s="765"/>
    </row>
    <row r="338" spans="2:22">
      <c r="B338" s="758" t="str">
        <f>IF(OR((B337="~"),(C338="~")),"~","")</f>
        <v>~</v>
      </c>
      <c r="C338" s="758" t="str">
        <f>IF(B337="~","~",[7]INPUTS!$C$42)</f>
        <v>~</v>
      </c>
      <c r="E338" s="767" t="e">
        <f t="shared" ref="E338:E343" ca="1" si="69">ROUND(IF($C338=0,0,E229/E$383),6)</f>
        <v>#REF!</v>
      </c>
      <c r="F338" s="779"/>
      <c r="G338" s="767" t="e">
        <f t="shared" ref="G338:S343" ca="1" si="70">ROUND(IF($C338=0,0,G229/G$383),6)</f>
        <v>#REF!</v>
      </c>
      <c r="H338" s="767" t="e">
        <f t="shared" ca="1" si="70"/>
        <v>#REF!</v>
      </c>
      <c r="I338" s="767" t="e">
        <f t="shared" ca="1" si="70"/>
        <v>#REF!</v>
      </c>
      <c r="J338" s="767" t="e">
        <f t="shared" ca="1" si="70"/>
        <v>#REF!</v>
      </c>
      <c r="K338" s="767" t="e">
        <f t="shared" ca="1" si="70"/>
        <v>#REF!</v>
      </c>
      <c r="L338" s="767" t="e">
        <f t="shared" ca="1" si="70"/>
        <v>#REF!</v>
      </c>
      <c r="M338" s="767" t="e">
        <f t="shared" ca="1" si="70"/>
        <v>#REF!</v>
      </c>
      <c r="N338" s="767" t="e">
        <f t="shared" ca="1" si="70"/>
        <v>#REF!</v>
      </c>
      <c r="O338" s="767" t="e">
        <f t="shared" ca="1" si="70"/>
        <v>#REF!</v>
      </c>
      <c r="P338" s="767" t="e">
        <f t="shared" ca="1" si="70"/>
        <v>#REF!</v>
      </c>
      <c r="Q338" s="767" t="e">
        <f t="shared" ca="1" si="70"/>
        <v>#REF!</v>
      </c>
      <c r="R338" s="767" t="e">
        <f t="shared" ca="1" si="70"/>
        <v>#REF!</v>
      </c>
      <c r="S338" s="767" t="e">
        <f t="shared" ca="1" si="70"/>
        <v>#REF!</v>
      </c>
      <c r="T338" s="767"/>
    </row>
    <row r="339" spans="2:22">
      <c r="B339" s="758" t="str">
        <f>IF(OR((B337="~"),(C339="~")),"~","")</f>
        <v>~</v>
      </c>
      <c r="C339" s="758" t="str">
        <f>IF(B337="~","~",[7]INPUTS!$C$43)</f>
        <v>~</v>
      </c>
      <c r="E339" s="767" t="e">
        <f t="shared" ca="1" si="69"/>
        <v>#REF!</v>
      </c>
      <c r="F339" s="779"/>
      <c r="G339" s="767" t="e">
        <f t="shared" ca="1" si="70"/>
        <v>#REF!</v>
      </c>
      <c r="H339" s="767" t="e">
        <f t="shared" ca="1" si="70"/>
        <v>#REF!</v>
      </c>
      <c r="I339" s="767" t="e">
        <f t="shared" ca="1" si="70"/>
        <v>#REF!</v>
      </c>
      <c r="J339" s="767" t="e">
        <f t="shared" ca="1" si="70"/>
        <v>#REF!</v>
      </c>
      <c r="K339" s="767" t="e">
        <f t="shared" ca="1" si="70"/>
        <v>#REF!</v>
      </c>
      <c r="L339" s="767" t="e">
        <f t="shared" ca="1" si="70"/>
        <v>#REF!</v>
      </c>
      <c r="M339" s="767" t="e">
        <f t="shared" ca="1" si="70"/>
        <v>#REF!</v>
      </c>
      <c r="N339" s="767" t="e">
        <f t="shared" ca="1" si="70"/>
        <v>#REF!</v>
      </c>
      <c r="O339" s="767" t="e">
        <f t="shared" ca="1" si="70"/>
        <v>#REF!</v>
      </c>
      <c r="P339" s="767" t="e">
        <f t="shared" ca="1" si="70"/>
        <v>#REF!</v>
      </c>
      <c r="Q339" s="767" t="e">
        <f t="shared" ca="1" si="70"/>
        <v>#REF!</v>
      </c>
      <c r="R339" s="767" t="e">
        <f t="shared" ca="1" si="70"/>
        <v>#REF!</v>
      </c>
      <c r="S339" s="767" t="e">
        <f t="shared" ca="1" si="70"/>
        <v>#REF!</v>
      </c>
      <c r="T339" s="767"/>
    </row>
    <row r="340" spans="2:22">
      <c r="B340" s="758" t="str">
        <f>IF(OR((B337="~"),(C340="~")),"~","")</f>
        <v>~</v>
      </c>
      <c r="C340" s="758" t="str">
        <f>IF(B337="~","~",[7]INPUTS!$C$44)</f>
        <v>~</v>
      </c>
      <c r="E340" s="767" t="e">
        <f t="shared" ca="1" si="69"/>
        <v>#REF!</v>
      </c>
      <c r="F340" s="779"/>
      <c r="G340" s="767" t="e">
        <f t="shared" ca="1" si="70"/>
        <v>#REF!</v>
      </c>
      <c r="H340" s="767" t="e">
        <f t="shared" ca="1" si="70"/>
        <v>#REF!</v>
      </c>
      <c r="I340" s="767" t="e">
        <f t="shared" ca="1" si="70"/>
        <v>#REF!</v>
      </c>
      <c r="J340" s="767" t="e">
        <f t="shared" ca="1" si="70"/>
        <v>#REF!</v>
      </c>
      <c r="K340" s="767" t="e">
        <f t="shared" ca="1" si="70"/>
        <v>#REF!</v>
      </c>
      <c r="L340" s="767" t="e">
        <f t="shared" ca="1" si="70"/>
        <v>#REF!</v>
      </c>
      <c r="M340" s="767" t="e">
        <f t="shared" ca="1" si="70"/>
        <v>#REF!</v>
      </c>
      <c r="N340" s="767" t="e">
        <f t="shared" ca="1" si="70"/>
        <v>#REF!</v>
      </c>
      <c r="O340" s="767" t="e">
        <f t="shared" ca="1" si="70"/>
        <v>#REF!</v>
      </c>
      <c r="P340" s="767" t="e">
        <f t="shared" ca="1" si="70"/>
        <v>#REF!</v>
      </c>
      <c r="Q340" s="767" t="e">
        <f t="shared" ca="1" si="70"/>
        <v>#REF!</v>
      </c>
      <c r="R340" s="767" t="e">
        <f t="shared" ca="1" si="70"/>
        <v>#REF!</v>
      </c>
      <c r="S340" s="767" t="e">
        <f t="shared" ca="1" si="70"/>
        <v>#REF!</v>
      </c>
      <c r="T340" s="767"/>
    </row>
    <row r="341" spans="2:22">
      <c r="B341" s="758" t="str">
        <f>IF(OR((B337="~"),(C341="~")),"~","")</f>
        <v>~</v>
      </c>
      <c r="C341" s="758" t="str">
        <f>IF(B337="~","~",[7]INPUTS!$C$45)</f>
        <v>~</v>
      </c>
      <c r="E341" s="767" t="e">
        <f t="shared" ca="1" si="69"/>
        <v>#REF!</v>
      </c>
      <c r="F341" s="779"/>
      <c r="G341" s="767" t="e">
        <f t="shared" ca="1" si="70"/>
        <v>#REF!</v>
      </c>
      <c r="H341" s="767" t="e">
        <f t="shared" ca="1" si="70"/>
        <v>#REF!</v>
      </c>
      <c r="I341" s="767" t="e">
        <f t="shared" ca="1" si="70"/>
        <v>#REF!</v>
      </c>
      <c r="J341" s="767" t="e">
        <f t="shared" ca="1" si="70"/>
        <v>#REF!</v>
      </c>
      <c r="K341" s="767" t="e">
        <f t="shared" ca="1" si="70"/>
        <v>#REF!</v>
      </c>
      <c r="L341" s="767" t="e">
        <f t="shared" ca="1" si="70"/>
        <v>#REF!</v>
      </c>
      <c r="M341" s="767" t="e">
        <f t="shared" ca="1" si="70"/>
        <v>#REF!</v>
      </c>
      <c r="N341" s="767" t="e">
        <f t="shared" ca="1" si="70"/>
        <v>#REF!</v>
      </c>
      <c r="O341" s="767" t="e">
        <f t="shared" ca="1" si="70"/>
        <v>#REF!</v>
      </c>
      <c r="P341" s="767" t="e">
        <f t="shared" ca="1" si="70"/>
        <v>#REF!</v>
      </c>
      <c r="Q341" s="767" t="e">
        <f t="shared" ca="1" si="70"/>
        <v>#REF!</v>
      </c>
      <c r="R341" s="767" t="e">
        <f t="shared" ca="1" si="70"/>
        <v>#REF!</v>
      </c>
      <c r="S341" s="767" t="e">
        <f t="shared" ca="1" si="70"/>
        <v>#REF!</v>
      </c>
      <c r="T341" s="767"/>
    </row>
    <row r="342" spans="2:22">
      <c r="B342" s="758" t="str">
        <f>IF(OR((B337="~"),(C342="~")),"~","")</f>
        <v>~</v>
      </c>
      <c r="C342" s="758" t="str">
        <f>IF(B337="~","~",[7]INPUTS!$C$46)</f>
        <v>~</v>
      </c>
      <c r="E342" s="767" t="e">
        <f t="shared" ca="1" si="69"/>
        <v>#REF!</v>
      </c>
      <c r="F342" s="779"/>
      <c r="G342" s="767" t="e">
        <f t="shared" ca="1" si="70"/>
        <v>#REF!</v>
      </c>
      <c r="H342" s="767" t="e">
        <f t="shared" ca="1" si="70"/>
        <v>#REF!</v>
      </c>
      <c r="I342" s="767" t="e">
        <f t="shared" ca="1" si="70"/>
        <v>#REF!</v>
      </c>
      <c r="J342" s="767" t="e">
        <f t="shared" ca="1" si="70"/>
        <v>#REF!</v>
      </c>
      <c r="K342" s="767" t="e">
        <f t="shared" ca="1" si="70"/>
        <v>#REF!</v>
      </c>
      <c r="L342" s="767" t="e">
        <f t="shared" ca="1" si="70"/>
        <v>#REF!</v>
      </c>
      <c r="M342" s="767" t="e">
        <f t="shared" ca="1" si="70"/>
        <v>#REF!</v>
      </c>
      <c r="N342" s="767" t="e">
        <f t="shared" ca="1" si="70"/>
        <v>#REF!</v>
      </c>
      <c r="O342" s="767" t="e">
        <f t="shared" ca="1" si="70"/>
        <v>#REF!</v>
      </c>
      <c r="P342" s="767" t="e">
        <f t="shared" ca="1" si="70"/>
        <v>#REF!</v>
      </c>
      <c r="Q342" s="767" t="e">
        <f t="shared" ca="1" si="70"/>
        <v>#REF!</v>
      </c>
      <c r="R342" s="767" t="e">
        <f t="shared" ca="1" si="70"/>
        <v>#REF!</v>
      </c>
      <c r="S342" s="767" t="e">
        <f t="shared" ca="1" si="70"/>
        <v>#REF!</v>
      </c>
      <c r="T342" s="767"/>
    </row>
    <row r="343" spans="2:22">
      <c r="B343" s="758" t="str">
        <f>IF(OR((B337="~"),(C343="~")),"~","")</f>
        <v>~</v>
      </c>
      <c r="C343" s="758" t="str">
        <f>IF(B337="~","~",[7]INPUTS!$C$47)</f>
        <v>~</v>
      </c>
      <c r="E343" s="767" t="e">
        <f t="shared" ca="1" si="69"/>
        <v>#REF!</v>
      </c>
      <c r="F343" s="779"/>
      <c r="G343" s="767" t="e">
        <f t="shared" ca="1" si="70"/>
        <v>#REF!</v>
      </c>
      <c r="H343" s="767" t="e">
        <f t="shared" ca="1" si="70"/>
        <v>#REF!</v>
      </c>
      <c r="I343" s="767" t="e">
        <f t="shared" ca="1" si="70"/>
        <v>#REF!</v>
      </c>
      <c r="J343" s="767" t="e">
        <f t="shared" ca="1" si="70"/>
        <v>#REF!</v>
      </c>
      <c r="K343" s="767" t="e">
        <f t="shared" ca="1" si="70"/>
        <v>#REF!</v>
      </c>
      <c r="L343" s="767" t="e">
        <f t="shared" ca="1" si="70"/>
        <v>#REF!</v>
      </c>
      <c r="M343" s="767" t="e">
        <f t="shared" ca="1" si="70"/>
        <v>#REF!</v>
      </c>
      <c r="N343" s="767" t="e">
        <f t="shared" ca="1" si="70"/>
        <v>#REF!</v>
      </c>
      <c r="O343" s="767" t="e">
        <f t="shared" ca="1" si="70"/>
        <v>#REF!</v>
      </c>
      <c r="P343" s="767" t="e">
        <f t="shared" ca="1" si="70"/>
        <v>#REF!</v>
      </c>
      <c r="Q343" s="767" t="e">
        <f t="shared" ca="1" si="70"/>
        <v>#REF!</v>
      </c>
      <c r="R343" s="767" t="e">
        <f t="shared" ca="1" si="70"/>
        <v>#REF!</v>
      </c>
      <c r="S343" s="767" t="e">
        <f t="shared" ca="1" si="70"/>
        <v>#REF!</v>
      </c>
      <c r="T343" s="767"/>
    </row>
    <row r="344" spans="2:22" s="760" customFormat="1">
      <c r="B344" s="760" t="str">
        <f>IF(OR((B337="~"),(C344="~")),"~","")</f>
        <v>~</v>
      </c>
      <c r="C344" s="760" t="str">
        <f>IF(B337="~","~","Sub-total")</f>
        <v>~</v>
      </c>
      <c r="E344" s="774"/>
      <c r="F344" s="780"/>
      <c r="G344" s="774"/>
      <c r="H344" s="774"/>
      <c r="I344" s="774"/>
      <c r="J344" s="774"/>
      <c r="K344" s="774"/>
      <c r="L344" s="774"/>
      <c r="M344" s="774"/>
      <c r="N344" s="774"/>
      <c r="O344" s="774"/>
      <c r="P344" s="774"/>
      <c r="Q344" s="774"/>
      <c r="R344" s="774"/>
      <c r="S344" s="774"/>
      <c r="T344" s="774"/>
      <c r="U344" s="782"/>
      <c r="V344" s="782"/>
    </row>
    <row r="345" spans="2:22">
      <c r="B345" s="758" t="str">
        <f>IF(OR((B337="~"),(C345="~")),"~","")</f>
        <v>~</v>
      </c>
      <c r="E345" s="781"/>
      <c r="F345" s="781"/>
      <c r="G345" s="781"/>
      <c r="H345" s="781"/>
      <c r="I345" s="781"/>
      <c r="J345" s="781"/>
      <c r="K345" s="781"/>
      <c r="L345" s="781"/>
      <c r="M345" s="781"/>
      <c r="N345" s="781"/>
      <c r="O345" s="781"/>
      <c r="P345" s="781"/>
      <c r="Q345" s="781"/>
      <c r="R345" s="781"/>
      <c r="S345" s="781"/>
    </row>
    <row r="346" spans="2:22">
      <c r="B346" s="760" t="str">
        <f>[7]INPUTS!$F$18</f>
        <v>~</v>
      </c>
      <c r="E346" s="779"/>
      <c r="F346" s="779"/>
      <c r="G346" s="779"/>
      <c r="H346" s="779"/>
      <c r="I346" s="779"/>
      <c r="J346" s="779"/>
      <c r="K346" s="779"/>
      <c r="L346" s="779"/>
      <c r="M346" s="779"/>
      <c r="N346" s="779"/>
      <c r="O346" s="779"/>
      <c r="P346" s="779"/>
      <c r="Q346" s="779"/>
      <c r="R346" s="779"/>
      <c r="S346" s="779"/>
      <c r="T346" s="765"/>
    </row>
    <row r="347" spans="2:22">
      <c r="B347" s="758" t="str">
        <f>IF(OR((B346="~"),(C347="~")),"~","")</f>
        <v>~</v>
      </c>
      <c r="C347" s="758" t="str">
        <f>IF(B346="~","~",[7]INPUTS!$C$42)</f>
        <v>~</v>
      </c>
      <c r="E347" s="767" t="e">
        <f t="shared" ref="E347:E352" ca="1" si="71">ROUND(IF($C347=0,0,E238/E$383),6)</f>
        <v>#REF!</v>
      </c>
      <c r="F347" s="779"/>
      <c r="G347" s="767" t="e">
        <f t="shared" ref="G347:S352" ca="1" si="72">ROUND(IF($C347=0,0,G238/G$383),6)</f>
        <v>#REF!</v>
      </c>
      <c r="H347" s="767" t="e">
        <f t="shared" ca="1" si="72"/>
        <v>#REF!</v>
      </c>
      <c r="I347" s="767" t="e">
        <f t="shared" ca="1" si="72"/>
        <v>#REF!</v>
      </c>
      <c r="J347" s="767" t="e">
        <f t="shared" ca="1" si="72"/>
        <v>#REF!</v>
      </c>
      <c r="K347" s="767" t="e">
        <f t="shared" ca="1" si="72"/>
        <v>#REF!</v>
      </c>
      <c r="L347" s="767" t="e">
        <f t="shared" ca="1" si="72"/>
        <v>#REF!</v>
      </c>
      <c r="M347" s="767" t="e">
        <f t="shared" ca="1" si="72"/>
        <v>#REF!</v>
      </c>
      <c r="N347" s="767" t="e">
        <f t="shared" ca="1" si="72"/>
        <v>#REF!</v>
      </c>
      <c r="O347" s="767" t="e">
        <f t="shared" ca="1" si="72"/>
        <v>#REF!</v>
      </c>
      <c r="P347" s="767" t="e">
        <f t="shared" ca="1" si="72"/>
        <v>#REF!</v>
      </c>
      <c r="Q347" s="767" t="e">
        <f t="shared" ca="1" si="72"/>
        <v>#REF!</v>
      </c>
      <c r="R347" s="767" t="e">
        <f t="shared" ca="1" si="72"/>
        <v>#REF!</v>
      </c>
      <c r="S347" s="767" t="e">
        <f t="shared" ca="1" si="72"/>
        <v>#REF!</v>
      </c>
      <c r="T347" s="767"/>
    </row>
    <row r="348" spans="2:22">
      <c r="B348" s="758" t="str">
        <f>IF(OR((B346="~"),(C348="~")),"~","")</f>
        <v>~</v>
      </c>
      <c r="C348" s="758" t="str">
        <f>IF(B346="~","~",[7]INPUTS!$C$43)</f>
        <v>~</v>
      </c>
      <c r="E348" s="767" t="e">
        <f t="shared" ca="1" si="71"/>
        <v>#REF!</v>
      </c>
      <c r="F348" s="779"/>
      <c r="G348" s="767" t="e">
        <f t="shared" ca="1" si="72"/>
        <v>#REF!</v>
      </c>
      <c r="H348" s="767" t="e">
        <f t="shared" ca="1" si="72"/>
        <v>#REF!</v>
      </c>
      <c r="I348" s="767" t="e">
        <f t="shared" ca="1" si="72"/>
        <v>#REF!</v>
      </c>
      <c r="J348" s="767" t="e">
        <f t="shared" ca="1" si="72"/>
        <v>#REF!</v>
      </c>
      <c r="K348" s="767" t="e">
        <f t="shared" ca="1" si="72"/>
        <v>#REF!</v>
      </c>
      <c r="L348" s="767" t="e">
        <f t="shared" ca="1" si="72"/>
        <v>#REF!</v>
      </c>
      <c r="M348" s="767" t="e">
        <f t="shared" ca="1" si="72"/>
        <v>#REF!</v>
      </c>
      <c r="N348" s="767" t="e">
        <f t="shared" ca="1" si="72"/>
        <v>#REF!</v>
      </c>
      <c r="O348" s="767" t="e">
        <f t="shared" ca="1" si="72"/>
        <v>#REF!</v>
      </c>
      <c r="P348" s="767" t="e">
        <f t="shared" ca="1" si="72"/>
        <v>#REF!</v>
      </c>
      <c r="Q348" s="767" t="e">
        <f t="shared" ca="1" si="72"/>
        <v>#REF!</v>
      </c>
      <c r="R348" s="767" t="e">
        <f t="shared" ca="1" si="72"/>
        <v>#REF!</v>
      </c>
      <c r="S348" s="767" t="e">
        <f t="shared" ca="1" si="72"/>
        <v>#REF!</v>
      </c>
      <c r="T348" s="767"/>
    </row>
    <row r="349" spans="2:22">
      <c r="B349" s="758" t="str">
        <f>IF(OR((B346="~"),(C349="~")),"~","")</f>
        <v>~</v>
      </c>
      <c r="C349" s="758" t="str">
        <f>IF(B346="~","~",[7]INPUTS!$C$44)</f>
        <v>~</v>
      </c>
      <c r="E349" s="767" t="e">
        <f t="shared" ca="1" si="71"/>
        <v>#REF!</v>
      </c>
      <c r="F349" s="779"/>
      <c r="G349" s="767" t="e">
        <f t="shared" ca="1" si="72"/>
        <v>#REF!</v>
      </c>
      <c r="H349" s="767" t="e">
        <f t="shared" ca="1" si="72"/>
        <v>#REF!</v>
      </c>
      <c r="I349" s="767" t="e">
        <f t="shared" ca="1" si="72"/>
        <v>#REF!</v>
      </c>
      <c r="J349" s="767" t="e">
        <f t="shared" ca="1" si="72"/>
        <v>#REF!</v>
      </c>
      <c r="K349" s="767" t="e">
        <f t="shared" ca="1" si="72"/>
        <v>#REF!</v>
      </c>
      <c r="L349" s="767" t="e">
        <f t="shared" ca="1" si="72"/>
        <v>#REF!</v>
      </c>
      <c r="M349" s="767" t="e">
        <f t="shared" ca="1" si="72"/>
        <v>#REF!</v>
      </c>
      <c r="N349" s="767" t="e">
        <f t="shared" ca="1" si="72"/>
        <v>#REF!</v>
      </c>
      <c r="O349" s="767" t="e">
        <f t="shared" ca="1" si="72"/>
        <v>#REF!</v>
      </c>
      <c r="P349" s="767" t="e">
        <f t="shared" ca="1" si="72"/>
        <v>#REF!</v>
      </c>
      <c r="Q349" s="767" t="e">
        <f t="shared" ca="1" si="72"/>
        <v>#REF!</v>
      </c>
      <c r="R349" s="767" t="e">
        <f t="shared" ca="1" si="72"/>
        <v>#REF!</v>
      </c>
      <c r="S349" s="767" t="e">
        <f t="shared" ca="1" si="72"/>
        <v>#REF!</v>
      </c>
      <c r="T349" s="767"/>
    </row>
    <row r="350" spans="2:22">
      <c r="B350" s="758" t="str">
        <f>IF(OR((B346="~"),(C350="~")),"~","")</f>
        <v>~</v>
      </c>
      <c r="C350" s="758" t="str">
        <f>IF(B346="~","~",[7]INPUTS!$C$45)</f>
        <v>~</v>
      </c>
      <c r="E350" s="767" t="e">
        <f t="shared" ca="1" si="71"/>
        <v>#REF!</v>
      </c>
      <c r="F350" s="779"/>
      <c r="G350" s="767" t="e">
        <f t="shared" ca="1" si="72"/>
        <v>#REF!</v>
      </c>
      <c r="H350" s="767" t="e">
        <f t="shared" ca="1" si="72"/>
        <v>#REF!</v>
      </c>
      <c r="I350" s="767" t="e">
        <f t="shared" ca="1" si="72"/>
        <v>#REF!</v>
      </c>
      <c r="J350" s="767" t="e">
        <f t="shared" ca="1" si="72"/>
        <v>#REF!</v>
      </c>
      <c r="K350" s="767" t="e">
        <f t="shared" ca="1" si="72"/>
        <v>#REF!</v>
      </c>
      <c r="L350" s="767" t="e">
        <f t="shared" ca="1" si="72"/>
        <v>#REF!</v>
      </c>
      <c r="M350" s="767" t="e">
        <f t="shared" ca="1" si="72"/>
        <v>#REF!</v>
      </c>
      <c r="N350" s="767" t="e">
        <f t="shared" ca="1" si="72"/>
        <v>#REF!</v>
      </c>
      <c r="O350" s="767" t="e">
        <f t="shared" ca="1" si="72"/>
        <v>#REF!</v>
      </c>
      <c r="P350" s="767" t="e">
        <f t="shared" ca="1" si="72"/>
        <v>#REF!</v>
      </c>
      <c r="Q350" s="767" t="e">
        <f t="shared" ca="1" si="72"/>
        <v>#REF!</v>
      </c>
      <c r="R350" s="767" t="e">
        <f t="shared" ca="1" si="72"/>
        <v>#REF!</v>
      </c>
      <c r="S350" s="767" t="e">
        <f t="shared" ca="1" si="72"/>
        <v>#REF!</v>
      </c>
      <c r="T350" s="767"/>
    </row>
    <row r="351" spans="2:22">
      <c r="B351" s="758" t="str">
        <f>IF(OR((B346="~"),(C351="~")),"~","")</f>
        <v>~</v>
      </c>
      <c r="C351" s="758" t="str">
        <f>IF(B346="~","~",[7]INPUTS!$C$46)</f>
        <v>~</v>
      </c>
      <c r="E351" s="767" t="e">
        <f t="shared" ca="1" si="71"/>
        <v>#REF!</v>
      </c>
      <c r="F351" s="779"/>
      <c r="G351" s="767" t="e">
        <f t="shared" ca="1" si="72"/>
        <v>#REF!</v>
      </c>
      <c r="H351" s="767" t="e">
        <f t="shared" ca="1" si="72"/>
        <v>#REF!</v>
      </c>
      <c r="I351" s="767" t="e">
        <f t="shared" ca="1" si="72"/>
        <v>#REF!</v>
      </c>
      <c r="J351" s="767" t="e">
        <f t="shared" ca="1" si="72"/>
        <v>#REF!</v>
      </c>
      <c r="K351" s="767" t="e">
        <f t="shared" ca="1" si="72"/>
        <v>#REF!</v>
      </c>
      <c r="L351" s="767" t="e">
        <f t="shared" ca="1" si="72"/>
        <v>#REF!</v>
      </c>
      <c r="M351" s="767" t="e">
        <f t="shared" ca="1" si="72"/>
        <v>#REF!</v>
      </c>
      <c r="N351" s="767" t="e">
        <f t="shared" ca="1" si="72"/>
        <v>#REF!</v>
      </c>
      <c r="O351" s="767" t="e">
        <f t="shared" ca="1" si="72"/>
        <v>#REF!</v>
      </c>
      <c r="P351" s="767" t="e">
        <f t="shared" ca="1" si="72"/>
        <v>#REF!</v>
      </c>
      <c r="Q351" s="767" t="e">
        <f t="shared" ca="1" si="72"/>
        <v>#REF!</v>
      </c>
      <c r="R351" s="767" t="e">
        <f t="shared" ca="1" si="72"/>
        <v>#REF!</v>
      </c>
      <c r="S351" s="767" t="e">
        <f t="shared" ca="1" si="72"/>
        <v>#REF!</v>
      </c>
      <c r="T351" s="767"/>
    </row>
    <row r="352" spans="2:22">
      <c r="B352" s="758" t="str">
        <f>IF(OR((B346="~"),(C352="~")),"~","")</f>
        <v>~</v>
      </c>
      <c r="C352" s="758" t="str">
        <f>IF(B346="~","~",[7]INPUTS!$C$47)</f>
        <v>~</v>
      </c>
      <c r="E352" s="767" t="e">
        <f t="shared" ca="1" si="71"/>
        <v>#REF!</v>
      </c>
      <c r="F352" s="779"/>
      <c r="G352" s="767" t="e">
        <f t="shared" ca="1" si="72"/>
        <v>#REF!</v>
      </c>
      <c r="H352" s="767" t="e">
        <f t="shared" ca="1" si="72"/>
        <v>#REF!</v>
      </c>
      <c r="I352" s="767" t="e">
        <f t="shared" ca="1" si="72"/>
        <v>#REF!</v>
      </c>
      <c r="J352" s="767" t="e">
        <f t="shared" ca="1" si="72"/>
        <v>#REF!</v>
      </c>
      <c r="K352" s="767" t="e">
        <f t="shared" ca="1" si="72"/>
        <v>#REF!</v>
      </c>
      <c r="L352" s="767" t="e">
        <f t="shared" ca="1" si="72"/>
        <v>#REF!</v>
      </c>
      <c r="M352" s="767" t="e">
        <f t="shared" ca="1" si="72"/>
        <v>#REF!</v>
      </c>
      <c r="N352" s="767" t="e">
        <f t="shared" ca="1" si="72"/>
        <v>#REF!</v>
      </c>
      <c r="O352" s="767" t="e">
        <f t="shared" ca="1" si="72"/>
        <v>#REF!</v>
      </c>
      <c r="P352" s="767" t="e">
        <f t="shared" ca="1" si="72"/>
        <v>#REF!</v>
      </c>
      <c r="Q352" s="767" t="e">
        <f t="shared" ca="1" si="72"/>
        <v>#REF!</v>
      </c>
      <c r="R352" s="767" t="e">
        <f t="shared" ca="1" si="72"/>
        <v>#REF!</v>
      </c>
      <c r="S352" s="767" t="e">
        <f t="shared" ca="1" si="72"/>
        <v>#REF!</v>
      </c>
      <c r="T352" s="767"/>
    </row>
    <row r="353" spans="2:22" s="760" customFormat="1">
      <c r="B353" s="760" t="str">
        <f>IF(OR((B346="~"),(C353="~")),"~","")</f>
        <v>~</v>
      </c>
      <c r="C353" s="760" t="str">
        <f>IF(B346="~","~","Sub-total")</f>
        <v>~</v>
      </c>
      <c r="E353" s="774"/>
      <c r="F353" s="780"/>
      <c r="G353" s="774"/>
      <c r="H353" s="774"/>
      <c r="I353" s="774"/>
      <c r="J353" s="774"/>
      <c r="K353" s="774"/>
      <c r="L353" s="774"/>
      <c r="M353" s="774"/>
      <c r="N353" s="774"/>
      <c r="O353" s="774"/>
      <c r="P353" s="774"/>
      <c r="Q353" s="774"/>
      <c r="R353" s="774"/>
      <c r="S353" s="774"/>
      <c r="T353" s="774"/>
      <c r="U353" s="782"/>
      <c r="V353" s="782"/>
    </row>
    <row r="354" spans="2:22">
      <c r="B354" s="758" t="str">
        <f>IF(OR((B346="~"),(C354="~")),"~","")</f>
        <v>~</v>
      </c>
      <c r="E354" s="781"/>
      <c r="F354" s="781"/>
      <c r="G354" s="781"/>
      <c r="H354" s="781"/>
      <c r="I354" s="781"/>
      <c r="J354" s="781"/>
      <c r="K354" s="781"/>
      <c r="L354" s="781"/>
      <c r="M354" s="781"/>
      <c r="N354" s="781"/>
      <c r="O354" s="781"/>
      <c r="P354" s="781"/>
      <c r="Q354" s="781"/>
      <c r="R354" s="781"/>
      <c r="S354" s="781"/>
    </row>
    <row r="355" spans="2:22">
      <c r="B355" s="760" t="str">
        <f>[7]INPUTS!$F$19</f>
        <v>~</v>
      </c>
      <c r="E355" s="779"/>
      <c r="F355" s="779"/>
      <c r="G355" s="779"/>
      <c r="H355" s="779"/>
      <c r="I355" s="779"/>
      <c r="J355" s="779"/>
      <c r="K355" s="779"/>
      <c r="L355" s="779"/>
      <c r="M355" s="779"/>
      <c r="N355" s="779"/>
      <c r="O355" s="779"/>
      <c r="P355" s="779"/>
      <c r="Q355" s="779"/>
      <c r="R355" s="779"/>
      <c r="S355" s="779"/>
      <c r="T355" s="765"/>
    </row>
    <row r="356" spans="2:22">
      <c r="B356" s="758" t="str">
        <f>IF(OR((B355="~"),(C356="~")),"~","")</f>
        <v>~</v>
      </c>
      <c r="C356" s="758" t="str">
        <f>IF(B355="~","~",[7]INPUTS!$C$42)</f>
        <v>~</v>
      </c>
      <c r="E356" s="767" t="e">
        <f t="shared" ref="E356:E361" ca="1" si="73">ROUND(IF($C356=0,0,E247/E$383),6)</f>
        <v>#REF!</v>
      </c>
      <c r="F356" s="779"/>
      <c r="G356" s="767" t="e">
        <f t="shared" ref="G356:S361" ca="1" si="74">ROUND(IF($C356=0,0,G247/G$383),6)</f>
        <v>#REF!</v>
      </c>
      <c r="H356" s="767" t="e">
        <f t="shared" ca="1" si="74"/>
        <v>#REF!</v>
      </c>
      <c r="I356" s="767" t="e">
        <f t="shared" ca="1" si="74"/>
        <v>#REF!</v>
      </c>
      <c r="J356" s="767" t="e">
        <f t="shared" ca="1" si="74"/>
        <v>#REF!</v>
      </c>
      <c r="K356" s="767" t="e">
        <f t="shared" ca="1" si="74"/>
        <v>#REF!</v>
      </c>
      <c r="L356" s="767" t="e">
        <f t="shared" ca="1" si="74"/>
        <v>#REF!</v>
      </c>
      <c r="M356" s="767" t="e">
        <f t="shared" ca="1" si="74"/>
        <v>#REF!</v>
      </c>
      <c r="N356" s="767" t="e">
        <f t="shared" ca="1" si="74"/>
        <v>#REF!</v>
      </c>
      <c r="O356" s="767" t="e">
        <f t="shared" ca="1" si="74"/>
        <v>#REF!</v>
      </c>
      <c r="P356" s="767" t="e">
        <f t="shared" ca="1" si="74"/>
        <v>#REF!</v>
      </c>
      <c r="Q356" s="767" t="e">
        <f t="shared" ca="1" si="74"/>
        <v>#REF!</v>
      </c>
      <c r="R356" s="767" t="e">
        <f t="shared" ca="1" si="74"/>
        <v>#REF!</v>
      </c>
      <c r="S356" s="767" t="e">
        <f t="shared" ca="1" si="74"/>
        <v>#REF!</v>
      </c>
      <c r="T356" s="767"/>
    </row>
    <row r="357" spans="2:22">
      <c r="B357" s="758" t="str">
        <f>IF(OR((B355="~"),(C357="~")),"~","")</f>
        <v>~</v>
      </c>
      <c r="C357" s="758" t="str">
        <f>IF(B355="~","~",[7]INPUTS!$C$43)</f>
        <v>~</v>
      </c>
      <c r="E357" s="767" t="e">
        <f t="shared" ca="1" si="73"/>
        <v>#REF!</v>
      </c>
      <c r="F357" s="779"/>
      <c r="G357" s="767" t="e">
        <f t="shared" ca="1" si="74"/>
        <v>#REF!</v>
      </c>
      <c r="H357" s="767" t="e">
        <f t="shared" ca="1" si="74"/>
        <v>#REF!</v>
      </c>
      <c r="I357" s="767" t="e">
        <f t="shared" ca="1" si="74"/>
        <v>#REF!</v>
      </c>
      <c r="J357" s="767" t="e">
        <f t="shared" ca="1" si="74"/>
        <v>#REF!</v>
      </c>
      <c r="K357" s="767" t="e">
        <f t="shared" ca="1" si="74"/>
        <v>#REF!</v>
      </c>
      <c r="L357" s="767" t="e">
        <f t="shared" ca="1" si="74"/>
        <v>#REF!</v>
      </c>
      <c r="M357" s="767" t="e">
        <f t="shared" ca="1" si="74"/>
        <v>#REF!</v>
      </c>
      <c r="N357" s="767" t="e">
        <f t="shared" ca="1" si="74"/>
        <v>#REF!</v>
      </c>
      <c r="O357" s="767" t="e">
        <f t="shared" ca="1" si="74"/>
        <v>#REF!</v>
      </c>
      <c r="P357" s="767" t="e">
        <f t="shared" ca="1" si="74"/>
        <v>#REF!</v>
      </c>
      <c r="Q357" s="767" t="e">
        <f t="shared" ca="1" si="74"/>
        <v>#REF!</v>
      </c>
      <c r="R357" s="767" t="e">
        <f t="shared" ca="1" si="74"/>
        <v>#REF!</v>
      </c>
      <c r="S357" s="767" t="e">
        <f t="shared" ca="1" si="74"/>
        <v>#REF!</v>
      </c>
      <c r="T357" s="767"/>
    </row>
    <row r="358" spans="2:22">
      <c r="B358" s="758" t="str">
        <f>IF(OR((B355="~"),(C358="~")),"~","")</f>
        <v>~</v>
      </c>
      <c r="C358" s="758" t="str">
        <f>IF(B355="~","~",[7]INPUTS!$C$44)</f>
        <v>~</v>
      </c>
      <c r="E358" s="767" t="e">
        <f t="shared" ca="1" si="73"/>
        <v>#REF!</v>
      </c>
      <c r="F358" s="779"/>
      <c r="G358" s="767" t="e">
        <f t="shared" ca="1" si="74"/>
        <v>#REF!</v>
      </c>
      <c r="H358" s="767" t="e">
        <f t="shared" ca="1" si="74"/>
        <v>#REF!</v>
      </c>
      <c r="I358" s="767" t="e">
        <f t="shared" ca="1" si="74"/>
        <v>#REF!</v>
      </c>
      <c r="J358" s="767" t="e">
        <f t="shared" ca="1" si="74"/>
        <v>#REF!</v>
      </c>
      <c r="K358" s="767" t="e">
        <f t="shared" ca="1" si="74"/>
        <v>#REF!</v>
      </c>
      <c r="L358" s="767" t="e">
        <f t="shared" ca="1" si="74"/>
        <v>#REF!</v>
      </c>
      <c r="M358" s="767" t="e">
        <f t="shared" ca="1" si="74"/>
        <v>#REF!</v>
      </c>
      <c r="N358" s="767" t="e">
        <f t="shared" ca="1" si="74"/>
        <v>#REF!</v>
      </c>
      <c r="O358" s="767" t="e">
        <f t="shared" ca="1" si="74"/>
        <v>#REF!</v>
      </c>
      <c r="P358" s="767" t="e">
        <f t="shared" ca="1" si="74"/>
        <v>#REF!</v>
      </c>
      <c r="Q358" s="767" t="e">
        <f t="shared" ca="1" si="74"/>
        <v>#REF!</v>
      </c>
      <c r="R358" s="767" t="e">
        <f t="shared" ca="1" si="74"/>
        <v>#REF!</v>
      </c>
      <c r="S358" s="767" t="e">
        <f t="shared" ca="1" si="74"/>
        <v>#REF!</v>
      </c>
      <c r="T358" s="767"/>
    </row>
    <row r="359" spans="2:22">
      <c r="B359" s="758" t="str">
        <f>IF(OR((B355="~"),(C359="~")),"~","")</f>
        <v>~</v>
      </c>
      <c r="C359" s="758" t="str">
        <f>IF(B355="~","~",[7]INPUTS!$C$45)</f>
        <v>~</v>
      </c>
      <c r="E359" s="767" t="e">
        <f t="shared" ca="1" si="73"/>
        <v>#REF!</v>
      </c>
      <c r="F359" s="779"/>
      <c r="G359" s="767" t="e">
        <f t="shared" ca="1" si="74"/>
        <v>#REF!</v>
      </c>
      <c r="H359" s="767" t="e">
        <f t="shared" ca="1" si="74"/>
        <v>#REF!</v>
      </c>
      <c r="I359" s="767" t="e">
        <f t="shared" ca="1" si="74"/>
        <v>#REF!</v>
      </c>
      <c r="J359" s="767" t="e">
        <f t="shared" ca="1" si="74"/>
        <v>#REF!</v>
      </c>
      <c r="K359" s="767" t="e">
        <f t="shared" ca="1" si="74"/>
        <v>#REF!</v>
      </c>
      <c r="L359" s="767" t="e">
        <f t="shared" ca="1" si="74"/>
        <v>#REF!</v>
      </c>
      <c r="M359" s="767" t="e">
        <f t="shared" ca="1" si="74"/>
        <v>#REF!</v>
      </c>
      <c r="N359" s="767" t="e">
        <f t="shared" ca="1" si="74"/>
        <v>#REF!</v>
      </c>
      <c r="O359" s="767" t="e">
        <f t="shared" ca="1" si="74"/>
        <v>#REF!</v>
      </c>
      <c r="P359" s="767" t="e">
        <f t="shared" ca="1" si="74"/>
        <v>#REF!</v>
      </c>
      <c r="Q359" s="767" t="e">
        <f t="shared" ca="1" si="74"/>
        <v>#REF!</v>
      </c>
      <c r="R359" s="767" t="e">
        <f t="shared" ca="1" si="74"/>
        <v>#REF!</v>
      </c>
      <c r="S359" s="767" t="e">
        <f t="shared" ca="1" si="74"/>
        <v>#REF!</v>
      </c>
      <c r="T359" s="767"/>
    </row>
    <row r="360" spans="2:22">
      <c r="B360" s="758" t="str">
        <f>IF(OR((B355="~"),(C360="~")),"~","")</f>
        <v>~</v>
      </c>
      <c r="C360" s="758" t="str">
        <f>IF(B355="~","~",[7]INPUTS!$C$46)</f>
        <v>~</v>
      </c>
      <c r="E360" s="767" t="e">
        <f t="shared" ca="1" si="73"/>
        <v>#REF!</v>
      </c>
      <c r="F360" s="779"/>
      <c r="G360" s="767" t="e">
        <f t="shared" ca="1" si="74"/>
        <v>#REF!</v>
      </c>
      <c r="H360" s="767" t="e">
        <f t="shared" ca="1" si="74"/>
        <v>#REF!</v>
      </c>
      <c r="I360" s="767" t="e">
        <f t="shared" ca="1" si="74"/>
        <v>#REF!</v>
      </c>
      <c r="J360" s="767" t="e">
        <f t="shared" ca="1" si="74"/>
        <v>#REF!</v>
      </c>
      <c r="K360" s="767" t="e">
        <f t="shared" ca="1" si="74"/>
        <v>#REF!</v>
      </c>
      <c r="L360" s="767" t="e">
        <f t="shared" ca="1" si="74"/>
        <v>#REF!</v>
      </c>
      <c r="M360" s="767" t="e">
        <f t="shared" ca="1" si="74"/>
        <v>#REF!</v>
      </c>
      <c r="N360" s="767" t="e">
        <f t="shared" ca="1" si="74"/>
        <v>#REF!</v>
      </c>
      <c r="O360" s="767" t="e">
        <f t="shared" ca="1" si="74"/>
        <v>#REF!</v>
      </c>
      <c r="P360" s="767" t="e">
        <f t="shared" ca="1" si="74"/>
        <v>#REF!</v>
      </c>
      <c r="Q360" s="767" t="e">
        <f t="shared" ca="1" si="74"/>
        <v>#REF!</v>
      </c>
      <c r="R360" s="767" t="e">
        <f t="shared" ca="1" si="74"/>
        <v>#REF!</v>
      </c>
      <c r="S360" s="767" t="e">
        <f t="shared" ca="1" si="74"/>
        <v>#REF!</v>
      </c>
      <c r="T360" s="767"/>
    </row>
    <row r="361" spans="2:22">
      <c r="B361" s="758" t="str">
        <f>IF(OR((B355="~"),(C361="~")),"~","")</f>
        <v>~</v>
      </c>
      <c r="C361" s="758" t="str">
        <f>IF(B355="~","~",[7]INPUTS!$C$47)</f>
        <v>~</v>
      </c>
      <c r="E361" s="767" t="e">
        <f t="shared" ca="1" si="73"/>
        <v>#REF!</v>
      </c>
      <c r="F361" s="779"/>
      <c r="G361" s="767" t="e">
        <f t="shared" ca="1" si="74"/>
        <v>#REF!</v>
      </c>
      <c r="H361" s="767" t="e">
        <f t="shared" ca="1" si="74"/>
        <v>#REF!</v>
      </c>
      <c r="I361" s="767" t="e">
        <f t="shared" ca="1" si="74"/>
        <v>#REF!</v>
      </c>
      <c r="J361" s="767" t="e">
        <f t="shared" ca="1" si="74"/>
        <v>#REF!</v>
      </c>
      <c r="K361" s="767" t="e">
        <f t="shared" ca="1" si="74"/>
        <v>#REF!</v>
      </c>
      <c r="L361" s="767" t="e">
        <f t="shared" ca="1" si="74"/>
        <v>#REF!</v>
      </c>
      <c r="M361" s="767" t="e">
        <f t="shared" ca="1" si="74"/>
        <v>#REF!</v>
      </c>
      <c r="N361" s="767" t="e">
        <f t="shared" ca="1" si="74"/>
        <v>#REF!</v>
      </c>
      <c r="O361" s="767" t="e">
        <f t="shared" ca="1" si="74"/>
        <v>#REF!</v>
      </c>
      <c r="P361" s="767" t="e">
        <f t="shared" ca="1" si="74"/>
        <v>#REF!</v>
      </c>
      <c r="Q361" s="767" t="e">
        <f t="shared" ca="1" si="74"/>
        <v>#REF!</v>
      </c>
      <c r="R361" s="767" t="e">
        <f t="shared" ca="1" si="74"/>
        <v>#REF!</v>
      </c>
      <c r="S361" s="767" t="e">
        <f t="shared" ca="1" si="74"/>
        <v>#REF!</v>
      </c>
      <c r="T361" s="767"/>
    </row>
    <row r="362" spans="2:22" s="760" customFormat="1">
      <c r="B362" s="760" t="str">
        <f>IF(OR((B355="~"),(C362="~")),"~","")</f>
        <v>~</v>
      </c>
      <c r="C362" s="760" t="str">
        <f>IF(B355="~","~","Sub-total")</f>
        <v>~</v>
      </c>
      <c r="E362" s="774"/>
      <c r="F362" s="780"/>
      <c r="G362" s="774"/>
      <c r="H362" s="774"/>
      <c r="I362" s="774"/>
      <c r="J362" s="774"/>
      <c r="K362" s="774"/>
      <c r="L362" s="774"/>
      <c r="M362" s="774"/>
      <c r="N362" s="774"/>
      <c r="O362" s="774"/>
      <c r="P362" s="774"/>
      <c r="Q362" s="774"/>
      <c r="R362" s="774"/>
      <c r="S362" s="774"/>
      <c r="T362" s="774"/>
      <c r="U362" s="782"/>
      <c r="V362" s="782"/>
    </row>
    <row r="363" spans="2:22">
      <c r="B363" s="758" t="str">
        <f>IF(OR((B355="~"),(C363="~")),"~","")</f>
        <v>~</v>
      </c>
      <c r="E363" s="781"/>
      <c r="F363" s="781"/>
      <c r="G363" s="781"/>
      <c r="H363" s="781"/>
      <c r="I363" s="781"/>
      <c r="J363" s="781"/>
      <c r="K363" s="781"/>
      <c r="L363" s="781"/>
      <c r="M363" s="781"/>
      <c r="N363" s="781"/>
      <c r="O363" s="781"/>
      <c r="P363" s="781"/>
      <c r="Q363" s="781"/>
      <c r="R363" s="781"/>
      <c r="S363" s="781"/>
    </row>
    <row r="364" spans="2:22">
      <c r="B364" s="760" t="str">
        <f>[7]INPUTS!$F$20</f>
        <v>~</v>
      </c>
      <c r="E364" s="779"/>
      <c r="F364" s="779"/>
      <c r="G364" s="779"/>
      <c r="H364" s="779"/>
      <c r="I364" s="779"/>
      <c r="J364" s="779"/>
      <c r="K364" s="779"/>
      <c r="L364" s="779"/>
      <c r="M364" s="779"/>
      <c r="N364" s="779"/>
      <c r="O364" s="779"/>
      <c r="P364" s="779"/>
      <c r="Q364" s="779"/>
      <c r="R364" s="779"/>
      <c r="S364" s="779"/>
      <c r="T364" s="765"/>
    </row>
    <row r="365" spans="2:22">
      <c r="B365" s="758" t="str">
        <f>IF(OR((B364="~"),(C365="~")),"~","")</f>
        <v>~</v>
      </c>
      <c r="C365" s="758" t="str">
        <f>IF(B364="~","~",[7]INPUTS!$C$42)</f>
        <v>~</v>
      </c>
      <c r="E365" s="767" t="e">
        <f t="shared" ref="E365:E370" ca="1" si="75">ROUND(IF($C365=0,0,E256/E$383),6)</f>
        <v>#REF!</v>
      </c>
      <c r="F365" s="779"/>
      <c r="G365" s="767" t="e">
        <f t="shared" ref="G365:S370" ca="1" si="76">ROUND(IF($C365=0,0,G256/G$383),6)</f>
        <v>#REF!</v>
      </c>
      <c r="H365" s="767" t="e">
        <f t="shared" ca="1" si="76"/>
        <v>#REF!</v>
      </c>
      <c r="I365" s="767" t="e">
        <f t="shared" ca="1" si="76"/>
        <v>#REF!</v>
      </c>
      <c r="J365" s="767" t="e">
        <f t="shared" ca="1" si="76"/>
        <v>#REF!</v>
      </c>
      <c r="K365" s="767" t="e">
        <f t="shared" ca="1" si="76"/>
        <v>#REF!</v>
      </c>
      <c r="L365" s="767" t="e">
        <f t="shared" ca="1" si="76"/>
        <v>#REF!</v>
      </c>
      <c r="M365" s="767" t="e">
        <f t="shared" ca="1" si="76"/>
        <v>#REF!</v>
      </c>
      <c r="N365" s="767" t="e">
        <f t="shared" ca="1" si="76"/>
        <v>#REF!</v>
      </c>
      <c r="O365" s="767" t="e">
        <f t="shared" ca="1" si="76"/>
        <v>#REF!</v>
      </c>
      <c r="P365" s="767" t="e">
        <f t="shared" ca="1" si="76"/>
        <v>#REF!</v>
      </c>
      <c r="Q365" s="767" t="e">
        <f t="shared" ca="1" si="76"/>
        <v>#REF!</v>
      </c>
      <c r="R365" s="767" t="e">
        <f t="shared" ca="1" si="76"/>
        <v>#REF!</v>
      </c>
      <c r="S365" s="767" t="e">
        <f t="shared" ca="1" si="76"/>
        <v>#REF!</v>
      </c>
      <c r="T365" s="767"/>
    </row>
    <row r="366" spans="2:22">
      <c r="B366" s="758" t="str">
        <f>IF(OR((B364="~"),(C366="~")),"~","")</f>
        <v>~</v>
      </c>
      <c r="C366" s="758" t="str">
        <f>IF(B364="~","~",[7]INPUTS!$C$43)</f>
        <v>~</v>
      </c>
      <c r="E366" s="767" t="e">
        <f t="shared" ca="1" si="75"/>
        <v>#REF!</v>
      </c>
      <c r="F366" s="779"/>
      <c r="G366" s="767" t="e">
        <f t="shared" ca="1" si="76"/>
        <v>#REF!</v>
      </c>
      <c r="H366" s="767" t="e">
        <f t="shared" ca="1" si="76"/>
        <v>#REF!</v>
      </c>
      <c r="I366" s="767" t="e">
        <f t="shared" ca="1" si="76"/>
        <v>#REF!</v>
      </c>
      <c r="J366" s="767" t="e">
        <f t="shared" ca="1" si="76"/>
        <v>#REF!</v>
      </c>
      <c r="K366" s="767" t="e">
        <f t="shared" ca="1" si="76"/>
        <v>#REF!</v>
      </c>
      <c r="L366" s="767" t="e">
        <f t="shared" ca="1" si="76"/>
        <v>#REF!</v>
      </c>
      <c r="M366" s="767" t="e">
        <f t="shared" ca="1" si="76"/>
        <v>#REF!</v>
      </c>
      <c r="N366" s="767" t="e">
        <f t="shared" ca="1" si="76"/>
        <v>#REF!</v>
      </c>
      <c r="O366" s="767" t="e">
        <f t="shared" ca="1" si="76"/>
        <v>#REF!</v>
      </c>
      <c r="P366" s="767" t="e">
        <f t="shared" ca="1" si="76"/>
        <v>#REF!</v>
      </c>
      <c r="Q366" s="767" t="e">
        <f t="shared" ca="1" si="76"/>
        <v>#REF!</v>
      </c>
      <c r="R366" s="767" t="e">
        <f t="shared" ca="1" si="76"/>
        <v>#REF!</v>
      </c>
      <c r="S366" s="767" t="e">
        <f t="shared" ca="1" si="76"/>
        <v>#REF!</v>
      </c>
      <c r="T366" s="767"/>
    </row>
    <row r="367" spans="2:22">
      <c r="B367" s="758" t="str">
        <f>IF(OR((B364="~"),(C367="~")),"~","")</f>
        <v>~</v>
      </c>
      <c r="C367" s="758" t="str">
        <f>IF(B364="~","~",[7]INPUTS!$C$44)</f>
        <v>~</v>
      </c>
      <c r="E367" s="767" t="e">
        <f t="shared" ca="1" si="75"/>
        <v>#REF!</v>
      </c>
      <c r="F367" s="779"/>
      <c r="G367" s="767" t="e">
        <f t="shared" ca="1" si="76"/>
        <v>#REF!</v>
      </c>
      <c r="H367" s="767" t="e">
        <f t="shared" ca="1" si="76"/>
        <v>#REF!</v>
      </c>
      <c r="I367" s="767" t="e">
        <f t="shared" ca="1" si="76"/>
        <v>#REF!</v>
      </c>
      <c r="J367" s="767" t="e">
        <f t="shared" ca="1" si="76"/>
        <v>#REF!</v>
      </c>
      <c r="K367" s="767" t="e">
        <f t="shared" ca="1" si="76"/>
        <v>#REF!</v>
      </c>
      <c r="L367" s="767" t="e">
        <f t="shared" ca="1" si="76"/>
        <v>#REF!</v>
      </c>
      <c r="M367" s="767" t="e">
        <f t="shared" ca="1" si="76"/>
        <v>#REF!</v>
      </c>
      <c r="N367" s="767" t="e">
        <f t="shared" ca="1" si="76"/>
        <v>#REF!</v>
      </c>
      <c r="O367" s="767" t="e">
        <f t="shared" ca="1" si="76"/>
        <v>#REF!</v>
      </c>
      <c r="P367" s="767" t="e">
        <f t="shared" ca="1" si="76"/>
        <v>#REF!</v>
      </c>
      <c r="Q367" s="767" t="e">
        <f t="shared" ca="1" si="76"/>
        <v>#REF!</v>
      </c>
      <c r="R367" s="767" t="e">
        <f t="shared" ca="1" si="76"/>
        <v>#REF!</v>
      </c>
      <c r="S367" s="767" t="e">
        <f t="shared" ca="1" si="76"/>
        <v>#REF!</v>
      </c>
      <c r="T367" s="767"/>
    </row>
    <row r="368" spans="2:22">
      <c r="B368" s="758" t="str">
        <f>IF(OR((B364="~"),(C368="~")),"~","")</f>
        <v>~</v>
      </c>
      <c r="C368" s="758" t="str">
        <f>IF(B364="~","~",[7]INPUTS!$C$45)</f>
        <v>~</v>
      </c>
      <c r="E368" s="767" t="e">
        <f t="shared" ca="1" si="75"/>
        <v>#REF!</v>
      </c>
      <c r="F368" s="779"/>
      <c r="G368" s="767" t="e">
        <f t="shared" ca="1" si="76"/>
        <v>#REF!</v>
      </c>
      <c r="H368" s="767" t="e">
        <f t="shared" ca="1" si="76"/>
        <v>#REF!</v>
      </c>
      <c r="I368" s="767" t="e">
        <f t="shared" ca="1" si="76"/>
        <v>#REF!</v>
      </c>
      <c r="J368" s="767" t="e">
        <f t="shared" ca="1" si="76"/>
        <v>#REF!</v>
      </c>
      <c r="K368" s="767" t="e">
        <f t="shared" ca="1" si="76"/>
        <v>#REF!</v>
      </c>
      <c r="L368" s="767" t="e">
        <f t="shared" ca="1" si="76"/>
        <v>#REF!</v>
      </c>
      <c r="M368" s="767" t="e">
        <f t="shared" ca="1" si="76"/>
        <v>#REF!</v>
      </c>
      <c r="N368" s="767" t="e">
        <f t="shared" ca="1" si="76"/>
        <v>#REF!</v>
      </c>
      <c r="O368" s="767" t="e">
        <f t="shared" ca="1" si="76"/>
        <v>#REF!</v>
      </c>
      <c r="P368" s="767" t="e">
        <f t="shared" ca="1" si="76"/>
        <v>#REF!</v>
      </c>
      <c r="Q368" s="767" t="e">
        <f t="shared" ca="1" si="76"/>
        <v>#REF!</v>
      </c>
      <c r="R368" s="767" t="e">
        <f t="shared" ca="1" si="76"/>
        <v>#REF!</v>
      </c>
      <c r="S368" s="767" t="e">
        <f t="shared" ca="1" si="76"/>
        <v>#REF!</v>
      </c>
      <c r="T368" s="767"/>
    </row>
    <row r="369" spans="1:22">
      <c r="B369" s="758" t="str">
        <f>IF(OR((B364="~"),(C369="~")),"~","")</f>
        <v>~</v>
      </c>
      <c r="C369" s="758" t="str">
        <f>IF(B364="~","~",[7]INPUTS!$C$46)</f>
        <v>~</v>
      </c>
      <c r="E369" s="767" t="e">
        <f t="shared" ca="1" si="75"/>
        <v>#REF!</v>
      </c>
      <c r="F369" s="779"/>
      <c r="G369" s="767" t="e">
        <f t="shared" ca="1" si="76"/>
        <v>#REF!</v>
      </c>
      <c r="H369" s="767" t="e">
        <f t="shared" ca="1" si="76"/>
        <v>#REF!</v>
      </c>
      <c r="I369" s="767" t="e">
        <f t="shared" ca="1" si="76"/>
        <v>#REF!</v>
      </c>
      <c r="J369" s="767" t="e">
        <f t="shared" ca="1" si="76"/>
        <v>#REF!</v>
      </c>
      <c r="K369" s="767" t="e">
        <f t="shared" ca="1" si="76"/>
        <v>#REF!</v>
      </c>
      <c r="L369" s="767" t="e">
        <f t="shared" ca="1" si="76"/>
        <v>#REF!</v>
      </c>
      <c r="M369" s="767" t="e">
        <f t="shared" ca="1" si="76"/>
        <v>#REF!</v>
      </c>
      <c r="N369" s="767" t="e">
        <f t="shared" ca="1" si="76"/>
        <v>#REF!</v>
      </c>
      <c r="O369" s="767" t="e">
        <f t="shared" ca="1" si="76"/>
        <v>#REF!</v>
      </c>
      <c r="P369" s="767" t="e">
        <f t="shared" ca="1" si="76"/>
        <v>#REF!</v>
      </c>
      <c r="Q369" s="767" t="e">
        <f t="shared" ca="1" si="76"/>
        <v>#REF!</v>
      </c>
      <c r="R369" s="767" t="e">
        <f t="shared" ca="1" si="76"/>
        <v>#REF!</v>
      </c>
      <c r="S369" s="767" t="e">
        <f t="shared" ca="1" si="76"/>
        <v>#REF!</v>
      </c>
      <c r="T369" s="767"/>
    </row>
    <row r="370" spans="1:22">
      <c r="B370" s="758" t="str">
        <f>IF(OR((B364="~"),(C370="~")),"~","")</f>
        <v>~</v>
      </c>
      <c r="C370" s="758" t="str">
        <f>IF(B364="~","~",[7]INPUTS!$C$47)</f>
        <v>~</v>
      </c>
      <c r="E370" s="767" t="e">
        <f t="shared" ca="1" si="75"/>
        <v>#REF!</v>
      </c>
      <c r="F370" s="779"/>
      <c r="G370" s="767" t="e">
        <f t="shared" ca="1" si="76"/>
        <v>#REF!</v>
      </c>
      <c r="H370" s="767" t="e">
        <f t="shared" ca="1" si="76"/>
        <v>#REF!</v>
      </c>
      <c r="I370" s="767" t="e">
        <f t="shared" ca="1" si="76"/>
        <v>#REF!</v>
      </c>
      <c r="J370" s="767" t="e">
        <f t="shared" ca="1" si="76"/>
        <v>#REF!</v>
      </c>
      <c r="K370" s="767" t="e">
        <f t="shared" ca="1" si="76"/>
        <v>#REF!</v>
      </c>
      <c r="L370" s="767" t="e">
        <f t="shared" ca="1" si="76"/>
        <v>#REF!</v>
      </c>
      <c r="M370" s="767" t="e">
        <f t="shared" ca="1" si="76"/>
        <v>#REF!</v>
      </c>
      <c r="N370" s="767" t="e">
        <f t="shared" ca="1" si="76"/>
        <v>#REF!</v>
      </c>
      <c r="O370" s="767" t="e">
        <f t="shared" ca="1" si="76"/>
        <v>#REF!</v>
      </c>
      <c r="P370" s="767" t="e">
        <f t="shared" ca="1" si="76"/>
        <v>#REF!</v>
      </c>
      <c r="Q370" s="767" t="e">
        <f t="shared" ca="1" si="76"/>
        <v>#REF!</v>
      </c>
      <c r="R370" s="767" t="e">
        <f t="shared" ca="1" si="76"/>
        <v>#REF!</v>
      </c>
      <c r="S370" s="767" t="e">
        <f t="shared" ca="1" si="76"/>
        <v>#REF!</v>
      </c>
      <c r="T370" s="767"/>
    </row>
    <row r="371" spans="1:22" s="760" customFormat="1">
      <c r="B371" s="760" t="str">
        <f>IF(OR((B364="~"),(C371="~")),"~","")</f>
        <v>~</v>
      </c>
      <c r="C371" s="760" t="str">
        <f>IF(B364="~","~","Sub-total")</f>
        <v>~</v>
      </c>
      <c r="E371" s="774"/>
      <c r="F371" s="780"/>
      <c r="G371" s="774"/>
      <c r="H371" s="774"/>
      <c r="I371" s="774"/>
      <c r="J371" s="774"/>
      <c r="K371" s="774"/>
      <c r="L371" s="774"/>
      <c r="M371" s="774"/>
      <c r="N371" s="774"/>
      <c r="O371" s="774"/>
      <c r="P371" s="774"/>
      <c r="Q371" s="774"/>
      <c r="R371" s="774"/>
      <c r="S371" s="774"/>
      <c r="T371" s="774"/>
      <c r="U371" s="782"/>
      <c r="V371" s="782"/>
    </row>
    <row r="372" spans="1:22">
      <c r="B372" s="758" t="str">
        <f>IF(OR((B364="~"),(C372="~")),"~","")</f>
        <v>~</v>
      </c>
      <c r="E372" s="781"/>
      <c r="F372" s="781"/>
      <c r="G372" s="781"/>
      <c r="H372" s="781"/>
      <c r="I372" s="781"/>
      <c r="J372" s="781"/>
      <c r="K372" s="781"/>
      <c r="L372" s="781"/>
      <c r="M372" s="781"/>
      <c r="N372" s="781"/>
      <c r="O372" s="781"/>
      <c r="P372" s="781"/>
      <c r="Q372" s="781"/>
      <c r="R372" s="781"/>
      <c r="S372" s="781"/>
    </row>
    <row r="373" spans="1:22">
      <c r="A373" s="773"/>
      <c r="C373" s="773"/>
      <c r="D373" s="773"/>
      <c r="E373" s="781"/>
      <c r="F373" s="781"/>
      <c r="G373" s="781"/>
      <c r="H373" s="781"/>
      <c r="I373" s="781"/>
      <c r="J373" s="781"/>
      <c r="K373" s="781"/>
      <c r="L373" s="781"/>
      <c r="M373" s="781"/>
      <c r="N373" s="781"/>
      <c r="O373" s="781"/>
      <c r="P373" s="781"/>
      <c r="Q373" s="781"/>
      <c r="R373" s="781"/>
      <c r="S373" s="781"/>
    </row>
    <row r="374" spans="1:22">
      <c r="B374" s="760" t="s">
        <v>84</v>
      </c>
      <c r="E374" s="779"/>
      <c r="F374" s="779"/>
      <c r="G374" s="779"/>
      <c r="H374" s="779"/>
      <c r="I374" s="779"/>
      <c r="J374" s="779"/>
      <c r="K374" s="779"/>
      <c r="L374" s="779"/>
      <c r="M374" s="779"/>
      <c r="N374" s="779"/>
      <c r="O374" s="779"/>
      <c r="P374" s="779"/>
      <c r="Q374" s="779"/>
      <c r="R374" s="779"/>
      <c r="S374" s="779"/>
      <c r="T374" s="765"/>
    </row>
    <row r="375" spans="1:22">
      <c r="B375" s="758" t="str">
        <f>IF(OR((B374="~"),(C375="~")),"~","")</f>
        <v/>
      </c>
      <c r="C375" s="758" t="str">
        <f>IF(B374="~","~",[7]INPUTS!$C$42)</f>
        <v>Demand</v>
      </c>
      <c r="E375" s="767" t="e">
        <f t="shared" ref="E375:E380" ca="1" si="77">ROUND(IF($C375=0,0,E266/E$383),6)</f>
        <v>#REF!</v>
      </c>
      <c r="F375" s="779"/>
      <c r="G375" s="767" t="e">
        <f t="shared" ref="G375:S380" ca="1" si="78">ROUND(IF($C375=0,0,G266/G$383),6)</f>
        <v>#REF!</v>
      </c>
      <c r="H375" s="767" t="e">
        <f t="shared" ca="1" si="78"/>
        <v>#REF!</v>
      </c>
      <c r="I375" s="767" t="e">
        <f t="shared" ca="1" si="78"/>
        <v>#REF!</v>
      </c>
      <c r="J375" s="767" t="e">
        <f t="shared" ca="1" si="78"/>
        <v>#REF!</v>
      </c>
      <c r="K375" s="767" t="e">
        <f t="shared" ca="1" si="78"/>
        <v>#REF!</v>
      </c>
      <c r="L375" s="767" t="e">
        <f t="shared" ca="1" si="78"/>
        <v>#REF!</v>
      </c>
      <c r="M375" s="767" t="e">
        <f t="shared" ca="1" si="78"/>
        <v>#REF!</v>
      </c>
      <c r="N375" s="767" t="e">
        <f t="shared" ca="1" si="78"/>
        <v>#REF!</v>
      </c>
      <c r="O375" s="767" t="e">
        <f t="shared" ca="1" si="78"/>
        <v>#REF!</v>
      </c>
      <c r="P375" s="767" t="e">
        <f t="shared" ca="1" si="78"/>
        <v>#REF!</v>
      </c>
      <c r="Q375" s="767" t="e">
        <f t="shared" ca="1" si="78"/>
        <v>#REF!</v>
      </c>
      <c r="R375" s="767" t="e">
        <f t="shared" ca="1" si="78"/>
        <v>#REF!</v>
      </c>
      <c r="S375" s="767" t="e">
        <f t="shared" ca="1" si="78"/>
        <v>#REF!</v>
      </c>
      <c r="T375" s="767"/>
    </row>
    <row r="376" spans="1:22">
      <c r="B376" s="758" t="str">
        <f>IF(OR((B374="~"),(C376="~")),"~","")</f>
        <v/>
      </c>
      <c r="C376" s="758" t="str">
        <f>IF(B374="~","~",[7]INPUTS!$C$43)</f>
        <v>Energy</v>
      </c>
      <c r="E376" s="767" t="e">
        <f t="shared" ca="1" si="77"/>
        <v>#REF!</v>
      </c>
      <c r="F376" s="779"/>
      <c r="G376" s="767" t="e">
        <f t="shared" ca="1" si="78"/>
        <v>#REF!</v>
      </c>
      <c r="H376" s="767" t="e">
        <f t="shared" ca="1" si="78"/>
        <v>#REF!</v>
      </c>
      <c r="I376" s="767" t="e">
        <f t="shared" ca="1" si="78"/>
        <v>#REF!</v>
      </c>
      <c r="J376" s="767" t="e">
        <f t="shared" ca="1" si="78"/>
        <v>#REF!</v>
      </c>
      <c r="K376" s="767" t="e">
        <f t="shared" ca="1" si="78"/>
        <v>#REF!</v>
      </c>
      <c r="L376" s="767" t="e">
        <f t="shared" ca="1" si="78"/>
        <v>#REF!</v>
      </c>
      <c r="M376" s="767" t="e">
        <f t="shared" ca="1" si="78"/>
        <v>#REF!</v>
      </c>
      <c r="N376" s="767" t="e">
        <f t="shared" ca="1" si="78"/>
        <v>#REF!</v>
      </c>
      <c r="O376" s="767" t="e">
        <f t="shared" ca="1" si="78"/>
        <v>#REF!</v>
      </c>
      <c r="P376" s="767" t="e">
        <f t="shared" ca="1" si="78"/>
        <v>#REF!</v>
      </c>
      <c r="Q376" s="767" t="e">
        <f t="shared" ca="1" si="78"/>
        <v>#REF!</v>
      </c>
      <c r="R376" s="767" t="e">
        <f t="shared" ca="1" si="78"/>
        <v>#REF!</v>
      </c>
      <c r="S376" s="767" t="e">
        <f t="shared" ca="1" si="78"/>
        <v>#REF!</v>
      </c>
      <c r="T376" s="767"/>
    </row>
    <row r="377" spans="1:22">
      <c r="B377" s="758" t="str">
        <f>IF(OR((B374="~"),(C377="~")),"~","")</f>
        <v/>
      </c>
      <c r="C377" s="758" t="str">
        <f>IF(B374="~","~",[7]INPUTS!$C$44)</f>
        <v>Customer</v>
      </c>
      <c r="E377" s="767" t="e">
        <f t="shared" ca="1" si="77"/>
        <v>#REF!</v>
      </c>
      <c r="F377" s="779"/>
      <c r="G377" s="767" t="e">
        <f t="shared" ca="1" si="78"/>
        <v>#REF!</v>
      </c>
      <c r="H377" s="767" t="e">
        <f t="shared" ca="1" si="78"/>
        <v>#REF!</v>
      </c>
      <c r="I377" s="767" t="e">
        <f t="shared" ca="1" si="78"/>
        <v>#REF!</v>
      </c>
      <c r="J377" s="767" t="e">
        <f t="shared" ca="1" si="78"/>
        <v>#REF!</v>
      </c>
      <c r="K377" s="767" t="e">
        <f t="shared" ca="1" si="78"/>
        <v>#REF!</v>
      </c>
      <c r="L377" s="767" t="e">
        <f t="shared" ca="1" si="78"/>
        <v>#REF!</v>
      </c>
      <c r="M377" s="767" t="e">
        <f t="shared" ca="1" si="78"/>
        <v>#REF!</v>
      </c>
      <c r="N377" s="767" t="e">
        <f t="shared" ca="1" si="78"/>
        <v>#REF!</v>
      </c>
      <c r="O377" s="767" t="e">
        <f t="shared" ca="1" si="78"/>
        <v>#REF!</v>
      </c>
      <c r="P377" s="767" t="e">
        <f t="shared" ca="1" si="78"/>
        <v>#REF!</v>
      </c>
      <c r="Q377" s="767" t="e">
        <f t="shared" ca="1" si="78"/>
        <v>#REF!</v>
      </c>
      <c r="R377" s="767" t="e">
        <f t="shared" ca="1" si="78"/>
        <v>#REF!</v>
      </c>
      <c r="S377" s="767" t="e">
        <f t="shared" ca="1" si="78"/>
        <v>#REF!</v>
      </c>
      <c r="T377" s="767"/>
    </row>
    <row r="378" spans="1:22">
      <c r="B378" s="758" t="str">
        <f>IF(OR((B374="~"),(C378="~")),"~","")</f>
        <v>~</v>
      </c>
      <c r="C378" s="758" t="str">
        <f>IF(B374="~","~",[7]INPUTS!$C$45)</f>
        <v>~</v>
      </c>
      <c r="E378" s="767" t="e">
        <f t="shared" ca="1" si="77"/>
        <v>#REF!</v>
      </c>
      <c r="F378" s="779"/>
      <c r="G378" s="767" t="e">
        <f t="shared" ca="1" si="78"/>
        <v>#REF!</v>
      </c>
      <c r="H378" s="767" t="e">
        <f t="shared" ca="1" si="78"/>
        <v>#REF!</v>
      </c>
      <c r="I378" s="767" t="e">
        <f t="shared" ca="1" si="78"/>
        <v>#REF!</v>
      </c>
      <c r="J378" s="767" t="e">
        <f t="shared" ca="1" si="78"/>
        <v>#REF!</v>
      </c>
      <c r="K378" s="767" t="e">
        <f t="shared" ca="1" si="78"/>
        <v>#REF!</v>
      </c>
      <c r="L378" s="767" t="e">
        <f t="shared" ca="1" si="78"/>
        <v>#REF!</v>
      </c>
      <c r="M378" s="767" t="e">
        <f t="shared" ca="1" si="78"/>
        <v>#REF!</v>
      </c>
      <c r="N378" s="767" t="e">
        <f t="shared" ca="1" si="78"/>
        <v>#REF!</v>
      </c>
      <c r="O378" s="767" t="e">
        <f t="shared" ca="1" si="78"/>
        <v>#REF!</v>
      </c>
      <c r="P378" s="767" t="e">
        <f t="shared" ca="1" si="78"/>
        <v>#REF!</v>
      </c>
      <c r="Q378" s="767" t="e">
        <f t="shared" ca="1" si="78"/>
        <v>#REF!</v>
      </c>
      <c r="R378" s="767" t="e">
        <f t="shared" ca="1" si="78"/>
        <v>#REF!</v>
      </c>
      <c r="S378" s="767" t="e">
        <f t="shared" ca="1" si="78"/>
        <v>#REF!</v>
      </c>
      <c r="T378" s="767"/>
    </row>
    <row r="379" spans="1:22">
      <c r="B379" s="758" t="str">
        <f>IF(OR((B374="~"),(C379="~")),"~","")</f>
        <v>~</v>
      </c>
      <c r="C379" s="758" t="str">
        <f>IF(B374="~","~",[7]INPUTS!$C$46)</f>
        <v>~</v>
      </c>
      <c r="E379" s="767" t="e">
        <f t="shared" ca="1" si="77"/>
        <v>#REF!</v>
      </c>
      <c r="F379" s="779"/>
      <c r="G379" s="767" t="e">
        <f t="shared" ca="1" si="78"/>
        <v>#REF!</v>
      </c>
      <c r="H379" s="767" t="e">
        <f t="shared" ca="1" si="78"/>
        <v>#REF!</v>
      </c>
      <c r="I379" s="767" t="e">
        <f t="shared" ca="1" si="78"/>
        <v>#REF!</v>
      </c>
      <c r="J379" s="767" t="e">
        <f t="shared" ca="1" si="78"/>
        <v>#REF!</v>
      </c>
      <c r="K379" s="767" t="e">
        <f t="shared" ca="1" si="78"/>
        <v>#REF!</v>
      </c>
      <c r="L379" s="767" t="e">
        <f t="shared" ca="1" si="78"/>
        <v>#REF!</v>
      </c>
      <c r="M379" s="767" t="e">
        <f t="shared" ca="1" si="78"/>
        <v>#REF!</v>
      </c>
      <c r="N379" s="767" t="e">
        <f t="shared" ca="1" si="78"/>
        <v>#REF!</v>
      </c>
      <c r="O379" s="767" t="e">
        <f t="shared" ca="1" si="78"/>
        <v>#REF!</v>
      </c>
      <c r="P379" s="767" t="e">
        <f t="shared" ca="1" si="78"/>
        <v>#REF!</v>
      </c>
      <c r="Q379" s="767" t="e">
        <f t="shared" ca="1" si="78"/>
        <v>#REF!</v>
      </c>
      <c r="R379" s="767" t="e">
        <f t="shared" ca="1" si="78"/>
        <v>#REF!</v>
      </c>
      <c r="S379" s="767" t="e">
        <f t="shared" ca="1" si="78"/>
        <v>#REF!</v>
      </c>
      <c r="T379" s="767"/>
    </row>
    <row r="380" spans="1:22">
      <c r="B380" s="758" t="str">
        <f>IF(OR((B374="~"),(C380="~")),"~","")</f>
        <v>~</v>
      </c>
      <c r="C380" s="758" t="str">
        <f>IF(B374="~","~",[7]INPUTS!$C$47)</f>
        <v>~</v>
      </c>
      <c r="E380" s="767" t="e">
        <f t="shared" ca="1" si="77"/>
        <v>#REF!</v>
      </c>
      <c r="F380" s="779"/>
      <c r="G380" s="767" t="e">
        <f t="shared" ca="1" si="78"/>
        <v>#REF!</v>
      </c>
      <c r="H380" s="767" t="e">
        <f t="shared" ca="1" si="78"/>
        <v>#REF!</v>
      </c>
      <c r="I380" s="767" t="e">
        <f t="shared" ca="1" si="78"/>
        <v>#REF!</v>
      </c>
      <c r="J380" s="767" t="e">
        <f t="shared" ca="1" si="78"/>
        <v>#REF!</v>
      </c>
      <c r="K380" s="767" t="e">
        <f t="shared" ca="1" si="78"/>
        <v>#REF!</v>
      </c>
      <c r="L380" s="767" t="e">
        <f t="shared" ca="1" si="78"/>
        <v>#REF!</v>
      </c>
      <c r="M380" s="767" t="e">
        <f t="shared" ca="1" si="78"/>
        <v>#REF!</v>
      </c>
      <c r="N380" s="767" t="e">
        <f t="shared" ca="1" si="78"/>
        <v>#REF!</v>
      </c>
      <c r="O380" s="767" t="e">
        <f t="shared" ca="1" si="78"/>
        <v>#REF!</v>
      </c>
      <c r="P380" s="767" t="e">
        <f t="shared" ca="1" si="78"/>
        <v>#REF!</v>
      </c>
      <c r="Q380" s="767" t="e">
        <f t="shared" ca="1" si="78"/>
        <v>#REF!</v>
      </c>
      <c r="R380" s="767" t="e">
        <f t="shared" ca="1" si="78"/>
        <v>#REF!</v>
      </c>
      <c r="S380" s="767" t="e">
        <f t="shared" ca="1" si="78"/>
        <v>#REF!</v>
      </c>
      <c r="T380" s="767"/>
    </row>
    <row r="381" spans="1:22" s="760" customFormat="1">
      <c r="C381" s="760" t="s">
        <v>160</v>
      </c>
      <c r="E381" s="774" t="e">
        <f ca="1">ROUND(IF($C381=0,0,E274/E$383),6)</f>
        <v>#REF!</v>
      </c>
      <c r="F381" s="780"/>
      <c r="G381" s="774" t="e">
        <f ca="1">ROUND(IF($C381=0,0,G274/G$383),6)</f>
        <v>#REF!</v>
      </c>
      <c r="H381" s="774" t="e">
        <f t="shared" ref="H381:S381" ca="1" si="79">ROUND(IF($C381=0,0,H274/H$383),6)</f>
        <v>#REF!</v>
      </c>
      <c r="I381" s="774" t="e">
        <f t="shared" ca="1" si="79"/>
        <v>#REF!</v>
      </c>
      <c r="J381" s="774" t="e">
        <f t="shared" ca="1" si="79"/>
        <v>#REF!</v>
      </c>
      <c r="K381" s="774" t="e">
        <f t="shared" ca="1" si="79"/>
        <v>#REF!</v>
      </c>
      <c r="L381" s="774" t="e">
        <f t="shared" ca="1" si="79"/>
        <v>#REF!</v>
      </c>
      <c r="M381" s="774" t="e">
        <f t="shared" ca="1" si="79"/>
        <v>#REF!</v>
      </c>
      <c r="N381" s="774" t="e">
        <f t="shared" ca="1" si="79"/>
        <v>#REF!</v>
      </c>
      <c r="O381" s="774" t="e">
        <f t="shared" ca="1" si="79"/>
        <v>#REF!</v>
      </c>
      <c r="P381" s="774" t="e">
        <f t="shared" ca="1" si="79"/>
        <v>#REF!</v>
      </c>
      <c r="Q381" s="774" t="e">
        <f t="shared" ca="1" si="79"/>
        <v>#REF!</v>
      </c>
      <c r="R381" s="774" t="e">
        <f t="shared" ca="1" si="79"/>
        <v>#REF!</v>
      </c>
      <c r="S381" s="774" t="e">
        <f t="shared" ca="1" si="79"/>
        <v>#REF!</v>
      </c>
      <c r="T381" s="774"/>
      <c r="U381" s="782"/>
      <c r="V381" s="782"/>
    </row>
    <row r="382" spans="1:22">
      <c r="B382" s="758" t="str">
        <f>IF(OR((B374="~"),(C382="~")),"~","")</f>
        <v/>
      </c>
      <c r="E382" s="781"/>
      <c r="F382" s="781"/>
      <c r="G382" s="781"/>
      <c r="H382" s="781"/>
      <c r="I382" s="781"/>
      <c r="J382" s="781"/>
      <c r="K382" s="781"/>
      <c r="L382" s="781"/>
      <c r="M382" s="781"/>
      <c r="N382" s="781"/>
      <c r="O382" s="781"/>
      <c r="P382" s="781"/>
      <c r="Q382" s="781"/>
      <c r="R382" s="781"/>
      <c r="S382" s="781"/>
    </row>
    <row r="383" spans="1:22" s="760" customFormat="1">
      <c r="C383" s="760" t="s">
        <v>987</v>
      </c>
      <c r="E383" s="763" t="e">
        <f ca="1">INDEX(INDIRECT([7]INPUTS!$F$23),2,[7]CLASSALLOC!H$2-1)</f>
        <v>#REF!</v>
      </c>
      <c r="F383" s="780"/>
      <c r="G383" s="763" t="e">
        <f ca="1">INDEX(INDIRECT([7]INPUTS!$F$23),2,[7]CLASSALLOC!I$2-1)</f>
        <v>#REF!</v>
      </c>
      <c r="H383" s="763" t="e">
        <f ca="1">INDEX(INDIRECT([7]INPUTS!$F$23),2,[7]CLASSALLOC!J$2-1)</f>
        <v>#REF!</v>
      </c>
      <c r="I383" s="763" t="e">
        <f ca="1">INDEX(INDIRECT([7]INPUTS!$F$23),2,[7]CLASSALLOC!K$2-1)</f>
        <v>#REF!</v>
      </c>
      <c r="J383" s="763" t="e">
        <f ca="1">INDEX(INDIRECT([7]INPUTS!$F$23),2,[7]CLASSALLOC!L$2-1)</f>
        <v>#REF!</v>
      </c>
      <c r="K383" s="763" t="e">
        <f ca="1">INDEX(INDIRECT([7]INPUTS!$F$23),2,[7]CLASSALLOC!M$2-1)</f>
        <v>#REF!</v>
      </c>
      <c r="L383" s="763" t="e">
        <f ca="1">INDEX(INDIRECT([7]INPUTS!$F$23),2,[7]CLASSALLOC!N$2-1)</f>
        <v>#REF!</v>
      </c>
      <c r="M383" s="763" t="e">
        <f ca="1">INDEX(INDIRECT([7]INPUTS!$F$23),2,[7]CLASSALLOC!O$2-1)</f>
        <v>#REF!</v>
      </c>
      <c r="N383" s="763" t="e">
        <f ca="1">INDEX(INDIRECT([7]INPUTS!$F$23),2,[7]CLASSALLOC!P$2-1)</f>
        <v>#REF!</v>
      </c>
      <c r="O383" s="763" t="e">
        <f ca="1">INDEX(INDIRECT([7]INPUTS!$F$23),2,[7]CLASSALLOC!Q$2-1)</f>
        <v>#REF!</v>
      </c>
      <c r="P383" s="763" t="e">
        <f ca="1">INDEX(INDIRECT([7]INPUTS!$F$23),2,[7]CLASSALLOC!R$2-1)</f>
        <v>#REF!</v>
      </c>
      <c r="Q383" s="763" t="e">
        <f ca="1">INDEX(INDIRECT([7]INPUTS!$F$23),2,[7]CLASSALLOC!S$2-1)</f>
        <v>#REF!</v>
      </c>
      <c r="R383" s="763" t="e">
        <f ca="1">INDEX(INDIRECT([7]INPUTS!$F$23),2,[7]CLASSALLOC!T$2-1)</f>
        <v>#REF!</v>
      </c>
      <c r="S383" s="763" t="e">
        <f ca="1">INDEX(INDIRECT([7]INPUTS!$F$23),2,[7]CLASSALLOC!U$2-1)</f>
        <v>#REF!</v>
      </c>
      <c r="T383" s="763"/>
      <c r="U383" s="782"/>
      <c r="V383" s="782"/>
    </row>
    <row r="385" spans="3:20">
      <c r="C385" s="760" t="s">
        <v>988</v>
      </c>
    </row>
    <row r="386" spans="3:20">
      <c r="C386" s="758" t="s">
        <v>989</v>
      </c>
      <c r="E386" s="775">
        <v>1030837.496362</v>
      </c>
    </row>
    <row r="387" spans="3:20">
      <c r="C387" s="758" t="s">
        <v>990</v>
      </c>
      <c r="E387" s="775">
        <v>288064.13199999998</v>
      </c>
    </row>
    <row r="388" spans="3:20">
      <c r="C388" s="758" t="s">
        <v>991</v>
      </c>
      <c r="E388" s="775">
        <v>5539041.1621619994</v>
      </c>
    </row>
    <row r="389" spans="3:20">
      <c r="C389" s="758" t="s">
        <v>132</v>
      </c>
      <c r="E389" s="775">
        <v>48010928.720109999</v>
      </c>
    </row>
    <row r="390" spans="3:20">
      <c r="C390" s="760" t="s">
        <v>992</v>
      </c>
      <c r="D390" s="760"/>
      <c r="E390" s="776">
        <f>SUM(E386:E389)</f>
        <v>54868871.510633998</v>
      </c>
    </row>
    <row r="392" spans="3:20">
      <c r="C392" s="760" t="s">
        <v>993</v>
      </c>
    </row>
    <row r="393" spans="3:20">
      <c r="C393" s="758" t="str">
        <f>+'[7]Expense Summary'!C53</f>
        <v xml:space="preserve">CAE - Uncollect Accts </v>
      </c>
      <c r="E393" s="775">
        <f>SUM(G393:T393)</f>
        <v>3156.2620830000001</v>
      </c>
      <c r="G393" s="775">
        <f>+[7]ACCOUNTALLOC!K322</f>
        <v>2806.3921923543894</v>
      </c>
      <c r="H393" s="775">
        <f>+[7]ACCOUNTALLOC!S322</f>
        <v>223.31648439552188</v>
      </c>
      <c r="I393" s="775">
        <f>+[7]ACCOUNTALLOC!AA322</f>
        <v>69.386885977642848</v>
      </c>
      <c r="J393" s="775">
        <f>+[7]ACCOUNTALLOC!AI322</f>
        <v>49.170149628014293</v>
      </c>
      <c r="K393" s="775">
        <f>+[7]ACCOUNTALLOC!AQ322</f>
        <v>0.324787728001528</v>
      </c>
      <c r="L393" s="775">
        <f>+[7]ACCOUNTALLOC!AY322</f>
        <v>0</v>
      </c>
      <c r="M393" s="775">
        <f>+[7]ACCOUNTALLOC!BG322</f>
        <v>0</v>
      </c>
      <c r="N393" s="775">
        <f>+[7]ACCOUNTALLOC!BO322</f>
        <v>0</v>
      </c>
      <c r="O393" s="775">
        <f>+[7]ACCOUNTALLOC!BW322</f>
        <v>0</v>
      </c>
      <c r="P393" s="775">
        <f>+[7]ACCOUNTALLOC!CE322</f>
        <v>0</v>
      </c>
      <c r="Q393" s="775">
        <f>+[7]ACCOUNTALLOC!CM322</f>
        <v>0</v>
      </c>
      <c r="R393" s="775">
        <f>+[7]ACCOUNTALLOC!CU322</f>
        <v>7.6715829164301059</v>
      </c>
      <c r="S393" s="775">
        <f>+[7]ACCOUNTALLOC!DC322</f>
        <v>0</v>
      </c>
      <c r="T393" s="775"/>
    </row>
    <row r="394" spans="3:20">
      <c r="C394" s="758" t="str">
        <f>+'[7]Expense Summary'!C76</f>
        <v xml:space="preserve">A&amp;G Exp - Reg Comm Exp </v>
      </c>
      <c r="E394" s="775">
        <f t="shared" ref="E394:E401" si="80">SUM(G394:T394)</f>
        <v>8322384.0846997667</v>
      </c>
      <c r="G394" s="775">
        <f>+[7]ACCOUNTALLOC!K349</f>
        <v>4507331.8336540768</v>
      </c>
      <c r="H394" s="775">
        <f>+[7]ACCOUNTALLOC!S349</f>
        <v>1085610.6807090077</v>
      </c>
      <c r="I394" s="775">
        <f>+[7]ACCOUNTALLOC!AA349</f>
        <v>1071211.9946648791</v>
      </c>
      <c r="J394" s="775">
        <f>+[7]ACCOUNTALLOC!AI349</f>
        <v>670470.59060392948</v>
      </c>
      <c r="K394" s="775">
        <f>+[7]ACCOUNTALLOC!AQ349</f>
        <v>449666.84974592394</v>
      </c>
      <c r="L394" s="775">
        <f>+[7]ACCOUNTALLOC!AY349</f>
        <v>1571.5686634927058</v>
      </c>
      <c r="M394" s="775">
        <f>+[7]ACCOUNTALLOC!BG349</f>
        <v>39622.209025770862</v>
      </c>
      <c r="N394" s="775">
        <f>+[7]ACCOUNTALLOC!BO349</f>
        <v>226872.93677671388</v>
      </c>
      <c r="O394" s="775">
        <f>+[7]ACCOUNTALLOC!BW349</f>
        <v>196646.63331116579</v>
      </c>
      <c r="P394" s="775">
        <f>+[7]ACCOUNTALLOC!CE349</f>
        <v>1266.7094862117385</v>
      </c>
      <c r="Q394" s="775">
        <f>+[7]ACCOUNTALLOC!CM349</f>
        <v>11494.035376568252</v>
      </c>
      <c r="R394" s="775">
        <f>+[7]ACCOUNTALLOC!CU349</f>
        <v>57607.599399601626</v>
      </c>
      <c r="S394" s="775">
        <f>+[7]ACCOUNTALLOC!DC349</f>
        <v>3010.4432824264977</v>
      </c>
      <c r="T394" s="775"/>
    </row>
    <row r="395" spans="3:20">
      <c r="C395" s="758" t="str">
        <f>+'[7]Expense Summary'!C130</f>
        <v>Other Taxes - Wash Excise - Allocated</v>
      </c>
      <c r="E395" s="775">
        <f t="shared" si="80"/>
        <v>76958872.988314226</v>
      </c>
      <c r="G395" s="775">
        <f>+[7]ACCOUNTALLOC!K575</f>
        <v>43782730.677245684</v>
      </c>
      <c r="H395" s="775">
        <f>+[7]ACCOUNTALLOC!S575</f>
        <v>9766085.2741500903</v>
      </c>
      <c r="I395" s="775">
        <f>+[7]ACCOUNTALLOC!AA575</f>
        <v>9169367.0511239748</v>
      </c>
      <c r="J395" s="775">
        <f>+[7]ACCOUNTALLOC!AI575</f>
        <v>5523227.0561473453</v>
      </c>
      <c r="K395" s="775">
        <f>+[7]ACCOUNTALLOC!AQ575</f>
        <v>3750006.3356381697</v>
      </c>
      <c r="L395" s="775">
        <f>+[7]ACCOUNTALLOC!AY575</f>
        <v>15581.253481874701</v>
      </c>
      <c r="M395" s="775">
        <f>+[7]ACCOUNTALLOC!BG575</f>
        <v>396761.31932175101</v>
      </c>
      <c r="N395" s="775">
        <f>+[7]ACCOUNTALLOC!BO575</f>
        <v>1867364.1703764149</v>
      </c>
      <c r="O395" s="775">
        <f>+[7]ACCOUNTALLOC!BW575</f>
        <v>1556606.7229965501</v>
      </c>
      <c r="P395" s="775">
        <f>+[7]ACCOUNTALLOC!CE575</f>
        <v>39669.357485560009</v>
      </c>
      <c r="Q395" s="775">
        <f>+[7]ACCOUNTALLOC!CM575</f>
        <v>395347.14906958205</v>
      </c>
      <c r="R395" s="775">
        <f>+[7]ACCOUNTALLOC!CU575</f>
        <v>669751.57033400785</v>
      </c>
      <c r="S395" s="775">
        <f>+[7]ACCOUNTALLOC!DC575</f>
        <v>26375.050943231909</v>
      </c>
      <c r="T395" s="775"/>
    </row>
    <row r="396" spans="3:20">
      <c r="C396" s="758" t="str">
        <f>+'[7]Expense Summary'!C137</f>
        <v>Current Federal Income Tax @ Rate</v>
      </c>
      <c r="E396" s="775">
        <f t="shared" si="80"/>
        <v>48493274.447837882</v>
      </c>
      <c r="G396" s="775">
        <f>+[7]ACCOUNTALLOC!K638</f>
        <v>27776134.62063764</v>
      </c>
      <c r="H396" s="775">
        <f>+[7]ACCOUNTALLOC!S638</f>
        <v>5923473.7306541968</v>
      </c>
      <c r="I396" s="775">
        <f>+[7]ACCOUNTALLOC!AA638</f>
        <v>5752266.4467765028</v>
      </c>
      <c r="J396" s="775">
        <f>+[7]ACCOUNTALLOC!AI638</f>
        <v>3316057.0176815353</v>
      </c>
      <c r="K396" s="775">
        <f>+[7]ACCOUNTALLOC!AQ638</f>
        <v>2290917.2518764543</v>
      </c>
      <c r="L396" s="775">
        <f>+[7]ACCOUNTALLOC!AY638</f>
        <v>11277.004792075528</v>
      </c>
      <c r="M396" s="775">
        <f>+[7]ACCOUNTALLOC!BG638</f>
        <v>293032.29034336493</v>
      </c>
      <c r="N396" s="775">
        <f>+[7]ACCOUNTALLOC!BO638</f>
        <v>1098480.1841726177</v>
      </c>
      <c r="O396" s="775">
        <f>+[7]ACCOUNTALLOC!BW638</f>
        <v>895859.79353123286</v>
      </c>
      <c r="P396" s="775">
        <f>+[7]ACCOUNTALLOC!CE638</f>
        <v>51907.776513608689</v>
      </c>
      <c r="Q396" s="775">
        <f>+[7]ACCOUNTALLOC!CM638</f>
        <v>548231.40946638666</v>
      </c>
      <c r="R396" s="775">
        <f>+[7]ACCOUNTALLOC!CU638</f>
        <v>518730.40734647936</v>
      </c>
      <c r="S396" s="775">
        <f>+[7]ACCOUNTALLOC!DC638</f>
        <v>16906.514045802178</v>
      </c>
      <c r="T396" s="775"/>
    </row>
    <row r="397" spans="3:20">
      <c r="E397" s="775"/>
      <c r="G397" s="775"/>
      <c r="H397" s="775"/>
      <c r="I397" s="775"/>
      <c r="J397" s="775"/>
      <c r="K397" s="775"/>
      <c r="L397" s="775"/>
      <c r="M397" s="775"/>
      <c r="N397" s="775"/>
      <c r="O397" s="775"/>
      <c r="P397" s="775"/>
      <c r="Q397" s="775"/>
      <c r="R397" s="775"/>
      <c r="S397" s="775"/>
      <c r="T397" s="775"/>
    </row>
    <row r="398" spans="3:20">
      <c r="C398" s="758" t="str">
        <f>+C393</f>
        <v xml:space="preserve">CAE - Uncollect Accts </v>
      </c>
      <c r="E398" s="775">
        <f t="shared" si="80"/>
        <v>1030837.496362</v>
      </c>
      <c r="G398" s="775">
        <f>+G393/$E393*$E386</f>
        <v>916569.73511741904</v>
      </c>
      <c r="H398" s="775">
        <f t="shared" ref="H398:S401" si="81">+H393/$E393*$E386</f>
        <v>72935.326540385853</v>
      </c>
      <c r="I398" s="775">
        <f t="shared" si="81"/>
        <v>22661.80752441302</v>
      </c>
      <c r="J398" s="775">
        <f t="shared" si="81"/>
        <v>16059.006700137576</v>
      </c>
      <c r="K398" s="775">
        <f t="shared" si="81"/>
        <v>106.07590864696813</v>
      </c>
      <c r="L398" s="775">
        <f t="shared" si="81"/>
        <v>0</v>
      </c>
      <c r="M398" s="775">
        <f t="shared" si="81"/>
        <v>0</v>
      </c>
      <c r="N398" s="775">
        <f t="shared" si="81"/>
        <v>0</v>
      </c>
      <c r="O398" s="775">
        <f t="shared" si="81"/>
        <v>0</v>
      </c>
      <c r="P398" s="775">
        <f t="shared" si="81"/>
        <v>0</v>
      </c>
      <c r="Q398" s="775">
        <f t="shared" si="81"/>
        <v>0</v>
      </c>
      <c r="R398" s="775">
        <f t="shared" si="81"/>
        <v>2505.5445709976234</v>
      </c>
      <c r="S398" s="775">
        <f t="shared" si="81"/>
        <v>0</v>
      </c>
      <c r="T398" s="775"/>
    </row>
    <row r="399" spans="3:20">
      <c r="C399" s="758" t="str">
        <f>+C394</f>
        <v xml:space="preserve">A&amp;G Exp - Reg Comm Exp </v>
      </c>
      <c r="E399" s="775">
        <f t="shared" si="80"/>
        <v>288064.13200000004</v>
      </c>
      <c r="G399" s="775">
        <f t="shared" ref="G399:P401" si="82">+G394/$E394*$E387</f>
        <v>156013.0629736936</v>
      </c>
      <c r="H399" s="775">
        <f t="shared" si="82"/>
        <v>37576.431854821218</v>
      </c>
      <c r="I399" s="775">
        <f t="shared" si="82"/>
        <v>37078.047623208091</v>
      </c>
      <c r="J399" s="775">
        <f t="shared" si="82"/>
        <v>23207.11550298701</v>
      </c>
      <c r="K399" s="775">
        <f t="shared" si="82"/>
        <v>15564.397105797232</v>
      </c>
      <c r="L399" s="775">
        <f t="shared" si="82"/>
        <v>54.396980278729608</v>
      </c>
      <c r="M399" s="775">
        <f t="shared" si="82"/>
        <v>1371.4504323244057</v>
      </c>
      <c r="N399" s="775">
        <f t="shared" si="82"/>
        <v>7852.7925341759355</v>
      </c>
      <c r="O399" s="775">
        <f t="shared" si="82"/>
        <v>6806.5642199385247</v>
      </c>
      <c r="P399" s="775">
        <f t="shared" si="82"/>
        <v>43.844836398813484</v>
      </c>
      <c r="Q399" s="775">
        <f t="shared" si="81"/>
        <v>397.84505139765764</v>
      </c>
      <c r="R399" s="775">
        <f t="shared" si="81"/>
        <v>1993.981886531571</v>
      </c>
      <c r="S399" s="775">
        <f t="shared" si="81"/>
        <v>104.20099844727419</v>
      </c>
      <c r="T399" s="775"/>
    </row>
    <row r="400" spans="3:20">
      <c r="C400" s="758" t="str">
        <f>+C395</f>
        <v>Other Taxes - Wash Excise - Allocated</v>
      </c>
      <c r="E400" s="775">
        <f t="shared" si="80"/>
        <v>5539041.1621620012</v>
      </c>
      <c r="G400" s="775">
        <f t="shared" si="82"/>
        <v>3151220.0997270481</v>
      </c>
      <c r="H400" s="775">
        <f t="shared" si="82"/>
        <v>702904.63238612504</v>
      </c>
      <c r="I400" s="775">
        <f t="shared" si="82"/>
        <v>659956.40989778773</v>
      </c>
      <c r="J400" s="775">
        <f t="shared" si="82"/>
        <v>397528.97650427424</v>
      </c>
      <c r="K400" s="775">
        <f t="shared" si="82"/>
        <v>269903.11376599985</v>
      </c>
      <c r="L400" s="775">
        <f t="shared" si="82"/>
        <v>1121.4457936161423</v>
      </c>
      <c r="M400" s="775">
        <f t="shared" si="82"/>
        <v>28556.515888825255</v>
      </c>
      <c r="N400" s="775">
        <f t="shared" si="82"/>
        <v>134401.74735968446</v>
      </c>
      <c r="O400" s="775">
        <f t="shared" si="82"/>
        <v>112035.27776823359</v>
      </c>
      <c r="P400" s="775">
        <f t="shared" si="82"/>
        <v>2855.1640045768463</v>
      </c>
      <c r="Q400" s="775">
        <f t="shared" si="81"/>
        <v>28454.732339600745</v>
      </c>
      <c r="R400" s="775">
        <f t="shared" si="81"/>
        <v>48204.727700027732</v>
      </c>
      <c r="S400" s="775">
        <f t="shared" si="81"/>
        <v>1898.3190262007154</v>
      </c>
      <c r="T400" s="775"/>
    </row>
    <row r="401" spans="3:22">
      <c r="C401" s="758" t="str">
        <f>+C396</f>
        <v>Current Federal Income Tax @ Rate</v>
      </c>
      <c r="E401" s="775">
        <f t="shared" si="80"/>
        <v>48010928.720110007</v>
      </c>
      <c r="G401" s="775">
        <f t="shared" si="82"/>
        <v>27499855.074254967</v>
      </c>
      <c r="H401" s="775">
        <f t="shared" si="82"/>
        <v>5864554.9985243892</v>
      </c>
      <c r="I401" s="775">
        <f t="shared" si="82"/>
        <v>5695050.6539279586</v>
      </c>
      <c r="J401" s="775">
        <f t="shared" si="82"/>
        <v>3283073.3523466396</v>
      </c>
      <c r="K401" s="775">
        <f t="shared" si="82"/>
        <v>2268130.2950952756</v>
      </c>
      <c r="L401" s="775">
        <f t="shared" si="82"/>
        <v>11164.836349235573</v>
      </c>
      <c r="M401" s="775">
        <f t="shared" si="82"/>
        <v>290117.60011172312</v>
      </c>
      <c r="N401" s="775">
        <f t="shared" si="82"/>
        <v>1087553.9839961515</v>
      </c>
      <c r="O401" s="775">
        <f t="shared" si="82"/>
        <v>886948.98787883704</v>
      </c>
      <c r="P401" s="775">
        <f t="shared" si="82"/>
        <v>51391.467921906464</v>
      </c>
      <c r="Q401" s="775">
        <f t="shared" si="81"/>
        <v>542778.34239320329</v>
      </c>
      <c r="R401" s="775">
        <f t="shared" si="81"/>
        <v>513570.77647652739</v>
      </c>
      <c r="S401" s="775">
        <f t="shared" si="81"/>
        <v>16738.35083319966</v>
      </c>
      <c r="T401" s="775"/>
    </row>
    <row r="402" spans="3:22">
      <c r="E402" s="775"/>
      <c r="G402" s="775"/>
      <c r="H402" s="775"/>
      <c r="I402" s="775"/>
      <c r="J402" s="775"/>
      <c r="K402" s="775"/>
      <c r="L402" s="775"/>
      <c r="M402" s="775"/>
      <c r="N402" s="775"/>
      <c r="O402" s="775"/>
      <c r="P402" s="775"/>
      <c r="Q402" s="775"/>
      <c r="R402" s="775"/>
      <c r="S402" s="775"/>
      <c r="T402" s="775"/>
    </row>
    <row r="403" spans="3:22" s="760" customFormat="1">
      <c r="C403" s="760" t="s">
        <v>883</v>
      </c>
      <c r="E403" s="776">
        <f>SUM(G403:T403)</f>
        <v>144032065.70287597</v>
      </c>
      <c r="G403" s="776">
        <v>87074329.326721311</v>
      </c>
      <c r="H403" s="776">
        <v>16344024.036372812</v>
      </c>
      <c r="I403" s="776">
        <v>15485552.924843471</v>
      </c>
      <c r="J403" s="776">
        <v>9296296.9354939181</v>
      </c>
      <c r="K403" s="776">
        <v>6208050.9758095108</v>
      </c>
      <c r="L403" s="776">
        <v>15179</v>
      </c>
      <c r="M403" s="776">
        <v>843930.5319457351</v>
      </c>
      <c r="N403" s="776">
        <v>4036075.9298589071</v>
      </c>
      <c r="O403" s="776">
        <v>2471103.6062626243</v>
      </c>
      <c r="P403" s="776">
        <v>-210552.05376400001</v>
      </c>
      <c r="Q403" s="776">
        <v>661491.75664000027</v>
      </c>
      <c r="R403" s="776">
        <v>1401439.7326917185</v>
      </c>
      <c r="S403" s="776">
        <v>405143</v>
      </c>
      <c r="T403" s="776"/>
      <c r="U403" s="782"/>
      <c r="V403" s="782"/>
    </row>
  </sheetData>
  <mergeCells count="16">
    <mergeCell ref="A277:S277"/>
    <mergeCell ref="A278:S278"/>
    <mergeCell ref="A279:S279"/>
    <mergeCell ref="H4:M4"/>
    <mergeCell ref="A61:S61"/>
    <mergeCell ref="A167:S167"/>
    <mergeCell ref="A168:S168"/>
    <mergeCell ref="A169:S169"/>
    <mergeCell ref="A170:S170"/>
    <mergeCell ref="A276:S276"/>
    <mergeCell ref="A60:S60"/>
    <mergeCell ref="A1:S1"/>
    <mergeCell ref="A2:S2"/>
    <mergeCell ref="A3:S3"/>
    <mergeCell ref="A58:S58"/>
    <mergeCell ref="A59:S59"/>
  </mergeCells>
  <printOptions horizontalCentered="1"/>
  <pageMargins left="0.25" right="0.25" top="0.82291666666666696" bottom="0.5" header="0.5" footer="0.18"/>
  <pageSetup scale="45" fitToHeight="7" pageOrder="overThenDown" orientation="landscape" r:id="rId1"/>
  <headerFooter alignWithMargins="0">
    <oddHeader xml:space="preserve">&amp;L&amp;A&amp;RDocket No. UE-16xxxx
ECOS Model
Page &amp;P of &amp;N
</oddHeader>
  </headerFooter>
  <rowBreaks count="3" manualBreakCount="3">
    <brk id="57" max="16383" man="1"/>
    <brk id="166" max="16383" man="1"/>
    <brk id="2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2:O145"/>
  <sheetViews>
    <sheetView topLeftCell="A3" zoomScale="85" zoomScaleNormal="85" workbookViewId="0">
      <pane xSplit="2" ySplit="6" topLeftCell="C9" activePane="bottomRight" state="frozen"/>
      <selection activeCell="C23" sqref="C23"/>
      <selection pane="topRight" activeCell="C23" sqref="C23"/>
      <selection pane="bottomLeft" activeCell="C23" sqref="C23"/>
      <selection pane="bottomRight" activeCell="C23" sqref="C23"/>
    </sheetView>
  </sheetViews>
  <sheetFormatPr defaultColWidth="10.6640625" defaultRowHeight="12.75"/>
  <cols>
    <col min="1" max="1" width="7.83203125" style="304" customWidth="1"/>
    <col min="2" max="2" width="44.5" style="304" customWidth="1"/>
    <col min="3" max="3" width="15.5" style="304" customWidth="1"/>
    <col min="4" max="4" width="20.5" style="304" customWidth="1"/>
    <col min="5" max="5" width="34.5" style="304" bestFit="1" customWidth="1"/>
    <col min="6" max="6" width="18" style="304" customWidth="1"/>
    <col min="7" max="7" width="16.1640625" style="304" customWidth="1"/>
    <col min="8" max="8" width="22" style="304" bestFit="1" customWidth="1"/>
    <col min="9" max="9" width="1.33203125" style="304" customWidth="1"/>
    <col min="10" max="10" width="20.1640625" style="304" bestFit="1" customWidth="1"/>
    <col min="11" max="11" width="20.83203125" style="304" customWidth="1"/>
    <col min="12" max="12" width="15.6640625" style="304" bestFit="1" customWidth="1"/>
    <col min="13" max="13" width="15" style="304" bestFit="1" customWidth="1"/>
    <col min="14" max="14" width="17.6640625" style="304" customWidth="1"/>
    <col min="15" max="15" width="16.5" style="304" bestFit="1" customWidth="1"/>
    <col min="16" max="16384" width="10.6640625" style="304"/>
  </cols>
  <sheetData>
    <row r="2" spans="1:15">
      <c r="A2" s="250"/>
    </row>
    <row r="3" spans="1:15">
      <c r="A3" s="116"/>
    </row>
    <row r="4" spans="1:15">
      <c r="A4" s="549" t="s">
        <v>213</v>
      </c>
      <c r="B4" s="549"/>
      <c r="C4" s="549"/>
      <c r="D4" s="549"/>
      <c r="E4" s="549"/>
      <c r="F4" s="549"/>
      <c r="G4" s="549"/>
      <c r="H4" s="549"/>
    </row>
    <row r="5" spans="1:15">
      <c r="A5" s="549" t="s">
        <v>849</v>
      </c>
      <c r="B5" s="549"/>
      <c r="C5" s="549"/>
      <c r="D5" s="549"/>
      <c r="E5" s="549"/>
      <c r="F5" s="549"/>
      <c r="G5" s="549"/>
      <c r="H5" s="549"/>
    </row>
    <row r="6" spans="1:15">
      <c r="A6" s="549" t="s">
        <v>668</v>
      </c>
      <c r="B6" s="549"/>
      <c r="C6" s="549"/>
      <c r="D6" s="549"/>
      <c r="E6" s="549"/>
      <c r="F6" s="549"/>
      <c r="G6" s="549"/>
      <c r="H6" s="549"/>
    </row>
    <row r="7" spans="1:15">
      <c r="A7" s="549" t="s">
        <v>669</v>
      </c>
      <c r="B7" s="549"/>
      <c r="C7" s="549"/>
      <c r="D7" s="549"/>
      <c r="E7" s="549"/>
      <c r="F7" s="549"/>
      <c r="G7" s="549"/>
      <c r="H7" s="549"/>
    </row>
    <row r="8" spans="1:15">
      <c r="A8" s="550" t="s">
        <v>218</v>
      </c>
    </row>
    <row r="9" spans="1:15">
      <c r="A9" s="237"/>
    </row>
    <row r="10" spans="1:15">
      <c r="A10" s="237">
        <v>1</v>
      </c>
      <c r="B10" s="236" t="s">
        <v>583</v>
      </c>
      <c r="E10" s="261"/>
      <c r="F10" s="261"/>
      <c r="G10" s="261"/>
      <c r="O10" s="316"/>
    </row>
    <row r="11" spans="1:15">
      <c r="A11" s="237">
        <f>+A10+1</f>
        <v>2</v>
      </c>
      <c r="E11" s="261"/>
      <c r="F11" s="261"/>
      <c r="G11" s="261"/>
      <c r="O11" s="316"/>
    </row>
    <row r="12" spans="1:15" ht="36.75" customHeight="1">
      <c r="A12" s="237">
        <f t="shared" ref="A12:A81" si="0">+A11+1</f>
        <v>3</v>
      </c>
      <c r="B12" s="529" t="s">
        <v>567</v>
      </c>
      <c r="C12" s="529" t="s">
        <v>574</v>
      </c>
      <c r="D12" s="529" t="s">
        <v>568</v>
      </c>
      <c r="E12" s="529" t="s">
        <v>587</v>
      </c>
      <c r="F12" s="529" t="s">
        <v>302</v>
      </c>
      <c r="G12" s="529" t="s">
        <v>586</v>
      </c>
      <c r="H12" s="529" t="s">
        <v>581</v>
      </c>
      <c r="O12" s="316"/>
    </row>
    <row r="13" spans="1:15">
      <c r="A13" s="237">
        <f t="shared" si="0"/>
        <v>4</v>
      </c>
      <c r="B13" s="551" t="s">
        <v>569</v>
      </c>
      <c r="C13" s="551"/>
      <c r="D13" s="552" t="s">
        <v>536</v>
      </c>
      <c r="E13" s="553" t="s">
        <v>598</v>
      </c>
      <c r="F13" s="6" t="s">
        <v>339</v>
      </c>
      <c r="G13" s="530">
        <f>+'MCC-2 page 7-30'!CH14</f>
        <v>130546.64316428918</v>
      </c>
      <c r="H13" s="353"/>
      <c r="O13" s="316"/>
    </row>
    <row r="14" spans="1:15">
      <c r="A14" s="237">
        <f t="shared" si="0"/>
        <v>5</v>
      </c>
      <c r="B14" s="554"/>
      <c r="C14" s="554"/>
      <c r="D14" s="555" t="s">
        <v>536</v>
      </c>
      <c r="E14" s="556" t="s">
        <v>595</v>
      </c>
      <c r="F14" s="4" t="s">
        <v>339</v>
      </c>
      <c r="G14" s="3">
        <f>+'MCC-2 page 7-30'!CH15</f>
        <v>311867.36638930067</v>
      </c>
      <c r="H14" s="354">
        <f>SUM(F13:G14)</f>
        <v>442414.00955358986</v>
      </c>
      <c r="O14" s="316"/>
    </row>
    <row r="15" spans="1:15">
      <c r="A15" s="237">
        <f t="shared" si="0"/>
        <v>6</v>
      </c>
      <c r="B15" s="551" t="s">
        <v>570</v>
      </c>
      <c r="C15" s="551"/>
      <c r="D15" s="552" t="s">
        <v>536</v>
      </c>
      <c r="E15" s="553" t="s">
        <v>599</v>
      </c>
      <c r="F15" s="6" t="s">
        <v>339</v>
      </c>
      <c r="G15" s="530">
        <f>+'MCC-2 page 7-30'!BB14</f>
        <v>10379.814252257231</v>
      </c>
      <c r="H15" s="353"/>
      <c r="O15" s="316"/>
    </row>
    <row r="16" spans="1:15">
      <c r="A16" s="237">
        <f t="shared" si="0"/>
        <v>7</v>
      </c>
      <c r="B16" s="554"/>
      <c r="C16" s="554"/>
      <c r="D16" s="555" t="s">
        <v>536</v>
      </c>
      <c r="E16" s="556" t="s">
        <v>596</v>
      </c>
      <c r="F16" s="4" t="s">
        <v>339</v>
      </c>
      <c r="G16" s="3">
        <f>+'MCC-2 page 7-30'!BB15</f>
        <v>25958.659866420552</v>
      </c>
      <c r="H16" s="354">
        <f>SUM(F15:G16)</f>
        <v>36338.474118677783</v>
      </c>
      <c r="O16" s="316"/>
    </row>
    <row r="17" spans="1:15">
      <c r="A17" s="237">
        <f t="shared" si="0"/>
        <v>8</v>
      </c>
      <c r="B17" s="551" t="s">
        <v>571</v>
      </c>
      <c r="C17" s="551"/>
      <c r="D17" s="552" t="s">
        <v>537</v>
      </c>
      <c r="E17" s="553" t="s">
        <v>766</v>
      </c>
      <c r="F17" s="7">
        <f>-'Power Cost WP'!G19</f>
        <v>1364051.1099999999</v>
      </c>
      <c r="G17" s="2" t="s">
        <v>339</v>
      </c>
      <c r="H17" s="353"/>
      <c r="O17" s="316"/>
    </row>
    <row r="18" spans="1:15">
      <c r="A18" s="237">
        <f t="shared" si="0"/>
        <v>9</v>
      </c>
      <c r="B18" s="557"/>
      <c r="C18" s="557"/>
      <c r="D18" s="558" t="s">
        <v>537</v>
      </c>
      <c r="E18" s="559" t="s">
        <v>767</v>
      </c>
      <c r="F18" s="355">
        <f>-'Power Cost WP'!G26</f>
        <v>6304989.3199999994</v>
      </c>
      <c r="G18" s="1" t="s">
        <v>339</v>
      </c>
      <c r="H18" s="355"/>
      <c r="O18" s="316"/>
    </row>
    <row r="19" spans="1:15">
      <c r="A19" s="237">
        <f t="shared" si="0"/>
        <v>10</v>
      </c>
      <c r="B19" s="557"/>
      <c r="C19" s="560">
        <f>+'[54]SAP DL Downld'!$H$35</f>
        <v>0.24872690840850872</v>
      </c>
      <c r="D19" s="558" t="s">
        <v>537</v>
      </c>
      <c r="E19" s="557" t="s">
        <v>575</v>
      </c>
      <c r="F19" s="5" t="s">
        <v>339</v>
      </c>
      <c r="G19" s="275">
        <f>+'MCC-2 page 7-30'!CC13*C19</f>
        <v>453427.41109330091</v>
      </c>
      <c r="H19" s="355"/>
      <c r="O19" s="316"/>
    </row>
    <row r="20" spans="1:15">
      <c r="A20" s="237">
        <f t="shared" si="0"/>
        <v>11</v>
      </c>
      <c r="B20" s="557"/>
      <c r="C20" s="560">
        <f>+'[54]SAP DL Downld'!$H$35</f>
        <v>0.24872690840850872</v>
      </c>
      <c r="D20" s="558" t="s">
        <v>537</v>
      </c>
      <c r="E20" s="557" t="s">
        <v>768</v>
      </c>
      <c r="F20" s="5" t="s">
        <v>339</v>
      </c>
      <c r="G20" s="1">
        <f>+'MCC-2 page 7-30'!CM32*C20</f>
        <v>37004.514036832574</v>
      </c>
      <c r="H20" s="355"/>
      <c r="O20" s="316"/>
    </row>
    <row r="21" spans="1:15">
      <c r="A21" s="237">
        <f t="shared" si="0"/>
        <v>12</v>
      </c>
      <c r="B21" s="585"/>
      <c r="C21" s="560">
        <f>+'[54]SAP DL Downld'!$H$35</f>
        <v>0.24872690840850872</v>
      </c>
      <c r="D21" s="558" t="s">
        <v>537</v>
      </c>
      <c r="E21" s="554" t="s">
        <v>576</v>
      </c>
      <c r="F21" s="4" t="s">
        <v>339</v>
      </c>
      <c r="G21" s="1">
        <f>+'MCC-2 page 7-30'!CR20*C21</f>
        <v>46588.770885663798</v>
      </c>
      <c r="H21" s="354">
        <f>SUM(F17:G21)</f>
        <v>8206061.1260157973</v>
      </c>
      <c r="O21" s="316"/>
    </row>
    <row r="22" spans="1:15">
      <c r="A22" s="237">
        <f t="shared" si="0"/>
        <v>13</v>
      </c>
      <c r="B22" s="551" t="s">
        <v>572</v>
      </c>
      <c r="C22" s="551"/>
      <c r="D22" s="552" t="s">
        <v>537</v>
      </c>
      <c r="E22" s="553" t="s">
        <v>600</v>
      </c>
      <c r="F22" s="7">
        <f>-'Power Cost WP'!H19</f>
        <v>368615.64</v>
      </c>
      <c r="G22" s="2" t="s">
        <v>339</v>
      </c>
      <c r="H22" s="353"/>
      <c r="O22" s="316"/>
    </row>
    <row r="23" spans="1:15">
      <c r="A23" s="237">
        <f t="shared" si="0"/>
        <v>14</v>
      </c>
      <c r="B23" s="586"/>
      <c r="C23" s="557"/>
      <c r="D23" s="558" t="s">
        <v>537</v>
      </c>
      <c r="E23" s="559" t="s">
        <v>573</v>
      </c>
      <c r="F23" s="355">
        <f>-'Power Cost WP'!H26</f>
        <v>1707720.6600000001</v>
      </c>
      <c r="G23" s="1" t="s">
        <v>339</v>
      </c>
      <c r="H23" s="355"/>
      <c r="O23" s="316"/>
    </row>
    <row r="24" spans="1:15">
      <c r="A24" s="237">
        <f t="shared" si="0"/>
        <v>15</v>
      </c>
      <c r="B24" s="586"/>
      <c r="C24" s="560">
        <f>+'[54]SAP DL Downld'!$H$35</f>
        <v>0.24872690840850872</v>
      </c>
      <c r="D24" s="558" t="s">
        <v>537</v>
      </c>
      <c r="E24" s="559" t="s">
        <v>577</v>
      </c>
      <c r="F24" s="5" t="s">
        <v>339</v>
      </c>
      <c r="G24" s="275">
        <f>+'MCC-2 page 7-30'!CH24*C24</f>
        <v>33213.294044324808</v>
      </c>
      <c r="H24" s="355"/>
      <c r="O24" s="316"/>
    </row>
    <row r="25" spans="1:15">
      <c r="A25" s="237">
        <f t="shared" si="0"/>
        <v>16</v>
      </c>
      <c r="B25" s="585"/>
      <c r="C25" s="560">
        <f>+'[54]SAP DL Downld'!$H$35</f>
        <v>0.24872690840850872</v>
      </c>
      <c r="D25" s="558" t="s">
        <v>537</v>
      </c>
      <c r="E25" s="556" t="s">
        <v>578</v>
      </c>
      <c r="F25" s="4" t="s">
        <v>339</v>
      </c>
      <c r="G25" s="3">
        <f>+'MCC-2 page 7-30'!BB24</f>
        <v>9990.7095914349775</v>
      </c>
      <c r="H25" s="354">
        <f>SUM(F22:G25)</f>
        <v>2119540.3036357597</v>
      </c>
      <c r="O25" s="316"/>
    </row>
    <row r="26" spans="1:15">
      <c r="A26" s="237">
        <f t="shared" si="0"/>
        <v>17</v>
      </c>
      <c r="B26" s="561" t="s">
        <v>579</v>
      </c>
      <c r="C26" s="562">
        <f>+'[54]SAP DL Downld'!$H$35</f>
        <v>0.24872690840850872</v>
      </c>
      <c r="D26" s="561"/>
      <c r="E26" s="561" t="s">
        <v>580</v>
      </c>
      <c r="F26" s="563">
        <f>+D102*C26</f>
        <v>214071.82388560369</v>
      </c>
      <c r="G26" s="564" t="s">
        <v>339</v>
      </c>
      <c r="H26" s="356">
        <f>SUM(F26:G26)</f>
        <v>214071.82388560369</v>
      </c>
      <c r="O26" s="316"/>
    </row>
    <row r="27" spans="1:15">
      <c r="A27" s="237">
        <f t="shared" si="0"/>
        <v>18</v>
      </c>
      <c r="B27" s="561" t="s">
        <v>405</v>
      </c>
      <c r="C27" s="561"/>
      <c r="D27" s="561"/>
      <c r="E27" s="561" t="s">
        <v>584</v>
      </c>
      <c r="F27" s="564" t="s">
        <v>339</v>
      </c>
      <c r="G27" s="564" t="s">
        <v>339</v>
      </c>
      <c r="H27" s="356">
        <f>'[21]Prop Ins - RY'!$D$40</f>
        <v>2763777.09</v>
      </c>
      <c r="O27" s="316"/>
    </row>
    <row r="28" spans="1:15">
      <c r="A28" s="237">
        <f t="shared" si="0"/>
        <v>19</v>
      </c>
      <c r="B28" s="218"/>
      <c r="C28" s="218"/>
      <c r="D28" s="218"/>
      <c r="E28" s="218"/>
      <c r="F28" s="218"/>
      <c r="G28" s="218"/>
      <c r="N28" s="389"/>
      <c r="O28" s="316"/>
    </row>
    <row r="29" spans="1:15">
      <c r="A29" s="237">
        <f t="shared" si="0"/>
        <v>20</v>
      </c>
      <c r="B29" s="218"/>
      <c r="C29" s="218"/>
      <c r="D29" s="218"/>
      <c r="E29" s="218"/>
      <c r="F29" s="218"/>
      <c r="G29" s="218"/>
      <c r="N29" s="389"/>
      <c r="O29" s="316"/>
    </row>
    <row r="30" spans="1:15">
      <c r="A30" s="237">
        <f t="shared" si="0"/>
        <v>21</v>
      </c>
      <c r="B30" s="236" t="s">
        <v>582</v>
      </c>
      <c r="C30" s="218"/>
      <c r="D30" s="218"/>
      <c r="E30" s="218"/>
      <c r="F30" s="218"/>
      <c r="G30" s="218"/>
      <c r="H30" s="218"/>
      <c r="I30" s="218"/>
      <c r="J30" s="218"/>
      <c r="K30" s="261"/>
      <c r="L30" s="389"/>
      <c r="M30" s="389"/>
      <c r="N30" s="389"/>
      <c r="O30" s="316"/>
    </row>
    <row r="31" spans="1:15">
      <c r="A31" s="237">
        <f t="shared" si="0"/>
        <v>22</v>
      </c>
      <c r="D31" s="565"/>
      <c r="E31" s="565"/>
      <c r="F31" s="237" t="s">
        <v>506</v>
      </c>
      <c r="G31" s="565"/>
      <c r="H31" s="218"/>
      <c r="I31" s="218"/>
      <c r="J31" s="218"/>
      <c r="K31" s="390"/>
      <c r="L31" s="389"/>
      <c r="M31" s="389"/>
      <c r="N31" s="389"/>
      <c r="O31" s="316"/>
    </row>
    <row r="32" spans="1:15">
      <c r="A32" s="237">
        <f t="shared" si="0"/>
        <v>23</v>
      </c>
      <c r="B32" s="237"/>
      <c r="C32" s="237" t="s">
        <v>214</v>
      </c>
      <c r="D32" s="237" t="s">
        <v>215</v>
      </c>
      <c r="E32" s="237" t="s">
        <v>216</v>
      </c>
      <c r="F32" s="237" t="s">
        <v>216</v>
      </c>
      <c r="G32" s="237" t="s">
        <v>217</v>
      </c>
      <c r="H32" s="218"/>
      <c r="I32" s="218"/>
      <c r="J32" s="218"/>
      <c r="K32" s="390"/>
      <c r="L32" s="389"/>
      <c r="M32" s="389"/>
      <c r="N32" s="389"/>
      <c r="O32" s="316"/>
    </row>
    <row r="33" spans="1:15">
      <c r="A33" s="237">
        <f t="shared" si="0"/>
        <v>24</v>
      </c>
      <c r="B33" s="550" t="s">
        <v>333</v>
      </c>
      <c r="C33" s="550" t="s">
        <v>219</v>
      </c>
      <c r="D33" s="550" t="s">
        <v>220</v>
      </c>
      <c r="E33" s="550" t="s">
        <v>522</v>
      </c>
      <c r="F33" s="550" t="s">
        <v>507</v>
      </c>
      <c r="G33" s="550" t="s">
        <v>221</v>
      </c>
      <c r="H33" s="218"/>
      <c r="I33" s="218"/>
      <c r="J33" s="218"/>
      <c r="K33" s="390"/>
      <c r="L33" s="389"/>
      <c r="M33" s="389"/>
      <c r="N33" s="389"/>
      <c r="O33" s="316"/>
    </row>
    <row r="34" spans="1:15">
      <c r="A34" s="237">
        <f t="shared" si="0"/>
        <v>25</v>
      </c>
      <c r="D34" s="316"/>
      <c r="F34" s="316"/>
      <c r="J34" s="261"/>
      <c r="K34" s="390"/>
      <c r="L34" s="389"/>
      <c r="M34" s="389"/>
      <c r="N34" s="389"/>
      <c r="O34" s="316"/>
    </row>
    <row r="35" spans="1:15">
      <c r="A35" s="237">
        <f t="shared" si="0"/>
        <v>26</v>
      </c>
      <c r="J35" s="261"/>
      <c r="K35" s="390"/>
      <c r="L35" s="389"/>
      <c r="M35" s="389"/>
      <c r="N35" s="389"/>
      <c r="O35" s="316"/>
    </row>
    <row r="36" spans="1:15">
      <c r="A36" s="237">
        <f t="shared" si="0"/>
        <v>27</v>
      </c>
      <c r="B36" s="304" t="s">
        <v>44</v>
      </c>
      <c r="G36" s="566">
        <f>+G37/F37</f>
        <v>0.39355144740518899</v>
      </c>
      <c r="H36" s="304" t="s">
        <v>612</v>
      </c>
      <c r="J36" s="261"/>
      <c r="K36" s="390"/>
      <c r="L36" s="261"/>
      <c r="M36" s="261"/>
      <c r="O36" s="316"/>
    </row>
    <row r="37" spans="1:15">
      <c r="A37" s="237">
        <f t="shared" si="0"/>
        <v>28</v>
      </c>
      <c r="B37" s="258" t="s">
        <v>147</v>
      </c>
      <c r="F37" s="316">
        <f>+'[55]Prod RB TY Lead'!$B$27</f>
        <v>107924068.66</v>
      </c>
      <c r="G37" s="316">
        <f>(F37-D135)*0.35</f>
        <v>42473673.430999994</v>
      </c>
      <c r="H37" s="270" t="s">
        <v>538</v>
      </c>
      <c r="I37" s="218"/>
      <c r="J37" s="218"/>
      <c r="K37" s="218"/>
      <c r="L37" s="261"/>
      <c r="M37" s="261"/>
      <c r="O37" s="316"/>
    </row>
    <row r="38" spans="1:15">
      <c r="A38" s="237">
        <f t="shared" si="0"/>
        <v>29</v>
      </c>
      <c r="B38" s="258" t="s">
        <v>749</v>
      </c>
      <c r="F38" s="389">
        <f>'[15]RB&amp;ISbyFERC'!$J$482</f>
        <v>41908007.964113213</v>
      </c>
      <c r="G38" s="389">
        <f>+F38*0.35</f>
        <v>14667802.787439624</v>
      </c>
      <c r="I38" s="567"/>
      <c r="J38" s="261"/>
      <c r="K38" s="261"/>
      <c r="L38" s="261"/>
      <c r="M38" s="261"/>
      <c r="O38" s="316"/>
    </row>
    <row r="39" spans="1:15">
      <c r="A39" s="237">
        <f t="shared" si="0"/>
        <v>30</v>
      </c>
      <c r="B39" s="258" t="s">
        <v>625</v>
      </c>
      <c r="F39" s="389">
        <f>+'MCC-2 page 31-45'!AS34</f>
        <v>-3317.0689883994637</v>
      </c>
      <c r="G39" s="389">
        <f t="shared" ref="G39:G44" si="1">F39*0.35</f>
        <v>-1160.9741459398122</v>
      </c>
      <c r="J39" s="261"/>
      <c r="K39" s="261"/>
      <c r="L39" s="261"/>
      <c r="M39" s="261"/>
      <c r="O39" s="316"/>
    </row>
    <row r="40" spans="1:15">
      <c r="A40" s="237">
        <f t="shared" si="0"/>
        <v>31</v>
      </c>
      <c r="B40" s="258" t="s">
        <v>628</v>
      </c>
      <c r="F40" s="389">
        <v>0</v>
      </c>
      <c r="G40" s="389">
        <f t="shared" si="1"/>
        <v>0</v>
      </c>
      <c r="K40" s="261"/>
      <c r="L40" s="261"/>
      <c r="M40" s="261"/>
      <c r="O40" s="316"/>
    </row>
    <row r="41" spans="1:15">
      <c r="A41" s="237">
        <f t="shared" si="0"/>
        <v>32</v>
      </c>
      <c r="B41" s="258" t="s">
        <v>637</v>
      </c>
      <c r="F41" s="389">
        <f>'MCC-2 page 31-45'!O25</f>
        <v>-212138.37865459672</v>
      </c>
      <c r="G41" s="389">
        <f t="shared" si="1"/>
        <v>-74248.432529108846</v>
      </c>
      <c r="H41" s="390"/>
      <c r="K41" s="261"/>
      <c r="L41" s="261"/>
      <c r="M41" s="261"/>
      <c r="O41" s="316"/>
    </row>
    <row r="42" spans="1:15">
      <c r="A42" s="237">
        <f t="shared" si="0"/>
        <v>33</v>
      </c>
      <c r="B42" s="258" t="s">
        <v>736</v>
      </c>
      <c r="D42" s="389"/>
      <c r="E42" s="262"/>
      <c r="F42" s="389">
        <f>'[41]RB&amp;ISbyFERC'!$E$25</f>
        <v>148726.01447229058</v>
      </c>
      <c r="G42" s="389">
        <f t="shared" si="1"/>
        <v>52054.105065301701</v>
      </c>
      <c r="J42" s="261"/>
      <c r="K42" s="261"/>
      <c r="L42" s="261"/>
      <c r="M42" s="261"/>
      <c r="O42" s="316"/>
    </row>
    <row r="43" spans="1:15">
      <c r="A43" s="237">
        <f t="shared" si="0"/>
        <v>34</v>
      </c>
      <c r="B43" s="258"/>
      <c r="D43" s="389"/>
      <c r="E43" s="566"/>
      <c r="F43" s="389"/>
      <c r="G43" s="389">
        <f t="shared" si="1"/>
        <v>0</v>
      </c>
      <c r="J43" s="261"/>
      <c r="K43" s="261"/>
      <c r="L43" s="261"/>
      <c r="M43" s="261"/>
      <c r="O43" s="316"/>
    </row>
    <row r="44" spans="1:15">
      <c r="A44" s="237">
        <f t="shared" si="0"/>
        <v>35</v>
      </c>
      <c r="B44" s="258"/>
      <c r="D44" s="389"/>
      <c r="E44" s="566"/>
      <c r="F44" s="389"/>
      <c r="G44" s="389">
        <f t="shared" si="1"/>
        <v>0</v>
      </c>
      <c r="J44" s="261"/>
      <c r="K44" s="261"/>
      <c r="L44" s="261"/>
      <c r="M44" s="261"/>
      <c r="O44" s="316"/>
    </row>
    <row r="45" spans="1:15">
      <c r="A45" s="237">
        <f t="shared" si="0"/>
        <v>36</v>
      </c>
      <c r="B45" s="315" t="s">
        <v>222</v>
      </c>
      <c r="F45" s="163">
        <f>SUM(F37:F44)</f>
        <v>149765347.19094247</v>
      </c>
      <c r="G45" s="163">
        <f>SUM(G37:G44)</f>
        <v>57118120.916829869</v>
      </c>
      <c r="J45" s="261"/>
      <c r="K45" s="261"/>
      <c r="L45" s="261"/>
      <c r="M45" s="261"/>
      <c r="O45" s="316"/>
    </row>
    <row r="46" spans="1:15">
      <c r="A46" s="237">
        <f t="shared" si="0"/>
        <v>37</v>
      </c>
      <c r="B46" s="304" t="s">
        <v>45</v>
      </c>
      <c r="F46" s="316"/>
      <c r="G46" s="316"/>
      <c r="J46" s="261"/>
      <c r="K46" s="261"/>
      <c r="L46" s="261"/>
      <c r="M46" s="261"/>
      <c r="O46" s="316"/>
    </row>
    <row r="47" spans="1:15">
      <c r="A47" s="237">
        <f t="shared" si="0"/>
        <v>38</v>
      </c>
      <c r="B47" s="258" t="s">
        <v>223</v>
      </c>
      <c r="F47" s="316"/>
      <c r="G47" s="316"/>
      <c r="J47" s="261"/>
      <c r="K47" s="261"/>
      <c r="L47" s="261"/>
      <c r="M47" s="261"/>
      <c r="O47" s="316"/>
    </row>
    <row r="48" spans="1:15">
      <c r="A48" s="237">
        <f t="shared" si="0"/>
        <v>39</v>
      </c>
      <c r="B48" s="330" t="s">
        <v>224</v>
      </c>
      <c r="F48" s="316">
        <f>+'[55]Prod RB TY Lead'!B35</f>
        <v>1217708.92</v>
      </c>
      <c r="G48" s="389">
        <f>+F48*0.35</f>
        <v>426198.12199999997</v>
      </c>
      <c r="J48" s="261"/>
      <c r="K48" s="261"/>
      <c r="L48" s="261"/>
      <c r="M48" s="261"/>
      <c r="O48" s="316"/>
    </row>
    <row r="49" spans="1:15">
      <c r="A49" s="237">
        <f t="shared" si="0"/>
        <v>40</v>
      </c>
      <c r="B49" s="330" t="s">
        <v>540</v>
      </c>
      <c r="D49" s="262">
        <v>1.4800000000000001E-2</v>
      </c>
      <c r="E49" s="247"/>
      <c r="F49" s="389">
        <f>+'[55]Prod RB TY Lead'!B36</f>
        <v>354668.75999999978</v>
      </c>
      <c r="G49" s="389">
        <f>-F49*D49*0.35</f>
        <v>-1837.1841767999988</v>
      </c>
      <c r="H49" s="270" t="s">
        <v>585</v>
      </c>
      <c r="J49" s="261"/>
      <c r="K49" s="261"/>
      <c r="L49" s="261"/>
      <c r="M49" s="261"/>
      <c r="O49" s="316"/>
    </row>
    <row r="50" spans="1:15">
      <c r="A50" s="237">
        <f t="shared" si="0"/>
        <v>41</v>
      </c>
      <c r="B50" s="330" t="s">
        <v>40</v>
      </c>
      <c r="E50" s="247"/>
      <c r="F50" s="389">
        <f>+'[55]Prod RB TY Lead'!B37</f>
        <v>104311.20599999999</v>
      </c>
      <c r="G50" s="389">
        <f>+F50*0.35</f>
        <v>36508.922099999996</v>
      </c>
      <c r="J50" s="261"/>
      <c r="K50" s="261"/>
      <c r="L50" s="261"/>
      <c r="M50" s="261"/>
      <c r="O50" s="316"/>
    </row>
    <row r="51" spans="1:15">
      <c r="A51" s="237">
        <f t="shared" si="0"/>
        <v>42</v>
      </c>
      <c r="B51" s="330" t="s">
        <v>422</v>
      </c>
      <c r="E51" s="247"/>
      <c r="F51" s="389">
        <f>+'[55]Prod RB TY Lead'!B38</f>
        <v>2652900</v>
      </c>
      <c r="G51" s="389">
        <f>+F51*0.35</f>
        <v>928514.99999999988</v>
      </c>
      <c r="J51" s="261"/>
      <c r="K51" s="261"/>
      <c r="L51" s="261"/>
      <c r="M51" s="261"/>
      <c r="O51" s="316"/>
    </row>
    <row r="52" spans="1:15">
      <c r="A52" s="237">
        <f t="shared" si="0"/>
        <v>43</v>
      </c>
      <c r="B52" s="330" t="s">
        <v>423</v>
      </c>
      <c r="E52" s="247"/>
      <c r="F52" s="389">
        <f>+'[55]Prod RB TY Lead'!B39</f>
        <v>1727259.93</v>
      </c>
      <c r="G52" s="389">
        <f>+F52*0.35</f>
        <v>604540.97549999994</v>
      </c>
      <c r="J52" s="261"/>
      <c r="K52" s="261"/>
      <c r="L52" s="261"/>
      <c r="M52" s="261"/>
      <c r="O52" s="316"/>
    </row>
    <row r="53" spans="1:15">
      <c r="A53" s="237">
        <f t="shared" si="0"/>
        <v>44</v>
      </c>
      <c r="B53" s="330" t="s">
        <v>424</v>
      </c>
      <c r="E53" s="247"/>
      <c r="F53" s="389">
        <f>+'[55]Prod RB TY Lead'!B40</f>
        <v>4616499.3600000013</v>
      </c>
      <c r="G53" s="389">
        <f>+F53*0.35</f>
        <v>1615774.7760000003</v>
      </c>
      <c r="J53" s="261"/>
      <c r="K53" s="261"/>
      <c r="L53" s="261"/>
      <c r="M53" s="261"/>
      <c r="O53" s="316"/>
    </row>
    <row r="54" spans="1:15">
      <c r="A54" s="237">
        <f t="shared" si="0"/>
        <v>45</v>
      </c>
      <c r="B54" s="330" t="s">
        <v>425</v>
      </c>
      <c r="E54" s="247"/>
      <c r="F54" s="389">
        <f>+'[55]Prod RB TY Lead'!B41</f>
        <v>1144993.8</v>
      </c>
      <c r="G54" s="389">
        <f>+F54*0.35</f>
        <v>400747.83</v>
      </c>
      <c r="J54" s="261"/>
      <c r="K54" s="261"/>
      <c r="L54" s="261"/>
      <c r="M54" s="261"/>
      <c r="O54" s="316"/>
    </row>
    <row r="55" spans="1:15">
      <c r="A55" s="237">
        <f>+A54+1</f>
        <v>46</v>
      </c>
      <c r="B55" s="315" t="s">
        <v>67</v>
      </c>
      <c r="F55" s="163">
        <f>SUM(F48:F54)</f>
        <v>11818341.976000002</v>
      </c>
      <c r="G55" s="163">
        <f>SUM(G48:G54)</f>
        <v>4010448.4414232001</v>
      </c>
      <c r="J55" s="261"/>
      <c r="K55" s="261"/>
      <c r="L55" s="261"/>
      <c r="M55" s="261"/>
      <c r="O55" s="316"/>
    </row>
    <row r="56" spans="1:15">
      <c r="A56" s="237">
        <f t="shared" si="0"/>
        <v>47</v>
      </c>
      <c r="B56" s="304" t="s">
        <v>41</v>
      </c>
      <c r="F56" s="325">
        <f>F45+F55</f>
        <v>161583689.16694248</v>
      </c>
      <c r="G56" s="325">
        <f>G45+G55</f>
        <v>61128569.358253069</v>
      </c>
      <c r="J56" s="261"/>
      <c r="K56" s="261"/>
      <c r="L56" s="261"/>
      <c r="M56" s="261"/>
      <c r="O56" s="316"/>
    </row>
    <row r="57" spans="1:15">
      <c r="A57" s="237">
        <f t="shared" si="0"/>
        <v>48</v>
      </c>
      <c r="J57" s="261"/>
      <c r="K57" s="261"/>
      <c r="L57" s="261"/>
      <c r="M57" s="261"/>
      <c r="O57" s="316"/>
    </row>
    <row r="58" spans="1:15">
      <c r="A58" s="237">
        <f t="shared" si="0"/>
        <v>49</v>
      </c>
      <c r="B58" s="304" t="s">
        <v>42</v>
      </c>
      <c r="G58" s="317">
        <f>+'MCC-2 page 31-45'!BL13</f>
        <v>0</v>
      </c>
      <c r="J58" s="261"/>
      <c r="K58" s="261"/>
      <c r="L58" s="261"/>
      <c r="M58" s="261"/>
      <c r="O58" s="316"/>
    </row>
    <row r="59" spans="1:15">
      <c r="A59" s="237">
        <f t="shared" si="0"/>
        <v>50</v>
      </c>
      <c r="J59" s="261"/>
    </row>
    <row r="60" spans="1:15" ht="13.5" thickBot="1">
      <c r="A60" s="237">
        <f t="shared" si="0"/>
        <v>51</v>
      </c>
      <c r="B60" s="304" t="s">
        <v>46</v>
      </c>
      <c r="G60" s="164">
        <f>+G45*G58</f>
        <v>0</v>
      </c>
      <c r="J60" s="261"/>
    </row>
    <row r="61" spans="1:15" ht="14.25" thickTop="1" thickBot="1">
      <c r="A61" s="237">
        <f t="shared" si="0"/>
        <v>52</v>
      </c>
      <c r="B61" s="304" t="s">
        <v>47</v>
      </c>
      <c r="G61" s="164">
        <f>G55*G58</f>
        <v>0</v>
      </c>
      <c r="J61" s="261"/>
    </row>
    <row r="62" spans="1:15" ht="13.5" thickTop="1">
      <c r="A62" s="237">
        <f t="shared" si="0"/>
        <v>53</v>
      </c>
      <c r="B62" s="315"/>
    </row>
    <row r="63" spans="1:15">
      <c r="A63" s="237">
        <f t="shared" si="0"/>
        <v>54</v>
      </c>
      <c r="B63" s="304" t="s">
        <v>535</v>
      </c>
    </row>
    <row r="64" spans="1:15">
      <c r="A64" s="237">
        <f t="shared" si="0"/>
        <v>55</v>
      </c>
      <c r="B64" s="304" t="s">
        <v>591</v>
      </c>
    </row>
    <row r="65" spans="1:8">
      <c r="A65" s="237">
        <f t="shared" si="0"/>
        <v>56</v>
      </c>
      <c r="B65" s="315" t="s">
        <v>589</v>
      </c>
    </row>
    <row r="66" spans="1:8">
      <c r="A66" s="237">
        <f t="shared" si="0"/>
        <v>57</v>
      </c>
      <c r="B66" s="315" t="s">
        <v>592</v>
      </c>
    </row>
    <row r="67" spans="1:8">
      <c r="A67" s="237">
        <f t="shared" si="0"/>
        <v>58</v>
      </c>
      <c r="B67" s="315" t="s">
        <v>588</v>
      </c>
    </row>
    <row r="68" spans="1:8">
      <c r="A68" s="237">
        <f>+A66+1</f>
        <v>58</v>
      </c>
      <c r="B68" s="315"/>
    </row>
    <row r="69" spans="1:8">
      <c r="A69" s="237">
        <f t="shared" si="0"/>
        <v>59</v>
      </c>
      <c r="B69" s="304" t="s">
        <v>593</v>
      </c>
    </row>
    <row r="70" spans="1:8">
      <c r="A70" s="237">
        <f t="shared" si="0"/>
        <v>60</v>
      </c>
      <c r="B70" s="315" t="s">
        <v>590</v>
      </c>
    </row>
    <row r="71" spans="1:8">
      <c r="A71" s="237">
        <f t="shared" si="0"/>
        <v>61</v>
      </c>
      <c r="B71" s="315" t="s">
        <v>594</v>
      </c>
    </row>
    <row r="72" spans="1:8">
      <c r="A72" s="237">
        <f t="shared" si="0"/>
        <v>62</v>
      </c>
      <c r="B72" s="315" t="s">
        <v>769</v>
      </c>
    </row>
    <row r="73" spans="1:8">
      <c r="A73" s="237">
        <f>+A72+1</f>
        <v>63</v>
      </c>
    </row>
    <row r="74" spans="1:8">
      <c r="A74" s="237">
        <f t="shared" si="0"/>
        <v>64</v>
      </c>
      <c r="B74" s="270" t="s">
        <v>608</v>
      </c>
      <c r="H74" s="270"/>
    </row>
    <row r="75" spans="1:8">
      <c r="A75" s="237">
        <f t="shared" si="0"/>
        <v>65</v>
      </c>
      <c r="B75" s="315" t="s">
        <v>609</v>
      </c>
      <c r="H75" s="315"/>
    </row>
    <row r="76" spans="1:8">
      <c r="A76" s="237">
        <f t="shared" si="0"/>
        <v>66</v>
      </c>
      <c r="B76" s="315" t="s">
        <v>610</v>
      </c>
      <c r="H76" s="315"/>
    </row>
    <row r="77" spans="1:8">
      <c r="A77" s="237">
        <f t="shared" si="0"/>
        <v>67</v>
      </c>
      <c r="B77" s="315" t="s">
        <v>611</v>
      </c>
      <c r="H77" s="315"/>
    </row>
    <row r="78" spans="1:8">
      <c r="A78" s="237">
        <f t="shared" si="0"/>
        <v>68</v>
      </c>
      <c r="B78" s="315" t="s">
        <v>670</v>
      </c>
      <c r="H78" s="315"/>
    </row>
    <row r="79" spans="1:8">
      <c r="A79" s="237">
        <f t="shared" si="0"/>
        <v>69</v>
      </c>
      <c r="B79" s="304" t="s">
        <v>762</v>
      </c>
    </row>
    <row r="80" spans="1:8">
      <c r="A80" s="237">
        <f t="shared" si="0"/>
        <v>70</v>
      </c>
    </row>
    <row r="81" spans="1:4">
      <c r="A81" s="237">
        <f t="shared" si="0"/>
        <v>71</v>
      </c>
      <c r="B81" s="304" t="str">
        <f>"(4)  Line "&amp;A49&amp;" is calculated as follows:  -("&amp;DOLLAR(F49,0)&amp;" * "&amp;D49*100&amp;"% * 35%) = ("&amp;DOLLAR(-G49,0)&amp;")"</f>
        <v>(4)  Line 40 is calculated as follows:  -($354,669 * 1.48% * 35%) = ($1,837)</v>
      </c>
    </row>
    <row r="82" spans="1:4">
      <c r="A82" s="237">
        <f t="shared" ref="A82:A145" si="2">+A81+1</f>
        <v>72</v>
      </c>
    </row>
    <row r="83" spans="1:4">
      <c r="A83" s="237">
        <f t="shared" si="2"/>
        <v>73</v>
      </c>
      <c r="B83" s="587" t="s">
        <v>638</v>
      </c>
    </row>
    <row r="84" spans="1:4" ht="13.5" thickBot="1">
      <c r="A84" s="237">
        <f t="shared" si="2"/>
        <v>74</v>
      </c>
      <c r="B84" s="236"/>
    </row>
    <row r="85" spans="1:4">
      <c r="A85" s="237">
        <f t="shared" si="2"/>
        <v>75</v>
      </c>
      <c r="B85" s="568"/>
      <c r="C85" s="569"/>
      <c r="D85" s="570"/>
    </row>
    <row r="86" spans="1:4">
      <c r="A86" s="237">
        <f t="shared" si="2"/>
        <v>76</v>
      </c>
      <c r="B86" s="571"/>
      <c r="C86" s="572" t="s">
        <v>481</v>
      </c>
      <c r="D86" s="573" t="s">
        <v>665</v>
      </c>
    </row>
    <row r="87" spans="1:4">
      <c r="A87" s="237">
        <f t="shared" si="2"/>
        <v>77</v>
      </c>
      <c r="B87" s="571"/>
      <c r="C87" s="572"/>
      <c r="D87" s="574"/>
    </row>
    <row r="88" spans="1:4">
      <c r="A88" s="237">
        <f t="shared" si="2"/>
        <v>78</v>
      </c>
      <c r="B88" s="575" t="s">
        <v>482</v>
      </c>
      <c r="C88" s="576"/>
      <c r="D88" s="577" t="s">
        <v>483</v>
      </c>
    </row>
    <row r="89" spans="1:4">
      <c r="A89" s="237">
        <f t="shared" si="2"/>
        <v>79</v>
      </c>
      <c r="B89" s="575" t="s">
        <v>484</v>
      </c>
      <c r="C89" s="576"/>
      <c r="D89" s="578">
        <v>253987.67</v>
      </c>
    </row>
    <row r="90" spans="1:4">
      <c r="A90" s="237">
        <f t="shared" si="2"/>
        <v>80</v>
      </c>
      <c r="B90" s="575" t="s">
        <v>485</v>
      </c>
      <c r="C90" s="576"/>
      <c r="D90" s="578">
        <v>840535.46</v>
      </c>
    </row>
    <row r="91" spans="1:4">
      <c r="A91" s="237">
        <f t="shared" si="2"/>
        <v>81</v>
      </c>
      <c r="B91" s="575" t="s">
        <v>486</v>
      </c>
      <c r="C91" s="576"/>
      <c r="D91" s="578">
        <v>1066305.52</v>
      </c>
    </row>
    <row r="92" spans="1:4">
      <c r="A92" s="237">
        <f t="shared" si="2"/>
        <v>82</v>
      </c>
      <c r="B92" s="575" t="s">
        <v>487</v>
      </c>
      <c r="C92" s="576"/>
      <c r="D92" s="578">
        <v>-884627.37</v>
      </c>
    </row>
    <row r="93" spans="1:4">
      <c r="A93" s="237">
        <f t="shared" si="2"/>
        <v>83</v>
      </c>
      <c r="B93" s="575" t="s">
        <v>488</v>
      </c>
      <c r="C93" s="576"/>
      <c r="D93" s="578">
        <f>SUM(D89:D92)</f>
        <v>1276201.2799999998</v>
      </c>
    </row>
    <row r="94" spans="1:4">
      <c r="A94" s="237">
        <f t="shared" si="2"/>
        <v>84</v>
      </c>
      <c r="B94" s="575" t="s">
        <v>484</v>
      </c>
      <c r="C94" s="576"/>
      <c r="D94" s="578">
        <v>253987.67</v>
      </c>
    </row>
    <row r="95" spans="1:4">
      <c r="A95" s="237">
        <f t="shared" si="2"/>
        <v>85</v>
      </c>
      <c r="B95" s="575" t="s">
        <v>485</v>
      </c>
      <c r="C95" s="576"/>
      <c r="D95" s="578">
        <v>840535.46</v>
      </c>
    </row>
    <row r="96" spans="1:4">
      <c r="A96" s="237">
        <f t="shared" si="2"/>
        <v>86</v>
      </c>
      <c r="B96" s="575" t="s">
        <v>486</v>
      </c>
      <c r="C96" s="576"/>
      <c r="D96" s="578">
        <v>1066305.52</v>
      </c>
    </row>
    <row r="97" spans="1:10">
      <c r="A97" s="237">
        <f t="shared" si="2"/>
        <v>87</v>
      </c>
      <c r="B97" s="575" t="s">
        <v>487</v>
      </c>
      <c r="C97" s="576"/>
      <c r="D97" s="578">
        <v>-884627.37</v>
      </c>
    </row>
    <row r="98" spans="1:10">
      <c r="A98" s="237">
        <f t="shared" si="2"/>
        <v>88</v>
      </c>
      <c r="B98" s="575" t="s">
        <v>489</v>
      </c>
      <c r="C98" s="576"/>
      <c r="D98" s="578">
        <f>SUM(D94:D97)</f>
        <v>1276201.2799999998</v>
      </c>
    </row>
    <row r="99" spans="1:10" ht="13.5" thickBot="1">
      <c r="A99" s="237">
        <f t="shared" si="2"/>
        <v>89</v>
      </c>
      <c r="B99" s="579" t="s">
        <v>490</v>
      </c>
      <c r="C99" s="580"/>
      <c r="D99" s="581">
        <v>0</v>
      </c>
    </row>
    <row r="100" spans="1:10">
      <c r="A100" s="237">
        <f t="shared" si="2"/>
        <v>90</v>
      </c>
      <c r="C100" s="315"/>
      <c r="D100" s="582"/>
    </row>
    <row r="101" spans="1:10" ht="13.5" thickBot="1">
      <c r="A101" s="237">
        <f t="shared" si="2"/>
        <v>91</v>
      </c>
      <c r="C101" s="247" t="s">
        <v>765</v>
      </c>
      <c r="D101" s="262">
        <f>+'[54]3.04 &amp; 4.04 Lead'!$E$40</f>
        <v>0.6744</v>
      </c>
    </row>
    <row r="102" spans="1:10" ht="13.5" thickBot="1">
      <c r="A102" s="237">
        <f t="shared" si="2"/>
        <v>92</v>
      </c>
      <c r="D102" s="583">
        <f>+D93*D101</f>
        <v>860670.14323199983</v>
      </c>
    </row>
    <row r="103" spans="1:10">
      <c r="A103" s="237">
        <f t="shared" si="2"/>
        <v>93</v>
      </c>
      <c r="D103" s="392"/>
    </row>
    <row r="104" spans="1:10">
      <c r="A104" s="237">
        <f t="shared" si="2"/>
        <v>94</v>
      </c>
      <c r="B104" s="587" t="s">
        <v>639</v>
      </c>
      <c r="C104" s="247"/>
    </row>
    <row r="105" spans="1:10">
      <c r="A105" s="237">
        <f t="shared" si="2"/>
        <v>95</v>
      </c>
    </row>
    <row r="106" spans="1:10" ht="18">
      <c r="A106" s="237">
        <f t="shared" si="2"/>
        <v>96</v>
      </c>
      <c r="B106" s="400" t="s">
        <v>666</v>
      </c>
      <c r="C106" s="401"/>
      <c r="D106" s="401"/>
      <c r="E106" s="401"/>
      <c r="F106" s="401"/>
      <c r="G106" s="401"/>
      <c r="H106" s="401"/>
      <c r="I106" s="401"/>
      <c r="J106" s="401"/>
    </row>
    <row r="107" spans="1:10" ht="18">
      <c r="A107" s="237">
        <f t="shared" si="2"/>
        <v>97</v>
      </c>
      <c r="B107" s="400" t="s">
        <v>667</v>
      </c>
      <c r="C107" s="401"/>
      <c r="D107" s="401"/>
      <c r="E107" s="401"/>
      <c r="F107" s="401"/>
      <c r="G107" s="401"/>
      <c r="H107" s="401"/>
      <c r="I107" s="401"/>
      <c r="J107" s="401"/>
    </row>
    <row r="108" spans="1:10">
      <c r="A108" s="237">
        <f t="shared" si="2"/>
        <v>98</v>
      </c>
      <c r="B108" s="401"/>
      <c r="C108" s="401"/>
      <c r="D108" s="401"/>
      <c r="E108" s="401"/>
      <c r="F108" s="401"/>
      <c r="G108" s="401"/>
      <c r="H108" s="401"/>
      <c r="I108" s="401"/>
      <c r="J108" s="401"/>
    </row>
    <row r="109" spans="1:10">
      <c r="A109" s="237">
        <f t="shared" si="2"/>
        <v>99</v>
      </c>
      <c r="B109" s="401"/>
      <c r="C109" s="401"/>
      <c r="D109" s="401"/>
      <c r="E109" s="401"/>
      <c r="F109" s="401"/>
      <c r="G109" s="401"/>
      <c r="H109" s="401"/>
      <c r="I109" s="401"/>
      <c r="J109" s="401"/>
    </row>
    <row r="110" spans="1:10">
      <c r="A110" s="237">
        <f t="shared" si="2"/>
        <v>100</v>
      </c>
      <c r="B110" s="401"/>
      <c r="C110" s="401"/>
      <c r="D110" s="401"/>
      <c r="E110" s="401"/>
      <c r="F110" s="401"/>
      <c r="G110" s="401"/>
      <c r="H110" s="401"/>
      <c r="I110" s="401"/>
      <c r="J110" s="401"/>
    </row>
    <row r="111" spans="1:10" ht="13.5" thickBot="1">
      <c r="A111" s="237">
        <f t="shared" si="2"/>
        <v>101</v>
      </c>
      <c r="B111" s="402"/>
      <c r="C111" s="402"/>
      <c r="D111" s="402"/>
      <c r="E111" s="402"/>
      <c r="F111" s="401"/>
      <c r="G111" s="401"/>
      <c r="H111" s="401"/>
      <c r="I111" s="401"/>
      <c r="J111" s="401"/>
    </row>
    <row r="112" spans="1:10" ht="13.5" thickBot="1">
      <c r="A112" s="237">
        <f t="shared" si="2"/>
        <v>102</v>
      </c>
      <c r="B112" s="402"/>
      <c r="C112" s="1328"/>
      <c r="D112" s="1328"/>
      <c r="E112" s="1329"/>
      <c r="F112" s="401"/>
      <c r="G112" s="401"/>
      <c r="H112" s="401"/>
      <c r="I112" s="401"/>
      <c r="J112" s="401"/>
    </row>
    <row r="113" spans="1:14" ht="13.5" thickBot="1">
      <c r="A113" s="237">
        <f t="shared" si="2"/>
        <v>103</v>
      </c>
      <c r="B113" s="402"/>
      <c r="C113" s="1330" t="s">
        <v>640</v>
      </c>
      <c r="D113" s="1328"/>
      <c r="E113" s="1329"/>
      <c r="F113" s="401"/>
      <c r="G113" s="401"/>
      <c r="H113" s="401"/>
      <c r="I113" s="401"/>
      <c r="J113" s="401"/>
    </row>
    <row r="114" spans="1:14">
      <c r="A114" s="237">
        <f t="shared" si="2"/>
        <v>104</v>
      </c>
      <c r="B114" s="402"/>
      <c r="C114" s="403" t="s">
        <v>641</v>
      </c>
      <c r="D114" s="403" t="s">
        <v>642</v>
      </c>
      <c r="E114" s="403" t="s">
        <v>643</v>
      </c>
      <c r="F114" s="401"/>
      <c r="G114" s="401"/>
      <c r="H114" s="401"/>
      <c r="I114" s="401"/>
      <c r="J114" s="401"/>
      <c r="K114" s="401"/>
      <c r="L114" s="401"/>
      <c r="M114" s="401"/>
      <c r="N114" s="401"/>
    </row>
    <row r="115" spans="1:14">
      <c r="A115" s="237">
        <f t="shared" si="2"/>
        <v>105</v>
      </c>
      <c r="B115" s="404" t="s">
        <v>644</v>
      </c>
      <c r="C115" s="402"/>
      <c r="D115" s="402"/>
      <c r="E115" s="402"/>
      <c r="F115" s="401"/>
      <c r="G115" s="401"/>
      <c r="H115" s="401"/>
      <c r="I115" s="401"/>
      <c r="J115" s="401"/>
      <c r="K115" s="401"/>
      <c r="L115" s="401"/>
      <c r="M115" s="401"/>
      <c r="N115" s="401"/>
    </row>
    <row r="116" spans="1:14">
      <c r="A116" s="237">
        <f t="shared" si="2"/>
        <v>106</v>
      </c>
      <c r="B116" s="404"/>
      <c r="C116" s="405"/>
      <c r="D116" s="405"/>
      <c r="E116" s="405"/>
      <c r="F116" s="401"/>
      <c r="G116" s="401"/>
      <c r="H116" s="401"/>
      <c r="I116" s="401"/>
      <c r="J116" s="401"/>
      <c r="K116" s="401"/>
      <c r="L116" s="401"/>
      <c r="M116" s="401"/>
      <c r="N116" s="401"/>
    </row>
    <row r="117" spans="1:14">
      <c r="A117" s="237">
        <f t="shared" si="2"/>
        <v>107</v>
      </c>
      <c r="B117" s="404" t="s">
        <v>645</v>
      </c>
      <c r="C117" s="406">
        <f>SUM(D117:E117)</f>
        <v>-13602501</v>
      </c>
      <c r="D117" s="406">
        <f>-17255185+4571350</f>
        <v>-12683835</v>
      </c>
      <c r="E117" s="406">
        <f>-1996932+1078266</f>
        <v>-918666</v>
      </c>
      <c r="F117" s="584"/>
      <c r="G117" s="584"/>
      <c r="H117" s="584"/>
      <c r="I117" s="584"/>
      <c r="J117" s="584"/>
      <c r="K117" s="401"/>
      <c r="L117" s="401"/>
      <c r="M117" s="401"/>
      <c r="N117" s="401"/>
    </row>
    <row r="118" spans="1:14">
      <c r="A118" s="237">
        <f t="shared" si="2"/>
        <v>108</v>
      </c>
      <c r="B118" s="404"/>
      <c r="C118" s="407">
        <f>3/12</f>
        <v>0.25</v>
      </c>
      <c r="D118" s="407">
        <f>3/12</f>
        <v>0.25</v>
      </c>
      <c r="E118" s="407">
        <f>3/12</f>
        <v>0.25</v>
      </c>
      <c r="F118" s="584"/>
      <c r="G118" s="584"/>
      <c r="H118" s="584"/>
      <c r="I118" s="584"/>
      <c r="J118" s="584"/>
      <c r="K118" s="401"/>
      <c r="L118" s="401"/>
      <c r="M118" s="401"/>
      <c r="N118" s="401"/>
    </row>
    <row r="119" spans="1:14" ht="13.5" thickBot="1">
      <c r="A119" s="237">
        <f t="shared" si="2"/>
        <v>109</v>
      </c>
      <c r="B119" s="404" t="s">
        <v>646</v>
      </c>
      <c r="C119" s="408">
        <f>C117*C118</f>
        <v>-3400625.25</v>
      </c>
      <c r="D119" s="408">
        <f>D117*D118</f>
        <v>-3170958.75</v>
      </c>
      <c r="E119" s="408">
        <f>E117*E118</f>
        <v>-229666.5</v>
      </c>
      <c r="F119" s="584"/>
      <c r="G119" s="584"/>
      <c r="H119" s="584"/>
      <c r="I119" s="584"/>
      <c r="J119" s="584"/>
      <c r="K119" s="401"/>
      <c r="L119" s="401"/>
      <c r="M119" s="401"/>
      <c r="N119" s="401"/>
    </row>
    <row r="120" spans="1:14" ht="13.5" thickTop="1">
      <c r="A120" s="237">
        <f t="shared" si="2"/>
        <v>110</v>
      </c>
      <c r="B120" s="409"/>
      <c r="C120" s="410"/>
      <c r="D120" s="410"/>
      <c r="E120" s="410"/>
      <c r="F120" s="584"/>
      <c r="G120" s="584"/>
      <c r="H120" s="584"/>
      <c r="I120" s="584"/>
      <c r="J120" s="584"/>
      <c r="K120" s="401"/>
      <c r="L120" s="401"/>
      <c r="M120" s="401"/>
      <c r="N120" s="401"/>
    </row>
    <row r="121" spans="1:14">
      <c r="A121" s="237">
        <f t="shared" si="2"/>
        <v>111</v>
      </c>
      <c r="B121" s="409"/>
      <c r="C121" s="410"/>
      <c r="D121" s="410"/>
      <c r="E121" s="410"/>
      <c r="F121" s="584"/>
      <c r="G121" s="584"/>
      <c r="H121" s="584"/>
      <c r="I121" s="584"/>
      <c r="J121" s="584"/>
      <c r="K121" s="401"/>
      <c r="L121" s="401"/>
      <c r="M121" s="401"/>
      <c r="N121" s="401"/>
    </row>
    <row r="122" spans="1:14" ht="13.5" thickBot="1">
      <c r="A122" s="237">
        <f t="shared" si="2"/>
        <v>112</v>
      </c>
      <c r="B122" s="409"/>
      <c r="C122" s="410"/>
      <c r="D122" s="410"/>
      <c r="E122" s="410"/>
      <c r="F122" s="584"/>
      <c r="G122" s="584"/>
      <c r="H122" s="584"/>
      <c r="I122" s="584"/>
      <c r="J122" s="584"/>
      <c r="K122" s="401"/>
      <c r="L122" s="401"/>
      <c r="M122" s="401"/>
      <c r="N122" s="401"/>
    </row>
    <row r="123" spans="1:14" ht="13.5" thickBot="1">
      <c r="A123" s="237">
        <f t="shared" si="2"/>
        <v>113</v>
      </c>
      <c r="B123" s="411"/>
      <c r="C123" s="1328"/>
      <c r="D123" s="1328"/>
      <c r="E123" s="1329"/>
      <c r="F123" s="401"/>
      <c r="G123" s="401"/>
      <c r="H123" s="401"/>
      <c r="I123" s="401"/>
      <c r="J123" s="401"/>
      <c r="K123" s="401"/>
      <c r="L123" s="401"/>
      <c r="M123" s="401"/>
      <c r="N123" s="401"/>
    </row>
    <row r="124" spans="1:14" ht="13.5" thickBot="1">
      <c r="A124" s="237">
        <f t="shared" si="2"/>
        <v>114</v>
      </c>
      <c r="B124" s="411"/>
      <c r="C124" s="1330" t="s">
        <v>640</v>
      </c>
      <c r="D124" s="1328"/>
      <c r="E124" s="1329"/>
      <c r="F124" s="401"/>
      <c r="G124" s="401"/>
      <c r="H124" s="401"/>
      <c r="I124" s="401"/>
      <c r="J124" s="401"/>
      <c r="K124" s="401"/>
      <c r="L124" s="401"/>
      <c r="M124" s="401"/>
      <c r="N124" s="401"/>
    </row>
    <row r="125" spans="1:14">
      <c r="A125" s="237">
        <f t="shared" si="2"/>
        <v>115</v>
      </c>
      <c r="B125" s="402"/>
      <c r="C125" s="403" t="s">
        <v>641</v>
      </c>
      <c r="D125" s="403" t="s">
        <v>642</v>
      </c>
      <c r="E125" s="403" t="s">
        <v>643</v>
      </c>
      <c r="F125" s="401"/>
      <c r="G125" s="401"/>
      <c r="H125" s="401"/>
      <c r="I125" s="401"/>
      <c r="J125" s="401"/>
      <c r="K125" s="584"/>
      <c r="L125" s="584"/>
      <c r="M125" s="584"/>
      <c r="N125" s="584"/>
    </row>
    <row r="126" spans="1:14">
      <c r="A126" s="237">
        <f t="shared" si="2"/>
        <v>116</v>
      </c>
      <c r="B126" s="404" t="s">
        <v>644</v>
      </c>
      <c r="C126" s="402"/>
      <c r="D126" s="402"/>
      <c r="E126" s="402"/>
      <c r="F126" s="401"/>
      <c r="G126" s="401"/>
      <c r="H126" s="401"/>
      <c r="I126" s="401"/>
      <c r="J126" s="401"/>
      <c r="K126" s="584"/>
      <c r="L126" s="584"/>
      <c r="M126" s="584"/>
      <c r="N126" s="584"/>
    </row>
    <row r="127" spans="1:14">
      <c r="A127" s="237">
        <f t="shared" si="2"/>
        <v>117</v>
      </c>
      <c r="B127" s="404"/>
      <c r="C127" s="405"/>
      <c r="D127" s="405"/>
      <c r="E127" s="405"/>
      <c r="F127" s="401"/>
      <c r="G127" s="401"/>
      <c r="H127" s="401"/>
      <c r="I127" s="401"/>
      <c r="J127" s="401"/>
      <c r="K127" s="584"/>
      <c r="L127" s="584"/>
      <c r="M127" s="584"/>
      <c r="N127" s="584"/>
    </row>
    <row r="128" spans="1:14">
      <c r="A128" s="237">
        <f t="shared" si="2"/>
        <v>118</v>
      </c>
      <c r="B128" s="404" t="s">
        <v>645</v>
      </c>
      <c r="C128" s="406">
        <f>+D128+E128</f>
        <v>-14557815</v>
      </c>
      <c r="D128" s="406">
        <f>-18285561+4607794</f>
        <v>-13677767</v>
      </c>
      <c r="E128" s="406">
        <f>-2037806+1157758</f>
        <v>-880048</v>
      </c>
      <c r="F128" s="401"/>
      <c r="G128" s="401"/>
      <c r="H128" s="401"/>
      <c r="I128" s="401"/>
      <c r="J128" s="401"/>
      <c r="K128" s="584"/>
      <c r="L128" s="584"/>
      <c r="M128" s="584"/>
      <c r="N128" s="584"/>
    </row>
    <row r="129" spans="1:14">
      <c r="A129" s="237">
        <f t="shared" si="2"/>
        <v>119</v>
      </c>
      <c r="B129" s="404"/>
      <c r="C129" s="407">
        <f>9/12</f>
        <v>0.75</v>
      </c>
      <c r="D129" s="407">
        <f>9/12</f>
        <v>0.75</v>
      </c>
      <c r="E129" s="407">
        <f>9/12</f>
        <v>0.75</v>
      </c>
      <c r="F129" s="401"/>
      <c r="G129" s="401"/>
      <c r="H129" s="401"/>
      <c r="I129" s="401"/>
      <c r="J129" s="401"/>
      <c r="K129" s="584"/>
      <c r="L129" s="584"/>
      <c r="M129" s="584"/>
      <c r="N129" s="584"/>
    </row>
    <row r="130" spans="1:14" ht="13.5" thickBot="1">
      <c r="A130" s="237">
        <f t="shared" si="2"/>
        <v>120</v>
      </c>
      <c r="B130" s="404" t="s">
        <v>647</v>
      </c>
      <c r="C130" s="408">
        <f>C128*C129</f>
        <v>-10918361.25</v>
      </c>
      <c r="D130" s="408">
        <f>D128*D129</f>
        <v>-10258325.25</v>
      </c>
      <c r="E130" s="408">
        <f>E128*E129</f>
        <v>-660036</v>
      </c>
      <c r="F130" s="401"/>
      <c r="G130" s="401"/>
      <c r="H130" s="401"/>
      <c r="I130" s="401"/>
      <c r="J130" s="401"/>
      <c r="K130" s="584"/>
      <c r="L130" s="584"/>
      <c r="M130" s="584"/>
      <c r="N130" s="584"/>
    </row>
    <row r="131" spans="1:14" ht="13.5" thickTop="1">
      <c r="A131" s="237">
        <f t="shared" si="2"/>
        <v>121</v>
      </c>
      <c r="B131" s="402"/>
      <c r="C131" s="410"/>
      <c r="D131" s="410"/>
      <c r="E131" s="410"/>
      <c r="F131" s="401"/>
      <c r="G131" s="401"/>
      <c r="H131" s="401"/>
      <c r="I131" s="401"/>
      <c r="J131" s="401"/>
      <c r="K131" s="401"/>
      <c r="L131" s="401"/>
      <c r="M131" s="401"/>
      <c r="N131" s="401"/>
    </row>
    <row r="132" spans="1:14">
      <c r="A132" s="237">
        <f t="shared" si="2"/>
        <v>122</v>
      </c>
      <c r="B132" s="402"/>
      <c r="C132" s="402"/>
      <c r="D132" s="402"/>
      <c r="E132" s="402"/>
      <c r="F132" s="401"/>
      <c r="G132" s="401"/>
      <c r="H132" s="401"/>
      <c r="I132" s="401"/>
      <c r="J132" s="401"/>
      <c r="K132" s="401"/>
      <c r="L132" s="401"/>
      <c r="M132" s="401"/>
      <c r="N132" s="401"/>
    </row>
    <row r="133" spans="1:14">
      <c r="A133" s="237">
        <f t="shared" si="2"/>
        <v>123</v>
      </c>
      <c r="B133" s="412">
        <v>2015</v>
      </c>
      <c r="C133" s="402">
        <f>C119</f>
        <v>-3400625.25</v>
      </c>
      <c r="D133" s="402">
        <f>D119</f>
        <v>-3170958.75</v>
      </c>
      <c r="E133" s="402">
        <f>E119</f>
        <v>-229666.5</v>
      </c>
      <c r="F133" s="401"/>
      <c r="G133" s="401"/>
      <c r="H133" s="401"/>
      <c r="I133" s="401"/>
      <c r="J133" s="401"/>
      <c r="K133" s="401"/>
      <c r="L133" s="401"/>
      <c r="M133" s="401"/>
      <c r="N133" s="401"/>
    </row>
    <row r="134" spans="1:14">
      <c r="A134" s="237">
        <f t="shared" si="2"/>
        <v>124</v>
      </c>
      <c r="B134" s="412">
        <v>2016</v>
      </c>
      <c r="C134" s="402">
        <f>C130</f>
        <v>-10918361.25</v>
      </c>
      <c r="D134" s="402">
        <f>D130</f>
        <v>-10258325.25</v>
      </c>
      <c r="E134" s="402">
        <f>E130</f>
        <v>-660036</v>
      </c>
      <c r="F134" s="401"/>
      <c r="G134" s="401"/>
      <c r="H134" s="401"/>
      <c r="I134" s="401"/>
      <c r="J134" s="401"/>
      <c r="K134" s="401"/>
      <c r="L134" s="401"/>
      <c r="M134" s="401"/>
      <c r="N134" s="401"/>
    </row>
    <row r="135" spans="1:14" ht="13.5" thickBot="1">
      <c r="A135" s="237">
        <f t="shared" si="2"/>
        <v>125</v>
      </c>
      <c r="B135" s="404" t="s">
        <v>648</v>
      </c>
      <c r="C135" s="413">
        <f>SUM(C133:C134)</f>
        <v>-14318986.5</v>
      </c>
      <c r="D135" s="413">
        <f>SUM(D133:D134)</f>
        <v>-13429284</v>
      </c>
      <c r="E135" s="413">
        <f>SUM(E133:E134)</f>
        <v>-889702.5</v>
      </c>
      <c r="F135" s="401"/>
      <c r="G135" s="401"/>
      <c r="H135" s="401"/>
      <c r="I135" s="401"/>
      <c r="J135" s="401"/>
      <c r="K135" s="401"/>
      <c r="L135" s="401"/>
      <c r="M135" s="401"/>
      <c r="N135" s="401"/>
    </row>
    <row r="136" spans="1:14" ht="13.5" thickTop="1">
      <c r="A136" s="237">
        <f t="shared" si="2"/>
        <v>126</v>
      </c>
      <c r="B136" s="414"/>
      <c r="C136" s="414"/>
      <c r="D136" s="414"/>
      <c r="E136" s="414"/>
      <c r="F136" s="218"/>
      <c r="G136" s="401"/>
      <c r="H136" s="401"/>
      <c r="I136" s="401"/>
      <c r="J136" s="401"/>
      <c r="K136" s="401"/>
      <c r="L136" s="401"/>
      <c r="M136" s="401"/>
      <c r="N136" s="401"/>
    </row>
    <row r="137" spans="1:14">
      <c r="A137" s="237">
        <f t="shared" si="2"/>
        <v>127</v>
      </c>
      <c r="B137" s="218"/>
      <c r="C137" s="218"/>
      <c r="D137" s="218"/>
      <c r="E137" s="218"/>
      <c r="F137" s="218"/>
      <c r="K137" s="401"/>
      <c r="L137" s="401"/>
      <c r="M137" s="401"/>
      <c r="N137" s="401"/>
    </row>
    <row r="138" spans="1:14">
      <c r="A138" s="237">
        <f t="shared" si="2"/>
        <v>128</v>
      </c>
      <c r="B138" s="218"/>
      <c r="C138" s="218"/>
      <c r="D138" s="218"/>
      <c r="E138" s="218"/>
      <c r="F138" s="218"/>
      <c r="K138" s="401"/>
      <c r="L138" s="401"/>
      <c r="M138" s="401"/>
      <c r="N138" s="401"/>
    </row>
    <row r="139" spans="1:14">
      <c r="A139" s="237">
        <f t="shared" si="2"/>
        <v>129</v>
      </c>
      <c r="K139" s="401"/>
      <c r="L139" s="401"/>
      <c r="M139" s="401"/>
      <c r="N139" s="401"/>
    </row>
    <row r="140" spans="1:14">
      <c r="A140" s="237">
        <f t="shared" si="2"/>
        <v>130</v>
      </c>
      <c r="K140" s="401"/>
      <c r="L140" s="401"/>
      <c r="M140" s="401"/>
      <c r="N140" s="401"/>
    </row>
    <row r="141" spans="1:14">
      <c r="A141" s="237">
        <f t="shared" si="2"/>
        <v>131</v>
      </c>
      <c r="K141" s="401"/>
      <c r="L141" s="401"/>
      <c r="M141" s="401"/>
      <c r="N141" s="401"/>
    </row>
    <row r="142" spans="1:14">
      <c r="A142" s="237">
        <f t="shared" si="2"/>
        <v>132</v>
      </c>
      <c r="K142" s="401"/>
      <c r="L142" s="401"/>
      <c r="M142" s="401"/>
      <c r="N142" s="401"/>
    </row>
    <row r="143" spans="1:14">
      <c r="A143" s="237">
        <f t="shared" si="2"/>
        <v>133</v>
      </c>
      <c r="K143" s="401"/>
      <c r="L143" s="401"/>
      <c r="M143" s="401"/>
      <c r="N143" s="401"/>
    </row>
    <row r="144" spans="1:14">
      <c r="A144" s="237">
        <f t="shared" si="2"/>
        <v>134</v>
      </c>
      <c r="K144" s="401"/>
      <c r="L144" s="401"/>
      <c r="M144" s="401"/>
      <c r="N144" s="401"/>
    </row>
    <row r="145" spans="1:1">
      <c r="A145" s="237">
        <f t="shared" si="2"/>
        <v>135</v>
      </c>
    </row>
  </sheetData>
  <customSheetViews>
    <customSheetView guid="{ACABE5FC-E604-45C9-ACB7-53C863CA19F6}"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1"/>
      <headerFooter alignWithMargins="0"/>
    </customSheetView>
    <customSheetView guid="{D034A8AA-A968-4D12-B6AF-09F53E5CD513}"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2"/>
      <headerFooter alignWithMargins="0"/>
    </customSheetView>
    <customSheetView guid="{FEFCE477-944B-4DAC-AD75-686CC83D0F0B}"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3"/>
      <headerFooter alignWithMargins="0"/>
    </customSheetView>
    <customSheetView guid="{067119CC-1C61-43DB-B4BB-54397DC63A91}"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4"/>
      <headerFooter alignWithMargins="0"/>
    </customSheetView>
    <customSheetView guid="{C3CE34FF-D7D7-4ECF-B6E1-4700E3130E94}"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5"/>
      <headerFooter alignWithMargins="0"/>
    </customSheetView>
    <customSheetView guid="{E2C26153-D457-4603-B564-60CFADB5026B}"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6"/>
      <headerFooter alignWithMargins="0"/>
    </customSheetView>
    <customSheetView guid="{423F2953-9177-4482-AE78-C7C47BA8995B}"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7"/>
      <headerFooter alignWithMargins="0"/>
    </customSheetView>
    <customSheetView guid="{2DBDF3D7-BA4D-404D-AE4B-DFD7008C0411}"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8"/>
      <headerFooter alignWithMargins="0"/>
    </customSheetView>
    <customSheetView guid="{DF4E3B04-E442-43A1-A47D-E26F6CE7F11C}"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9"/>
      <headerFooter alignWithMargins="0"/>
    </customSheetView>
    <customSheetView guid="{17768135-68BF-4539-94C0-50ED7816A698}"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10"/>
      <headerFooter alignWithMargins="0"/>
    </customSheetView>
    <customSheetView guid="{990691EF-FF43-4000-BCD8-6862D2BAD44A}"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11"/>
      <headerFooter alignWithMargins="0"/>
    </customSheetView>
    <customSheetView guid="{41713566-6DDC-4C14-8259-D9C15B9E45DD}"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12"/>
      <headerFooter alignWithMargins="0"/>
    </customSheetView>
    <customSheetView guid="{E98B4028-3602-46AA-8C00-41FD8ABF8836}"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13"/>
      <headerFooter alignWithMargins="0"/>
    </customSheetView>
    <customSheetView guid="{28C5A156-92F3-4234-9C7A-A32D75F798CC}"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14"/>
      <headerFooter alignWithMargins="0"/>
    </customSheetView>
    <customSheetView guid="{813D7A4F-EDF6-49ED-B8FD-B74D0B9276AB}"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15"/>
      <headerFooter alignWithMargins="0"/>
    </customSheetView>
    <customSheetView guid="{46E5C546-9AEA-4E06-B017-805B7E255C92}"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16"/>
      <headerFooter alignWithMargins="0"/>
    </customSheetView>
    <customSheetView guid="{3797879C-3298-4122-A12D-3DFD0284FBDD}"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17"/>
      <headerFooter alignWithMargins="0"/>
    </customSheetView>
    <customSheetView guid="{BA39091D-C7FC-45D0-82A3-5E4EAAFABA5A}"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18"/>
      <headerFooter alignWithMargins="0"/>
    </customSheetView>
    <customSheetView guid="{D564613F-7CF3-40DE-8CDA-0C25C1F35855}"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19"/>
      <headerFooter alignWithMargins="0"/>
    </customSheetView>
    <customSheetView guid="{3834E606-B28A-4696-9192-7BDA898195A1}"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20"/>
      <headerFooter alignWithMargins="0"/>
    </customSheetView>
    <customSheetView guid="{88A240CE-F5A6-4995-A526-0E22BADCFF6D}"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21"/>
      <headerFooter alignWithMargins="0"/>
    </customSheetView>
    <customSheetView guid="{BBEC464C-25F9-4835-BB05-13062D5DEAC1}"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22"/>
      <headerFooter alignWithMargins="0"/>
    </customSheetView>
    <customSheetView guid="{62EE4FB2-B9F8-4C5D-BC5C-181361F6DD86}"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23"/>
      <headerFooter alignWithMargins="0"/>
    </customSheetView>
    <customSheetView guid="{3DB8EC99-BD55-4ABF-B71E-F70797B0173C}"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24"/>
      <headerFooter alignWithMargins="0"/>
    </customSheetView>
    <customSheetView guid="{605C023E-A5C7-400F-9AAA-827B8FDB13A8}"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25"/>
      <headerFooter alignWithMargins="0"/>
    </customSheetView>
    <customSheetView guid="{EDF3DC03-FBB9-4397-9335-6FA548B9B5CD}"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26"/>
      <headerFooter alignWithMargins="0"/>
    </customSheetView>
    <customSheetView guid="{A3FBC4C2-6ECB-480C-89DD-35506B048870}"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27"/>
      <headerFooter alignWithMargins="0"/>
    </customSheetView>
    <customSheetView guid="{40B7FB48-DAE3-4682-852F-AC0650D2BE14}"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28"/>
      <headerFooter alignWithMargins="0"/>
    </customSheetView>
    <customSheetView guid="{4840C72E-33E7-45CF-A897-030BC56F6B90}"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29"/>
      <headerFooter alignWithMargins="0"/>
    </customSheetView>
    <customSheetView guid="{F531E925-9E0B-409C-9EAA-ADCDD51D6BA7}"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30"/>
      <headerFooter alignWithMargins="0"/>
    </customSheetView>
    <customSheetView guid="{8E7EA697-A1C1-4FA5-9CC7-93304413A154}"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31"/>
      <headerFooter alignWithMargins="0"/>
    </customSheetView>
    <customSheetView guid="{14262664-129C-4E9B-8245-4B43AF19E33A}"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32"/>
      <headerFooter alignWithMargins="0"/>
    </customSheetView>
    <customSheetView guid="{CD5012F4-E6A6-495E-BF90-5F6D9EE7AF29}"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33"/>
      <headerFooter alignWithMargins="0"/>
    </customSheetView>
    <customSheetView guid="{F985D028-064A-46CA-9D34-E4E9B88A9B3C}"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34"/>
      <headerFooter alignWithMargins="0"/>
    </customSheetView>
    <customSheetView guid="{8920654A-B782-40BF-9A51-A43F20A27C02}"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35"/>
      <headerFooter alignWithMargins="0"/>
    </customSheetView>
    <customSheetView guid="{1E64D771-8C52-4EFE-8F0D-67326F432767}"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36"/>
      <headerFooter alignWithMargins="0"/>
    </customSheetView>
    <customSheetView guid="{DD70B4E1-CC64-4568-BFD6-83390A7B0268}"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37"/>
      <headerFooter alignWithMargins="0"/>
    </customSheetView>
    <customSheetView guid="{D358E58B-5EA6-4EB2-8562-4D9FEBA8EA54}" scale="88" fitToPage="1" showRuler="0">
      <pane xSplit="2" ySplit="12" topLeftCell="C13" activePane="bottomRight" state="frozen"/>
      <selection pane="bottomRight" activeCell="F22" sqref="F22"/>
      <pageMargins left="0.5" right="0.5" top="0.25" bottom="0.25" header="0.5" footer="0.5"/>
      <printOptions horizontalCentered="1"/>
      <pageSetup orientation="portrait" r:id="rId38"/>
      <headerFooter alignWithMargins="0"/>
    </customSheetView>
  </customSheetViews>
  <mergeCells count="4">
    <mergeCell ref="C112:E112"/>
    <mergeCell ref="C113:E113"/>
    <mergeCell ref="C123:E123"/>
    <mergeCell ref="C124:E124"/>
  </mergeCells>
  <phoneticPr fontId="17" type="noConversion"/>
  <printOptions horizontalCentered="1"/>
  <pageMargins left="0.5" right="0.5" top="0.25" bottom="0.25" header="0.5" footer="0.25"/>
  <pageSetup scale="68" fitToHeight="2" orientation="portrait" r:id="rId39"/>
  <headerFooter alignWithMargins="0"/>
  <rowBreaks count="1" manualBreakCount="1">
    <brk id="82"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N30"/>
  <sheetViews>
    <sheetView workbookViewId="0">
      <selection activeCell="B13" sqref="B13"/>
    </sheetView>
  </sheetViews>
  <sheetFormatPr defaultColWidth="9.33203125" defaultRowHeight="12.75"/>
  <cols>
    <col min="1" max="1" width="50.83203125" style="332" bestFit="1" customWidth="1"/>
    <col min="2" max="9" width="20.83203125" style="332" customWidth="1"/>
    <col min="10" max="16384" width="9.33203125" style="332"/>
  </cols>
  <sheetData>
    <row r="1" spans="1:14">
      <c r="A1" s="351" t="s">
        <v>850</v>
      </c>
      <c r="B1" s="80"/>
      <c r="C1" s="80"/>
      <c r="D1" s="80"/>
      <c r="E1" s="80"/>
      <c r="F1" s="80"/>
      <c r="G1" s="80"/>
      <c r="H1" s="80"/>
      <c r="I1" s="80"/>
      <c r="J1" s="80"/>
      <c r="K1" s="80"/>
      <c r="L1" s="80"/>
      <c r="M1" s="80"/>
      <c r="N1" s="80"/>
    </row>
    <row r="2" spans="1:14" ht="13.5" thickBot="1">
      <c r="A2" s="438" t="s">
        <v>722</v>
      </c>
      <c r="B2" s="80"/>
      <c r="C2" s="80"/>
      <c r="D2" s="80"/>
      <c r="E2" s="80"/>
      <c r="F2" s="80"/>
      <c r="G2" s="80"/>
      <c r="H2" s="80"/>
      <c r="I2" s="80"/>
      <c r="J2" s="80"/>
      <c r="K2" s="80"/>
      <c r="L2" s="80"/>
      <c r="M2" s="80"/>
      <c r="N2" s="80"/>
    </row>
    <row r="3" spans="1:14">
      <c r="A3" s="333"/>
      <c r="B3" s="334"/>
      <c r="C3" s="334"/>
      <c r="D3" s="334" t="s">
        <v>430</v>
      </c>
      <c r="E3" s="334" t="s">
        <v>431</v>
      </c>
      <c r="F3" s="334" t="s">
        <v>432</v>
      </c>
      <c r="G3" s="334" t="s">
        <v>433</v>
      </c>
      <c r="H3" s="334" t="s">
        <v>434</v>
      </c>
      <c r="I3" s="334" t="s">
        <v>160</v>
      </c>
      <c r="J3" s="80"/>
      <c r="K3" s="80"/>
      <c r="L3" s="80"/>
      <c r="M3" s="80"/>
      <c r="N3" s="80"/>
    </row>
    <row r="4" spans="1:14" ht="13.5" thickBot="1">
      <c r="A4" s="333"/>
      <c r="B4" s="335" t="s">
        <v>436</v>
      </c>
      <c r="C4" s="335" t="s">
        <v>437</v>
      </c>
      <c r="D4" s="335" t="s">
        <v>438</v>
      </c>
      <c r="E4" s="335" t="s">
        <v>438</v>
      </c>
      <c r="F4" s="335" t="s">
        <v>439</v>
      </c>
      <c r="G4" s="335" t="s">
        <v>435</v>
      </c>
      <c r="H4" s="335" t="s">
        <v>440</v>
      </c>
      <c r="I4" s="335" t="s">
        <v>261</v>
      </c>
      <c r="J4" s="80"/>
      <c r="K4" s="80"/>
      <c r="L4" s="80"/>
      <c r="M4" s="80"/>
      <c r="N4" s="80"/>
    </row>
    <row r="5" spans="1:14">
      <c r="A5" s="269" t="s">
        <v>636</v>
      </c>
      <c r="B5" s="391">
        <f>+'[55]Prod RB TY Lead'!$B$6</f>
        <v>3770089338.4726501</v>
      </c>
      <c r="C5" s="391">
        <f>+'[55]Prod RB TY Lead'!$B$7</f>
        <v>-1614882573</v>
      </c>
      <c r="D5" s="391">
        <f>+'[55]Prod RB TY Lead'!$B$8</f>
        <v>80139253</v>
      </c>
      <c r="E5" s="391">
        <f>+'[55]Prod RB TY Lead'!$B$9</f>
        <v>-9933315</v>
      </c>
      <c r="F5" s="391">
        <f>+'[55]Prod RB TY Lead'!$B$12</f>
        <v>281543145</v>
      </c>
      <c r="G5" s="391">
        <f>+'[55]Prod RB TY Lead'!$B$13</f>
        <v>-113037112</v>
      </c>
      <c r="H5" s="391">
        <f>+'[55]Prod RB TY Lead'!$B$16</f>
        <v>-512526800.34781253</v>
      </c>
      <c r="I5" s="391">
        <f t="shared" ref="I5:I12" si="0">SUM(B5:H5)</f>
        <v>1881391936.1248374</v>
      </c>
      <c r="J5" s="80"/>
      <c r="K5" s="80"/>
      <c r="L5" s="80"/>
      <c r="M5" s="80"/>
      <c r="N5" s="80"/>
    </row>
    <row r="6" spans="1:14">
      <c r="A6" s="269" t="s">
        <v>779</v>
      </c>
      <c r="B6" s="472"/>
      <c r="C6" s="390">
        <f>'[15]RB&amp;ISbyFERC'!$I$482</f>
        <v>-20954003.982056607</v>
      </c>
      <c r="D6" s="472"/>
      <c r="E6" s="472"/>
      <c r="F6" s="472"/>
      <c r="G6" s="472"/>
      <c r="H6" s="390">
        <f>-C6*0.35</f>
        <v>7333901.3937198119</v>
      </c>
      <c r="I6" s="390">
        <f t="shared" si="0"/>
        <v>-13620102.588336796</v>
      </c>
      <c r="J6" s="80"/>
      <c r="K6" s="80"/>
      <c r="L6" s="80"/>
      <c r="M6" s="80"/>
      <c r="N6" s="80"/>
    </row>
    <row r="7" spans="1:14">
      <c r="A7" s="258" t="s">
        <v>780</v>
      </c>
      <c r="B7" s="390">
        <f>'MCC-2 page 31-45'!O15</f>
        <v>-4539303</v>
      </c>
      <c r="C7" s="390">
        <f>'MCC-2 page 31-45'!O16+'MCC-2 page 31-45'!O17</f>
        <v>1590015.6893272984</v>
      </c>
      <c r="D7" s="472"/>
      <c r="E7" s="472"/>
      <c r="F7" s="472"/>
      <c r="G7" s="472"/>
      <c r="H7" s="390">
        <f>'MCC-2 page 31-45'!O18+'MCC-2 page 31-45'!O19</f>
        <v>979945.97436044563</v>
      </c>
      <c r="I7" s="390">
        <f t="shared" si="0"/>
        <v>-1969341.3363122558</v>
      </c>
      <c r="J7" s="80"/>
      <c r="K7" s="80"/>
      <c r="L7" s="80"/>
      <c r="M7" s="80"/>
      <c r="N7" s="80"/>
    </row>
    <row r="8" spans="1:14">
      <c r="A8" s="258" t="s">
        <v>781</v>
      </c>
      <c r="B8" s="390">
        <f>'[41]RB&amp;ISbyFERC'!$E$9</f>
        <v>2864024.6325000003</v>
      </c>
      <c r="C8" s="390">
        <f>'[41]RB&amp;ISbyFERC'!$E$15</f>
        <v>-495916.20105393277</v>
      </c>
      <c r="D8" s="472"/>
      <c r="E8" s="472"/>
      <c r="F8" s="472"/>
      <c r="G8" s="472"/>
      <c r="H8" s="390">
        <f>'[41]RB&amp;ISbyFERC'!$E$20</f>
        <v>-1716630.2886360891</v>
      </c>
      <c r="I8" s="390">
        <f t="shared" si="0"/>
        <v>651478.14280997845</v>
      </c>
      <c r="J8" s="336"/>
      <c r="K8" s="80"/>
      <c r="L8" s="80"/>
      <c r="M8" s="80"/>
      <c r="N8" s="80"/>
    </row>
    <row r="9" spans="1:14">
      <c r="A9" s="258" t="s">
        <v>782</v>
      </c>
      <c r="B9" s="390">
        <f>+'MCC-2 page 31-45'!AS14+'MCC-2 page 31-45'!AS22</f>
        <v>-46656.627500012517</v>
      </c>
      <c r="C9" s="390">
        <f>+'MCC-2 page 31-45'!AS15+'MCC-2 page 31-45'!AS16+'MCC-2 page 31-45'!AS23+'MCC-2 page 31-45'!AS24</f>
        <v>21111912.982080221</v>
      </c>
      <c r="D9" s="472"/>
      <c r="E9" s="472"/>
      <c r="F9" s="472"/>
      <c r="G9" s="472"/>
      <c r="H9" s="390">
        <f>+'MCC-2 page 31-45'!AS17+'MCC-2 page 31-45'!AS18+'MCC-2 page 31-45'!AS25+'MCC-2 page 31-45'!AS26</f>
        <v>-2924301.9482050105</v>
      </c>
      <c r="I9" s="390">
        <f t="shared" si="0"/>
        <v>18140954.4063752</v>
      </c>
      <c r="J9" s="336"/>
      <c r="K9" s="80"/>
      <c r="L9" s="80"/>
      <c r="M9" s="80"/>
      <c r="N9" s="80"/>
    </row>
    <row r="10" spans="1:14">
      <c r="A10" s="258" t="s">
        <v>783</v>
      </c>
      <c r="B10" s="390">
        <f>+'MCC-2 page 31-45'!AX15</f>
        <v>24765516.030000001</v>
      </c>
      <c r="C10" s="390">
        <f>+'MCC-2 page 31-45'!AX16</f>
        <v>-1572187.2608600797</v>
      </c>
      <c r="D10" s="472"/>
      <c r="E10" s="472"/>
      <c r="F10" s="472"/>
      <c r="G10" s="472"/>
      <c r="H10" s="390">
        <f>+'MCC-2 page 31-45'!AX17</f>
        <v>-4188738.7602319769</v>
      </c>
      <c r="I10" s="390">
        <f t="shared" si="0"/>
        <v>19004590.008907948</v>
      </c>
      <c r="J10" s="336"/>
      <c r="K10" s="80"/>
      <c r="L10" s="80"/>
      <c r="M10" s="80"/>
      <c r="N10" s="80"/>
    </row>
    <row r="11" spans="1:14">
      <c r="A11" s="258" t="s">
        <v>784</v>
      </c>
      <c r="B11" s="390">
        <f>'MCC-2 page 31-45'!BC15+'MCC-2 page 31-45'!BC16</f>
        <v>45432.020000000004</v>
      </c>
      <c r="C11" s="472"/>
      <c r="D11" s="472"/>
      <c r="E11" s="472"/>
      <c r="F11" s="472"/>
      <c r="G11" s="472"/>
      <c r="H11" s="472"/>
      <c r="I11" s="390">
        <f>SUM(B11:H11)</f>
        <v>45432.020000000004</v>
      </c>
      <c r="J11" s="336"/>
      <c r="K11" s="80"/>
      <c r="L11" s="80"/>
      <c r="M11" s="80"/>
      <c r="N11" s="80"/>
    </row>
    <row r="12" spans="1:14">
      <c r="A12" s="258" t="s">
        <v>785</v>
      </c>
      <c r="B12" s="390">
        <f>'MCC-2 page 1-6'!AO58</f>
        <v>69639614.979849741</v>
      </c>
      <c r="C12" s="390">
        <f>'MCC-2 page 1-6'!AO57</f>
        <v>0</v>
      </c>
      <c r="D12" s="472"/>
      <c r="E12" s="472"/>
      <c r="F12" s="472"/>
      <c r="G12" s="472"/>
      <c r="H12" s="472"/>
      <c r="I12" s="390">
        <f t="shared" si="0"/>
        <v>69639614.979849741</v>
      </c>
      <c r="J12" s="336"/>
      <c r="K12" s="80"/>
      <c r="L12" s="80"/>
      <c r="M12" s="80"/>
      <c r="N12" s="80"/>
    </row>
    <row r="13" spans="1:14" ht="13.5" thickBot="1">
      <c r="A13" s="269" t="s">
        <v>160</v>
      </c>
      <c r="B13" s="337">
        <f t="shared" ref="B13:I13" si="1">SUM(B5:B12)</f>
        <v>3862817966.5075002</v>
      </c>
      <c r="C13" s="337">
        <f t="shared" si="1"/>
        <v>-1615202751.772563</v>
      </c>
      <c r="D13" s="337">
        <f t="shared" si="1"/>
        <v>80139253</v>
      </c>
      <c r="E13" s="337">
        <f t="shared" si="1"/>
        <v>-9933315</v>
      </c>
      <c r="F13" s="337">
        <f t="shared" si="1"/>
        <v>281543145</v>
      </c>
      <c r="G13" s="337">
        <f t="shared" si="1"/>
        <v>-113037112</v>
      </c>
      <c r="H13" s="337">
        <f t="shared" si="1"/>
        <v>-513042623.97680533</v>
      </c>
      <c r="I13" s="337">
        <f t="shared" si="1"/>
        <v>1973284561.7581313</v>
      </c>
      <c r="J13" s="80"/>
      <c r="K13" s="80"/>
      <c r="L13" s="80"/>
      <c r="M13" s="80"/>
      <c r="N13" s="80"/>
    </row>
    <row r="14" spans="1:14" ht="13.5" thickTop="1">
      <c r="A14" s="269"/>
      <c r="B14" s="338"/>
      <c r="C14" s="80"/>
      <c r="D14" s="80"/>
      <c r="E14" s="338"/>
      <c r="F14" s="338"/>
      <c r="G14" s="338"/>
      <c r="H14" s="338"/>
      <c r="I14" s="338"/>
      <c r="J14" s="80"/>
      <c r="K14" s="80"/>
      <c r="L14" s="80"/>
      <c r="M14" s="80"/>
      <c r="N14" s="80"/>
    </row>
    <row r="15" spans="1:14">
      <c r="A15" s="339" t="s">
        <v>521</v>
      </c>
      <c r="B15" s="80"/>
      <c r="C15" s="80"/>
      <c r="D15" s="80"/>
      <c r="E15" s="80"/>
      <c r="F15" s="80"/>
      <c r="G15" s="80"/>
      <c r="H15" s="80"/>
      <c r="I15" s="80"/>
      <c r="J15" s="80"/>
      <c r="K15" s="80"/>
      <c r="L15" s="80"/>
      <c r="M15" s="80"/>
      <c r="N15" s="80"/>
    </row>
    <row r="16" spans="1:14">
      <c r="A16" s="333" t="s">
        <v>441</v>
      </c>
      <c r="B16" s="338"/>
      <c r="C16" s="338"/>
      <c r="D16" s="338"/>
      <c r="E16" s="338"/>
      <c r="F16" s="338"/>
      <c r="G16" s="338"/>
      <c r="H16" s="338"/>
      <c r="I16" s="390">
        <f>+'[55]Prod RB TY Lead'!$B$10</f>
        <v>2908282.4799999148</v>
      </c>
      <c r="J16" s="80"/>
      <c r="K16" s="80"/>
      <c r="L16" s="80"/>
      <c r="M16" s="80"/>
      <c r="N16" s="80"/>
    </row>
    <row r="17" spans="1:14">
      <c r="A17" s="333" t="s">
        <v>442</v>
      </c>
      <c r="B17" s="338"/>
      <c r="C17" s="338"/>
      <c r="D17" s="338"/>
      <c r="E17" s="338"/>
      <c r="F17" s="338"/>
      <c r="G17" s="338"/>
      <c r="H17" s="338"/>
      <c r="I17" s="390">
        <f>+'[55]Prod RB TY Lead'!$B$11</f>
        <v>858922.41599999997</v>
      </c>
      <c r="J17" s="80"/>
      <c r="K17" s="80"/>
      <c r="L17" s="80"/>
      <c r="M17" s="80"/>
      <c r="N17" s="80"/>
    </row>
    <row r="18" spans="1:14">
      <c r="A18" s="333" t="s">
        <v>443</v>
      </c>
      <c r="B18" s="338"/>
      <c r="C18" s="338"/>
      <c r="D18" s="338"/>
      <c r="E18" s="338"/>
      <c r="F18" s="338"/>
      <c r="G18" s="338"/>
      <c r="H18" s="338"/>
      <c r="I18" s="390">
        <f>+'[55]Prod RB TY Lead'!$B$17</f>
        <v>48295905.063545831</v>
      </c>
      <c r="J18" s="80"/>
      <c r="K18" s="80"/>
      <c r="L18" s="80"/>
      <c r="M18" s="80"/>
      <c r="N18" s="80"/>
    </row>
    <row r="19" spans="1:14" ht="13.5" thickBot="1">
      <c r="A19" s="339" t="s">
        <v>444</v>
      </c>
      <c r="B19" s="338"/>
      <c r="C19" s="338"/>
      <c r="D19" s="338"/>
      <c r="E19" s="338"/>
      <c r="F19" s="338"/>
      <c r="G19" s="338"/>
      <c r="H19" s="338"/>
      <c r="I19" s="340">
        <f>I13+SUM(I15:I18)</f>
        <v>2025347671.7176771</v>
      </c>
      <c r="J19" s="80"/>
      <c r="K19" s="80"/>
      <c r="L19" s="80"/>
      <c r="M19" s="80"/>
      <c r="N19" s="80"/>
    </row>
    <row r="20" spans="1:14" ht="13.5" thickTop="1">
      <c r="A20" s="80"/>
      <c r="B20" s="80"/>
      <c r="C20" s="80"/>
      <c r="D20" s="80"/>
      <c r="E20" s="80"/>
      <c r="F20" s="80"/>
      <c r="G20" s="80"/>
      <c r="H20" s="80"/>
      <c r="I20" s="80"/>
      <c r="J20" s="80"/>
      <c r="K20" s="80"/>
      <c r="L20" s="80"/>
      <c r="M20" s="80"/>
      <c r="N20" s="80"/>
    </row>
    <row r="21" spans="1:14">
      <c r="A21" s="80"/>
      <c r="B21" s="80"/>
      <c r="C21" s="80"/>
      <c r="D21" s="80"/>
      <c r="E21" s="80"/>
      <c r="F21" s="80"/>
      <c r="G21" s="80"/>
      <c r="H21" s="80"/>
      <c r="I21" s="465">
        <f>'MCC-2 page 31-45'!BK73-I19</f>
        <v>0</v>
      </c>
      <c r="J21" s="80"/>
      <c r="K21" s="80"/>
      <c r="L21" s="80"/>
      <c r="M21" s="80"/>
      <c r="N21" s="80"/>
    </row>
    <row r="22" spans="1:14">
      <c r="A22" s="443"/>
      <c r="B22" s="390"/>
      <c r="C22" s="390"/>
      <c r="D22" s="390"/>
      <c r="E22" s="390"/>
      <c r="F22" s="390"/>
      <c r="G22" s="390"/>
      <c r="H22" s="390"/>
      <c r="I22" s="80"/>
      <c r="J22" s="80"/>
      <c r="K22" s="80"/>
      <c r="L22" s="80"/>
      <c r="M22" s="80"/>
      <c r="N22" s="80"/>
    </row>
    <row r="23" spans="1:14">
      <c r="A23" s="443"/>
      <c r="B23" s="390"/>
      <c r="C23" s="390"/>
      <c r="D23" s="390"/>
      <c r="E23" s="390"/>
      <c r="F23" s="390"/>
      <c r="G23" s="390"/>
      <c r="H23" s="390"/>
      <c r="I23" s="80"/>
      <c r="J23" s="80"/>
      <c r="K23" s="80"/>
      <c r="L23" s="80"/>
      <c r="M23" s="80"/>
      <c r="N23" s="80"/>
    </row>
    <row r="24" spans="1:14">
      <c r="A24" s="387"/>
      <c r="B24" s="390"/>
      <c r="C24" s="390"/>
      <c r="D24" s="390"/>
      <c r="E24" s="390"/>
      <c r="F24" s="390"/>
      <c r="G24" s="390"/>
      <c r="H24" s="390"/>
      <c r="I24" s="80"/>
      <c r="J24" s="80"/>
      <c r="K24" s="80"/>
      <c r="L24" s="80"/>
      <c r="M24" s="80"/>
      <c r="N24" s="80"/>
    </row>
    <row r="25" spans="1:14">
      <c r="A25"/>
      <c r="B25" s="80"/>
      <c r="C25" s="80"/>
      <c r="D25" s="80"/>
      <c r="E25" s="80"/>
      <c r="F25" s="80"/>
      <c r="G25" s="80"/>
      <c r="H25" s="80"/>
      <c r="I25" s="80"/>
      <c r="J25" s="80"/>
      <c r="K25" s="80"/>
      <c r="L25" s="80"/>
      <c r="M25" s="80"/>
      <c r="N25" s="80"/>
    </row>
    <row r="26" spans="1:14">
      <c r="B26" s="80"/>
      <c r="C26" s="80"/>
      <c r="D26" s="80"/>
      <c r="E26" s="80"/>
      <c r="F26" s="80"/>
      <c r="G26" s="80"/>
      <c r="H26" s="80"/>
      <c r="I26" s="80"/>
      <c r="J26" s="80"/>
      <c r="K26" s="80"/>
      <c r="L26" s="80"/>
      <c r="M26" s="80"/>
      <c r="N26" s="80"/>
    </row>
    <row r="27" spans="1:14">
      <c r="A27" s="80"/>
      <c r="B27" s="80"/>
      <c r="C27" s="80"/>
      <c r="D27" s="80"/>
      <c r="E27" s="80"/>
      <c r="F27" s="80"/>
      <c r="G27" s="80"/>
      <c r="H27" s="80"/>
      <c r="I27" s="80"/>
      <c r="J27" s="80"/>
      <c r="K27" s="80"/>
      <c r="L27" s="80"/>
      <c r="M27" s="80"/>
      <c r="N27" s="80"/>
    </row>
    <row r="28" spans="1:14">
      <c r="A28" s="80"/>
      <c r="B28" s="80"/>
      <c r="C28" s="80"/>
      <c r="D28" s="80"/>
      <c r="E28" s="80"/>
      <c r="F28" s="80"/>
      <c r="G28" s="80"/>
      <c r="H28" s="80"/>
      <c r="I28" s="80"/>
      <c r="J28" s="80"/>
      <c r="K28" s="80"/>
      <c r="L28" s="80"/>
      <c r="M28" s="80"/>
      <c r="N28" s="80"/>
    </row>
    <row r="29" spans="1:14">
      <c r="A29" s="80"/>
      <c r="B29" s="80"/>
      <c r="C29" s="80"/>
      <c r="D29" s="80"/>
      <c r="E29" s="80"/>
      <c r="F29" s="80"/>
      <c r="G29" s="80"/>
      <c r="H29" s="80"/>
      <c r="I29" s="80"/>
      <c r="J29" s="80"/>
      <c r="K29" s="80"/>
      <c r="L29" s="80"/>
      <c r="M29" s="80"/>
      <c r="N29" s="80"/>
    </row>
    <row r="30" spans="1:14">
      <c r="A30" s="80"/>
      <c r="B30" s="80"/>
      <c r="C30" s="80"/>
      <c r="D30" s="80"/>
      <c r="E30" s="80"/>
      <c r="F30" s="80"/>
      <c r="G30" s="80"/>
      <c r="H30" s="80"/>
      <c r="I30" s="80"/>
      <c r="J30" s="80"/>
      <c r="K30" s="80"/>
      <c r="L30" s="80"/>
      <c r="M30" s="80"/>
      <c r="N30" s="80"/>
    </row>
  </sheetData>
  <pageMargins left="0.7" right="0.7" top="0.75" bottom="0.75" header="0.3" footer="0.3"/>
  <pageSetup scale="7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T67"/>
  <sheetViews>
    <sheetView zoomScale="77" zoomScaleNormal="77" workbookViewId="0">
      <pane xSplit="4" ySplit="14" topLeftCell="E15" activePane="bottomRight" state="frozen"/>
      <selection activeCell="G3" sqref="G3"/>
      <selection pane="topRight" activeCell="G3" sqref="G3"/>
      <selection pane="bottomLeft" activeCell="G3" sqref="G3"/>
      <selection pane="bottomRight" activeCell="M1" sqref="M1:M1048576"/>
    </sheetView>
  </sheetViews>
  <sheetFormatPr defaultColWidth="9.33203125" defaultRowHeight="15" outlineLevelCol="1"/>
  <cols>
    <col min="1" max="1" width="5" style="785" customWidth="1"/>
    <col min="2" max="2" width="9.5" style="786" customWidth="1"/>
    <col min="3" max="3" width="7" style="786" customWidth="1"/>
    <col min="4" max="4" width="42.83203125" style="785" bestFit="1" customWidth="1"/>
    <col min="5" max="5" width="19.5" style="785" bestFit="1" customWidth="1"/>
    <col min="6" max="6" width="17.1640625" style="785" customWidth="1"/>
    <col min="7" max="7" width="15.5" style="785" customWidth="1"/>
    <col min="8" max="8" width="15.83203125" style="785" customWidth="1"/>
    <col min="9" max="9" width="18.1640625" style="785" customWidth="1"/>
    <col min="10" max="10" width="6.83203125" style="785" customWidth="1" outlineLevel="1"/>
    <col min="11" max="11" width="22.6640625" style="785" bestFit="1" customWidth="1"/>
    <col min="12" max="12" width="18.83203125" style="785" bestFit="1" customWidth="1"/>
    <col min="13" max="13" width="18.83203125" style="785" customWidth="1"/>
    <col min="14" max="14" width="19.5" style="785" bestFit="1" customWidth="1"/>
    <col min="15" max="15" width="18.83203125" style="785" bestFit="1" customWidth="1"/>
    <col min="16" max="16" width="18.33203125" style="785" customWidth="1"/>
    <col min="17" max="16384" width="9.33203125" style="785"/>
  </cols>
  <sheetData>
    <row r="1" spans="1:20">
      <c r="O1" s="8" t="str">
        <f>'MCC-2 page 1-6'!BB2</f>
        <v>Dockets UE-170033/UG-170034</v>
      </c>
    </row>
    <row r="2" spans="1:20" ht="18.75">
      <c r="A2" s="787" t="s">
        <v>213</v>
      </c>
      <c r="B2" s="788"/>
      <c r="C2" s="788"/>
      <c r="D2" s="788"/>
      <c r="E2" s="788"/>
      <c r="F2" s="788"/>
      <c r="G2" s="788"/>
      <c r="H2" s="788"/>
      <c r="I2" s="788"/>
      <c r="J2" s="788"/>
      <c r="K2" s="788"/>
      <c r="L2" s="788"/>
      <c r="M2" s="788"/>
      <c r="N2" s="788"/>
      <c r="O2" s="8"/>
    </row>
    <row r="3" spans="1:20" ht="18.75">
      <c r="A3" s="789" t="s">
        <v>848</v>
      </c>
      <c r="B3" s="788"/>
      <c r="C3" s="788"/>
      <c r="D3" s="788"/>
      <c r="E3" s="788"/>
      <c r="F3" s="788"/>
      <c r="G3" s="788"/>
      <c r="H3" s="788"/>
      <c r="I3" s="788"/>
      <c r="J3" s="788"/>
      <c r="K3" s="788"/>
      <c r="L3" s="788"/>
      <c r="M3" s="788"/>
      <c r="N3" s="788"/>
      <c r="O3" s="8" t="s">
        <v>901</v>
      </c>
    </row>
    <row r="4" spans="1:20" ht="18.75">
      <c r="A4" s="787" t="s">
        <v>662</v>
      </c>
      <c r="B4" s="788"/>
      <c r="C4" s="788"/>
      <c r="D4" s="788"/>
      <c r="E4" s="788"/>
      <c r="F4" s="788"/>
      <c r="G4" s="788"/>
      <c r="H4" s="788"/>
      <c r="I4" s="788"/>
      <c r="J4" s="788"/>
      <c r="K4" s="788"/>
      <c r="L4" s="788"/>
      <c r="M4" s="788"/>
      <c r="N4" s="788"/>
      <c r="O4" s="788"/>
    </row>
    <row r="5" spans="1:20" ht="18.75">
      <c r="A5" s="787" t="s">
        <v>635</v>
      </c>
      <c r="B5" s="788"/>
      <c r="C5" s="788"/>
      <c r="D5" s="788"/>
      <c r="E5" s="788"/>
      <c r="F5" s="788"/>
      <c r="G5" s="788"/>
      <c r="H5" s="788"/>
      <c r="I5" s="788"/>
      <c r="J5" s="788"/>
      <c r="K5" s="788"/>
      <c r="L5" s="788"/>
      <c r="M5" s="788"/>
      <c r="N5" s="788"/>
      <c r="O5" s="788"/>
    </row>
    <row r="6" spans="1:20" ht="18.75">
      <c r="A6" s="790"/>
    </row>
    <row r="7" spans="1:20">
      <c r="A7" s="785">
        <v>1</v>
      </c>
      <c r="N7" s="786" t="s">
        <v>211</v>
      </c>
      <c r="O7" s="786" t="s">
        <v>476</v>
      </c>
    </row>
    <row r="8" spans="1:20" ht="15.75" thickBot="1">
      <c r="A8" s="785">
        <f>+A7+1</f>
        <v>2</v>
      </c>
      <c r="N8" s="786"/>
      <c r="O8" s="786"/>
    </row>
    <row r="9" spans="1:20" ht="15" customHeight="1">
      <c r="A9" s="785">
        <f t="shared" ref="A9:A30" si="0">+A8+1</f>
        <v>3</v>
      </c>
      <c r="N9" s="791" t="s">
        <v>470</v>
      </c>
      <c r="O9" s="791" t="s">
        <v>470</v>
      </c>
    </row>
    <row r="10" spans="1:20" ht="15" customHeight="1" thickBot="1">
      <c r="A10" s="785">
        <f t="shared" si="0"/>
        <v>4</v>
      </c>
      <c r="N10" s="792">
        <f>+'MCC-2 page 31-45'!BL13</f>
        <v>0</v>
      </c>
      <c r="O10" s="792">
        <f>1-N10</f>
        <v>1</v>
      </c>
    </row>
    <row r="11" spans="1:20" ht="15" customHeight="1">
      <c r="A11" s="785">
        <f t="shared" si="0"/>
        <v>5</v>
      </c>
      <c r="N11" s="791" t="s">
        <v>469</v>
      </c>
      <c r="O11" s="791" t="s">
        <v>469</v>
      </c>
    </row>
    <row r="12" spans="1:20" ht="15" customHeight="1" thickBot="1">
      <c r="A12" s="785">
        <f t="shared" si="0"/>
        <v>6</v>
      </c>
      <c r="N12" s="792">
        <f>+'MCC-2 page 31-45'!BL14</f>
        <v>3.6321942459646706E-2</v>
      </c>
      <c r="O12" s="792">
        <f>1-N12</f>
        <v>0.96367805754035329</v>
      </c>
    </row>
    <row r="13" spans="1:20" ht="15" customHeight="1">
      <c r="A13" s="785">
        <f t="shared" si="0"/>
        <v>7</v>
      </c>
      <c r="E13" s="786" t="s">
        <v>725</v>
      </c>
      <c r="F13" s="786" t="s">
        <v>723</v>
      </c>
      <c r="G13" s="786" t="s">
        <v>59</v>
      </c>
      <c r="H13" s="786" t="s">
        <v>59</v>
      </c>
      <c r="I13" s="786" t="s">
        <v>336</v>
      </c>
      <c r="J13" s="793" t="s">
        <v>726</v>
      </c>
      <c r="K13" s="786" t="s">
        <v>468</v>
      </c>
      <c r="L13" s="786" t="s">
        <v>53</v>
      </c>
      <c r="M13" s="805" t="s">
        <v>911</v>
      </c>
      <c r="N13" s="786" t="s">
        <v>60</v>
      </c>
      <c r="O13" s="794" t="s">
        <v>216</v>
      </c>
    </row>
    <row r="14" spans="1:20">
      <c r="A14" s="785">
        <f t="shared" si="0"/>
        <v>8</v>
      </c>
      <c r="B14" s="786" t="s">
        <v>61</v>
      </c>
      <c r="C14" s="786" t="s">
        <v>467</v>
      </c>
      <c r="E14" s="795">
        <v>42643</v>
      </c>
      <c r="F14" s="795" t="s">
        <v>724</v>
      </c>
      <c r="G14" s="786" t="s">
        <v>571</v>
      </c>
      <c r="H14" s="786" t="s">
        <v>572</v>
      </c>
      <c r="I14" s="786" t="s">
        <v>302</v>
      </c>
      <c r="J14" s="793" t="s">
        <v>727</v>
      </c>
      <c r="K14" s="795">
        <v>43465</v>
      </c>
      <c r="L14" s="786" t="s">
        <v>466</v>
      </c>
      <c r="M14" s="805" t="s">
        <v>77</v>
      </c>
      <c r="N14" s="786" t="s">
        <v>62</v>
      </c>
      <c r="O14" s="794" t="s">
        <v>465</v>
      </c>
    </row>
    <row r="15" spans="1:20">
      <c r="A15" s="785">
        <f t="shared" si="0"/>
        <v>9</v>
      </c>
      <c r="B15" s="786" t="s">
        <v>787</v>
      </c>
      <c r="C15" s="786" t="s">
        <v>539</v>
      </c>
      <c r="D15" s="786" t="s">
        <v>788</v>
      </c>
      <c r="E15" s="795" t="s">
        <v>789</v>
      </c>
      <c r="F15" s="795" t="s">
        <v>790</v>
      </c>
      <c r="G15" s="786" t="s">
        <v>791</v>
      </c>
      <c r="H15" s="786" t="s">
        <v>792</v>
      </c>
      <c r="I15" s="786" t="s">
        <v>793</v>
      </c>
      <c r="J15" s="793"/>
      <c r="K15" s="795" t="s">
        <v>794</v>
      </c>
      <c r="L15" s="786" t="s">
        <v>795</v>
      </c>
      <c r="M15" s="805"/>
      <c r="N15" s="786" t="s">
        <v>796</v>
      </c>
      <c r="O15" s="794" t="s">
        <v>797</v>
      </c>
    </row>
    <row r="16" spans="1:20">
      <c r="A16" s="785">
        <f t="shared" si="0"/>
        <v>10</v>
      </c>
      <c r="B16" s="796">
        <v>501</v>
      </c>
      <c r="C16" s="796" t="s">
        <v>459</v>
      </c>
      <c r="D16" s="797" t="s">
        <v>63</v>
      </c>
      <c r="E16" s="798">
        <f>+'[56]TY Pwr Cost'!$B$3</f>
        <v>85246014.709999993</v>
      </c>
      <c r="F16" s="798">
        <v>0</v>
      </c>
      <c r="G16" s="798">
        <v>0</v>
      </c>
      <c r="H16" s="798">
        <v>0</v>
      </c>
      <c r="I16" s="798">
        <f t="shared" ref="I16:I23" si="1">SUM(E16:H16)</f>
        <v>85246014.709999993</v>
      </c>
      <c r="J16" s="798"/>
      <c r="K16" s="799">
        <v>80937646.596223667</v>
      </c>
      <c r="L16" s="798">
        <v>0</v>
      </c>
      <c r="M16" s="832"/>
      <c r="N16" s="799">
        <f t="shared" ref="N16:N23" si="2">SUM(K16:M16)</f>
        <v>80937646.596223667</v>
      </c>
      <c r="O16" s="799">
        <f t="shared" ref="O16:O23" si="3">IF(C16="v",N16*$O$12,N16*$O$10)</f>
        <v>77997834.053736418</v>
      </c>
      <c r="P16" s="800"/>
      <c r="Q16" s="800"/>
      <c r="R16" s="800"/>
      <c r="S16" s="800"/>
      <c r="T16" s="800"/>
    </row>
    <row r="17" spans="1:20">
      <c r="A17" s="785">
        <f t="shared" si="0"/>
        <v>11</v>
      </c>
      <c r="B17" s="786">
        <v>547</v>
      </c>
      <c r="C17" s="786" t="s">
        <v>459</v>
      </c>
      <c r="D17" s="785" t="s">
        <v>464</v>
      </c>
      <c r="E17" s="800">
        <f>+'[56]TY Pwr Cost'!$B$32</f>
        <v>149756871.78999999</v>
      </c>
      <c r="F17" s="800"/>
      <c r="G17" s="800"/>
      <c r="H17" s="801"/>
      <c r="I17" s="800">
        <f t="shared" si="1"/>
        <v>149756871.78999999</v>
      </c>
      <c r="J17" s="802">
        <f>+[11]Allocated!$B$18-I17-I16</f>
        <v>0</v>
      </c>
      <c r="K17" s="803">
        <v>131807167.11421369</v>
      </c>
      <c r="L17" s="801"/>
      <c r="M17" s="801"/>
      <c r="N17" s="803">
        <f t="shared" si="2"/>
        <v>131807167.11421369</v>
      </c>
      <c r="O17" s="804">
        <f t="shared" si="3"/>
        <v>127019674.77452219</v>
      </c>
      <c r="P17" s="800"/>
      <c r="Q17" s="800"/>
      <c r="R17" s="800"/>
      <c r="S17" s="800"/>
      <c r="T17" s="800"/>
    </row>
    <row r="18" spans="1:20">
      <c r="A18" s="785">
        <f t="shared" si="0"/>
        <v>12</v>
      </c>
      <c r="B18" s="805">
        <v>555</v>
      </c>
      <c r="C18" s="805" t="s">
        <v>459</v>
      </c>
      <c r="D18" s="806" t="s">
        <v>64</v>
      </c>
      <c r="E18" s="801">
        <f>+'[56]TY Pwr Cost'!$B$7</f>
        <v>375700424.96000004</v>
      </c>
      <c r="F18" s="801">
        <f>+'[56]TY Pwr Cost'!$C$9+'[56]TY Pwr Cost'!$C$10</f>
        <v>147337570.84999999</v>
      </c>
      <c r="G18" s="801"/>
      <c r="H18" s="801"/>
      <c r="I18" s="801">
        <f t="shared" si="1"/>
        <v>523037995.81000006</v>
      </c>
      <c r="J18" s="802"/>
      <c r="K18" s="803">
        <v>449463673.65744489</v>
      </c>
      <c r="L18" s="801"/>
      <c r="M18" s="801">
        <f>'[57]Power Cost Adjustment'!$M$18</f>
        <v>-29736626</v>
      </c>
      <c r="N18" s="803">
        <f t="shared" si="2"/>
        <v>419727047.65744489</v>
      </c>
      <c r="O18" s="804">
        <f t="shared" si="3"/>
        <v>404481745.98367381</v>
      </c>
      <c r="P18" s="800"/>
      <c r="Q18" s="800"/>
      <c r="R18" s="800"/>
      <c r="S18" s="800"/>
      <c r="T18" s="800"/>
    </row>
    <row r="19" spans="1:20">
      <c r="A19" s="785">
        <f t="shared" si="0"/>
        <v>13</v>
      </c>
      <c r="B19" s="805">
        <v>557</v>
      </c>
      <c r="C19" s="805" t="s">
        <v>460</v>
      </c>
      <c r="D19" s="806" t="s">
        <v>65</v>
      </c>
      <c r="E19" s="801">
        <f>+'[56]TY Pwr Cost'!$B$15-E20</f>
        <v>10715287.84</v>
      </c>
      <c r="F19" s="801"/>
      <c r="G19" s="801">
        <f>+'[56]TY Pwr Cost'!$D$18</f>
        <v>-1364051.1099999999</v>
      </c>
      <c r="H19" s="801">
        <f>+'[56]TY Pwr Cost'!$D$17</f>
        <v>-368615.64</v>
      </c>
      <c r="I19" s="801">
        <f t="shared" si="1"/>
        <v>8982621.0899999999</v>
      </c>
      <c r="J19" s="802"/>
      <c r="K19" s="801">
        <v>11163253.910000002</v>
      </c>
      <c r="L19" s="801">
        <f>SUM(G19:H19)</f>
        <v>-1732666.75</v>
      </c>
      <c r="M19" s="801">
        <f>'[57]Power Cost Adjustment'!$M$19</f>
        <v>-2933246.43</v>
      </c>
      <c r="N19" s="800">
        <f t="shared" si="2"/>
        <v>6497340.7300000023</v>
      </c>
      <c r="O19" s="801">
        <f t="shared" si="3"/>
        <v>6497340.7300000023</v>
      </c>
      <c r="P19" s="800"/>
      <c r="Q19" s="800"/>
      <c r="R19" s="800"/>
      <c r="S19" s="800"/>
      <c r="T19" s="800"/>
    </row>
    <row r="20" spans="1:20">
      <c r="A20" s="785">
        <f t="shared" si="0"/>
        <v>14</v>
      </c>
      <c r="B20" s="805">
        <v>557</v>
      </c>
      <c r="C20" s="805" t="s">
        <v>459</v>
      </c>
      <c r="D20" s="806" t="s">
        <v>447</v>
      </c>
      <c r="E20" s="801">
        <f>+'[56]12ME Sept 16 SAP'!$B$233</f>
        <v>325842.46999999997</v>
      </c>
      <c r="F20" s="801"/>
      <c r="G20" s="801"/>
      <c r="H20" s="801"/>
      <c r="I20" s="801">
        <f t="shared" si="1"/>
        <v>325842.46999999997</v>
      </c>
      <c r="J20" s="802">
        <f>+[11]Allocated!$B$19-SUM(I18:I20)</f>
        <v>0</v>
      </c>
      <c r="K20" s="801">
        <f>+I20</f>
        <v>325842.46999999997</v>
      </c>
      <c r="L20" s="801"/>
      <c r="M20" s="801"/>
      <c r="N20" s="800">
        <f t="shared" si="2"/>
        <v>325842.46999999997</v>
      </c>
      <c r="O20" s="801">
        <f t="shared" si="3"/>
        <v>314007.23855375079</v>
      </c>
      <c r="P20" s="800"/>
      <c r="Q20" s="800"/>
      <c r="R20" s="800"/>
      <c r="S20" s="800"/>
      <c r="T20" s="800"/>
    </row>
    <row r="21" spans="1:20">
      <c r="A21" s="785">
        <f t="shared" si="0"/>
        <v>15</v>
      </c>
      <c r="B21" s="805">
        <v>565</v>
      </c>
      <c r="C21" s="805" t="s">
        <v>459</v>
      </c>
      <c r="D21" s="806" t="s">
        <v>66</v>
      </c>
      <c r="E21" s="801">
        <f>+'[56]TY Pwr Cost'!$B$38</f>
        <v>113800193.22</v>
      </c>
      <c r="F21" s="801"/>
      <c r="G21" s="801"/>
      <c r="H21" s="801"/>
      <c r="I21" s="801">
        <f t="shared" si="1"/>
        <v>113800193.22</v>
      </c>
      <c r="J21" s="807">
        <f>+[11]Allocated!$B$20-I21</f>
        <v>-9.9837779998779297E-7</v>
      </c>
      <c r="K21" s="804">
        <v>112895258.48344906</v>
      </c>
      <c r="L21" s="801"/>
      <c r="M21" s="801"/>
      <c r="N21" s="803">
        <f t="shared" si="2"/>
        <v>112895258.48344906</v>
      </c>
      <c r="O21" s="804">
        <f t="shared" si="3"/>
        <v>108794683.40084627</v>
      </c>
      <c r="P21" s="800"/>
      <c r="Q21" s="800"/>
      <c r="R21" s="800"/>
      <c r="S21" s="800"/>
      <c r="T21" s="800"/>
    </row>
    <row r="22" spans="1:20">
      <c r="A22" s="785">
        <f t="shared" si="0"/>
        <v>16</v>
      </c>
      <c r="B22" s="805">
        <v>447</v>
      </c>
      <c r="C22" s="805" t="s">
        <v>459</v>
      </c>
      <c r="D22" s="806" t="s">
        <v>71</v>
      </c>
      <c r="E22" s="801">
        <f>+'[56]TY Pwr Cost'!$B$52</f>
        <v>-53788170.890000015</v>
      </c>
      <c r="F22" s="801">
        <f>+'[56]TY Pwr Cost'!$C$54+'[56]TY Pwr Cost'!$C$55</f>
        <v>-147337570.84999999</v>
      </c>
      <c r="G22" s="801"/>
      <c r="H22" s="801"/>
      <c r="I22" s="801">
        <f t="shared" si="1"/>
        <v>-201125741.74000001</v>
      </c>
      <c r="J22" s="807">
        <f>-[11]Allocated!$B$11-I22</f>
        <v>1.0132789611816406E-6</v>
      </c>
      <c r="K22" s="804">
        <v>-31347929.943269141</v>
      </c>
      <c r="L22" s="801"/>
      <c r="M22" s="801">
        <f>'[57]Power Cost Adjustment'!$M$22</f>
        <v>8470763.4342022389</v>
      </c>
      <c r="N22" s="803">
        <f t="shared" si="2"/>
        <v>-22877166.509066902</v>
      </c>
      <c r="O22" s="804">
        <f t="shared" si="3"/>
        <v>-22046223.383484818</v>
      </c>
      <c r="P22" s="800"/>
      <c r="Q22" s="800"/>
      <c r="R22" s="800"/>
      <c r="S22" s="800"/>
      <c r="T22" s="800"/>
    </row>
    <row r="23" spans="1:20">
      <c r="A23" s="785">
        <f t="shared" si="0"/>
        <v>17</v>
      </c>
      <c r="B23" s="805">
        <v>456</v>
      </c>
      <c r="C23" s="805" t="s">
        <v>459</v>
      </c>
      <c r="D23" s="806" t="s">
        <v>463</v>
      </c>
      <c r="E23" s="801">
        <f>+'[56]TY Pwr Cost'!$B$58</f>
        <v>18023677.969999999</v>
      </c>
      <c r="F23" s="801"/>
      <c r="G23" s="801"/>
      <c r="H23" s="801"/>
      <c r="I23" s="801">
        <f t="shared" si="1"/>
        <v>18023677.969999999</v>
      </c>
      <c r="J23" s="802">
        <f>+'[56]TY Pwr Cost'!$F$58-I23</f>
        <v>0</v>
      </c>
      <c r="K23" s="804">
        <v>-17534562.077414308</v>
      </c>
      <c r="L23" s="801"/>
      <c r="M23" s="801"/>
      <c r="N23" s="803">
        <f t="shared" si="2"/>
        <v>-17534562.077414308</v>
      </c>
      <c r="O23" s="804">
        <f t="shared" si="3"/>
        <v>-16897672.722583361</v>
      </c>
      <c r="P23" s="800"/>
      <c r="Q23" s="800"/>
      <c r="R23" s="800"/>
      <c r="S23" s="800"/>
      <c r="T23" s="800"/>
    </row>
    <row r="24" spans="1:20">
      <c r="A24" s="785">
        <f t="shared" si="0"/>
        <v>18</v>
      </c>
      <c r="B24" s="808" t="s">
        <v>462</v>
      </c>
      <c r="C24" s="805"/>
      <c r="D24" s="806"/>
      <c r="E24" s="809">
        <f>SUM(E16:E23)</f>
        <v>699780142.07000017</v>
      </c>
      <c r="F24" s="809">
        <f>SUM(F16:F23)</f>
        <v>0</v>
      </c>
      <c r="G24" s="809">
        <f>SUM(G16:G23)</f>
        <v>-1364051.1099999999</v>
      </c>
      <c r="H24" s="809">
        <f>SUM(H16:H23)</f>
        <v>-368615.64</v>
      </c>
      <c r="I24" s="809">
        <f>SUM(I16:I23)</f>
        <v>698047475.32000017</v>
      </c>
      <c r="J24" s="810"/>
      <c r="K24" s="811">
        <f>SUM(K16:K23)</f>
        <v>737710350.21064794</v>
      </c>
      <c r="L24" s="809">
        <f>SUM(L16:L23)</f>
        <v>-1732666.75</v>
      </c>
      <c r="M24" s="809">
        <f>SUM(M16:M23)</f>
        <v>-24199108.995797761</v>
      </c>
      <c r="N24" s="812">
        <f>SUM(N16:N23)</f>
        <v>711778574.46485019</v>
      </c>
      <c r="O24" s="811">
        <f>SUM(O16:O23)</f>
        <v>686161390.07526422</v>
      </c>
      <c r="P24" s="800"/>
      <c r="Q24" s="800"/>
      <c r="R24" s="800"/>
      <c r="S24" s="800"/>
      <c r="T24" s="800"/>
    </row>
    <row r="25" spans="1:20">
      <c r="A25" s="785">
        <f t="shared" si="0"/>
        <v>19</v>
      </c>
      <c r="B25" s="805"/>
      <c r="C25" s="805"/>
      <c r="D25" s="813" t="s">
        <v>445</v>
      </c>
      <c r="E25" s="807">
        <f>+'[56]TY Pwr Cost'!$B$75-E24</f>
        <v>0</v>
      </c>
      <c r="F25" s="807"/>
      <c r="G25" s="807"/>
      <c r="H25" s="813"/>
      <c r="I25" s="807"/>
      <c r="J25" s="800"/>
      <c r="K25" s="800"/>
      <c r="L25" s="800"/>
      <c r="M25" s="801"/>
      <c r="N25" s="814"/>
      <c r="O25" s="807"/>
      <c r="P25" s="800"/>
      <c r="Q25" s="800"/>
      <c r="R25" s="800"/>
      <c r="S25" s="800"/>
      <c r="T25" s="800"/>
    </row>
    <row r="26" spans="1:20">
      <c r="A26" s="785">
        <f t="shared" si="0"/>
        <v>20</v>
      </c>
      <c r="B26" s="805" t="s">
        <v>212</v>
      </c>
      <c r="C26" s="805" t="s">
        <v>460</v>
      </c>
      <c r="D26" s="806" t="s">
        <v>337</v>
      </c>
      <c r="E26" s="801">
        <f>+'[56]TY Pwr Cost'!$B$46</f>
        <v>133910147</v>
      </c>
      <c r="F26" s="801"/>
      <c r="G26" s="801">
        <f>+'[56]TY Pwr Cost'!$D$49</f>
        <v>-6304989.3199999994</v>
      </c>
      <c r="H26" s="801">
        <f>+'[56]TY Pwr Cost'!$D$48</f>
        <v>-1707720.6600000001</v>
      </c>
      <c r="I26" s="801">
        <f>SUM(E26:H26)</f>
        <v>125897437.02000001</v>
      </c>
      <c r="J26" s="810">
        <f>+[11]Allocated!$B$24-I26</f>
        <v>0</v>
      </c>
      <c r="K26" s="801">
        <v>147018434.04146132</v>
      </c>
      <c r="L26" s="801">
        <f>SUM(G26:H26)</f>
        <v>-8012709.9799999995</v>
      </c>
      <c r="M26" s="801"/>
      <c r="N26" s="800">
        <f>SUM(K26:L26)</f>
        <v>139005724.06146133</v>
      </c>
      <c r="O26" s="801">
        <f>IF(C26="v",N26*$O$12,N26*$O$10)</f>
        <v>139005724.06146133</v>
      </c>
      <c r="P26" s="800"/>
      <c r="Q26" s="800"/>
      <c r="R26" s="800"/>
      <c r="S26" s="800"/>
      <c r="T26" s="800"/>
    </row>
    <row r="27" spans="1:20">
      <c r="A27" s="785">
        <f t="shared" si="0"/>
        <v>21</v>
      </c>
      <c r="B27" s="805" t="s">
        <v>212</v>
      </c>
      <c r="C27" s="805" t="s">
        <v>460</v>
      </c>
      <c r="D27" s="806" t="s">
        <v>461</v>
      </c>
      <c r="E27" s="801">
        <f>+'[56]TY Pwr Cost'!$B$60</f>
        <v>662134.87</v>
      </c>
      <c r="F27" s="801"/>
      <c r="G27" s="801"/>
      <c r="H27" s="801"/>
      <c r="I27" s="801">
        <f>SUM(E27:H27)</f>
        <v>662134.87</v>
      </c>
      <c r="J27" s="810">
        <f>+'[56]TY Pwr Cost'!$F$60-I27</f>
        <v>0</v>
      </c>
      <c r="K27" s="801">
        <f>+I27</f>
        <v>662134.87</v>
      </c>
      <c r="L27" s="801"/>
      <c r="M27" s="801"/>
      <c r="N27" s="800">
        <f>SUM(K27:L27)</f>
        <v>662134.87</v>
      </c>
      <c r="O27" s="801">
        <f>IF(C27="v",N27*$O$12,N27*$O$10)</f>
        <v>662134.87</v>
      </c>
      <c r="P27" s="800"/>
      <c r="Q27" s="800"/>
      <c r="R27" s="800"/>
      <c r="S27" s="800"/>
      <c r="T27" s="800"/>
    </row>
    <row r="28" spans="1:20">
      <c r="A28" s="785">
        <f t="shared" si="0"/>
        <v>22</v>
      </c>
      <c r="B28" s="805" t="s">
        <v>338</v>
      </c>
      <c r="C28" s="805" t="s">
        <v>460</v>
      </c>
      <c r="D28" s="806" t="s">
        <v>664</v>
      </c>
      <c r="E28" s="801">
        <f>+'[56]TY Pwr Cost'!$B$44</f>
        <v>-8228548.5899999999</v>
      </c>
      <c r="F28" s="801"/>
      <c r="G28" s="801"/>
      <c r="H28" s="801"/>
      <c r="I28" s="801">
        <f>SUM(E28:H28)</f>
        <v>-8228548.5899999999</v>
      </c>
      <c r="J28" s="810">
        <f>+'[56]TY Pwr Cost'!$F$44-I28</f>
        <v>0</v>
      </c>
      <c r="K28" s="800">
        <v>-9944078.2818932347</v>
      </c>
      <c r="L28" s="801"/>
      <c r="M28" s="801"/>
      <c r="N28" s="800">
        <f>SUM(K28:L28)</f>
        <v>-9944078.2818932347</v>
      </c>
      <c r="O28" s="801">
        <f>IF(C28="v",N28*$O$12,N28*$O$10)</f>
        <v>-9944078.2818932347</v>
      </c>
      <c r="P28" s="800"/>
      <c r="Q28" s="800"/>
      <c r="R28" s="800"/>
      <c r="S28" s="800"/>
      <c r="T28" s="800"/>
    </row>
    <row r="29" spans="1:20">
      <c r="A29" s="785">
        <f t="shared" si="0"/>
        <v>23</v>
      </c>
      <c r="B29" s="805" t="s">
        <v>339</v>
      </c>
      <c r="C29" s="805" t="s">
        <v>459</v>
      </c>
      <c r="D29" s="806" t="s">
        <v>340</v>
      </c>
      <c r="E29" s="801"/>
      <c r="F29" s="801"/>
      <c r="G29" s="801"/>
      <c r="H29" s="801"/>
      <c r="I29" s="801">
        <f>SUM(E29:H29)</f>
        <v>0</v>
      </c>
      <c r="J29" s="810"/>
      <c r="K29" s="800">
        <v>4959911.9999999991</v>
      </c>
      <c r="L29" s="801"/>
      <c r="M29" s="801"/>
      <c r="N29" s="800">
        <f>SUM(K29:L29)</f>
        <v>4959911.9999999991</v>
      </c>
      <c r="O29" s="801">
        <f>IF(C29="v",N29*$O$12,N29*$O$10)</f>
        <v>4779758.3617310878</v>
      </c>
      <c r="P29" s="800"/>
      <c r="Q29" s="800"/>
      <c r="R29" s="800"/>
      <c r="S29" s="800"/>
      <c r="T29" s="800"/>
    </row>
    <row r="30" spans="1:20" ht="15.75" thickBot="1">
      <c r="A30" s="785">
        <f t="shared" si="0"/>
        <v>24</v>
      </c>
      <c r="B30" s="815" t="s">
        <v>458</v>
      </c>
      <c r="E30" s="816">
        <f>SUM(E24:E29)</f>
        <v>826123875.35000014</v>
      </c>
      <c r="F30" s="816">
        <f>SUM(F24:F29)</f>
        <v>0</v>
      </c>
      <c r="G30" s="816">
        <f>SUM(G24:G29)</f>
        <v>-7669040.4299999997</v>
      </c>
      <c r="H30" s="816">
        <f>SUM(H24:H29)</f>
        <v>-2076336.3000000003</v>
      </c>
      <c r="I30" s="816">
        <f>SUM(I24:I29)</f>
        <v>816378498.62000012</v>
      </c>
      <c r="J30" s="816"/>
      <c r="K30" s="817">
        <f>SUM(K24:K29)</f>
        <v>880406752.84021604</v>
      </c>
      <c r="L30" s="816">
        <f>SUM(L24:L29)</f>
        <v>-9745376.7300000004</v>
      </c>
      <c r="M30" s="816">
        <f>SUM(M24:M29)</f>
        <v>-24199108.995797761</v>
      </c>
      <c r="N30" s="817">
        <f>SUM(N24:N29)</f>
        <v>846462267.11441827</v>
      </c>
      <c r="O30" s="817">
        <f>SUM(O24:O29)</f>
        <v>820664929.08656335</v>
      </c>
      <c r="P30" s="800"/>
      <c r="Q30" s="800"/>
      <c r="R30" s="800"/>
      <c r="S30" s="800"/>
      <c r="T30" s="800"/>
    </row>
    <row r="31" spans="1:20" ht="15.75" thickTop="1">
      <c r="D31" s="813" t="s">
        <v>445</v>
      </c>
      <c r="E31" s="807">
        <f>+'[56]TY Pwr Cost'!$B$64-E30</f>
        <v>0</v>
      </c>
      <c r="F31" s="807"/>
      <c r="G31" s="807"/>
      <c r="H31" s="813" t="s">
        <v>445</v>
      </c>
      <c r="I31" s="807">
        <f>+'[56]TY Pwr Cost'!$F$66-I30</f>
        <v>0</v>
      </c>
      <c r="J31" s="800"/>
      <c r="K31" s="800"/>
      <c r="L31" s="800"/>
      <c r="M31" s="801"/>
      <c r="N31" s="814" t="s">
        <v>445</v>
      </c>
      <c r="O31" s="807">
        <f>+'MCC-2 page 31-45'!D26-O30</f>
        <v>0</v>
      </c>
      <c r="P31" s="800"/>
      <c r="Q31" s="800"/>
      <c r="R31" s="800"/>
      <c r="S31" s="800"/>
      <c r="T31" s="800"/>
    </row>
    <row r="32" spans="1:20">
      <c r="D32" s="640" t="s">
        <v>852</v>
      </c>
      <c r="E32" s="807"/>
      <c r="F32" s="807"/>
      <c r="G32" s="807"/>
      <c r="H32" s="813" t="s">
        <v>445</v>
      </c>
      <c r="I32" s="807">
        <f>'MCC-2 page 31-45'!C26-I30</f>
        <v>0</v>
      </c>
      <c r="J32" s="800"/>
      <c r="K32" s="800"/>
      <c r="L32" s="800"/>
      <c r="M32" s="800"/>
      <c r="N32" s="814" t="s">
        <v>445</v>
      </c>
      <c r="O32" s="807">
        <f>(N24-N19+N29)*N12+SUM(N19,N26:N28)*N10+(O30-N30)</f>
        <v>-1.4156103134155273E-7</v>
      </c>
      <c r="P32" s="800"/>
      <c r="Q32" s="800"/>
      <c r="R32" s="800"/>
      <c r="S32" s="800"/>
      <c r="T32" s="800"/>
    </row>
    <row r="34" spans="4:16">
      <c r="D34" s="213"/>
      <c r="E34" s="213"/>
      <c r="F34" s="213"/>
      <c r="G34" s="213"/>
      <c r="H34" s="213"/>
      <c r="I34" s="213"/>
      <c r="J34" s="213"/>
      <c r="K34" s="213"/>
      <c r="L34" s="213"/>
      <c r="M34" s="213"/>
      <c r="N34" s="213"/>
      <c r="O34" s="213"/>
      <c r="P34" s="213"/>
    </row>
    <row r="35" spans="4:16">
      <c r="D35" s="213"/>
      <c r="E35" s="213"/>
      <c r="F35" s="213"/>
      <c r="G35" s="213"/>
      <c r="H35" s="213"/>
      <c r="I35" s="213"/>
      <c r="J35" s="213"/>
      <c r="K35" s="213"/>
      <c r="L35" s="213"/>
      <c r="M35" s="213"/>
      <c r="N35" s="213"/>
      <c r="O35" s="213"/>
      <c r="P35" s="213"/>
    </row>
    <row r="36" spans="4:16">
      <c r="D36" s="213"/>
      <c r="E36" s="213"/>
      <c r="F36" s="213"/>
      <c r="G36" s="213"/>
      <c r="H36" s="213"/>
      <c r="I36" s="213"/>
      <c r="J36" s="213"/>
      <c r="K36" s="213"/>
      <c r="L36" s="213"/>
      <c r="M36" s="213"/>
      <c r="N36" s="213"/>
      <c r="O36" s="213"/>
      <c r="P36" s="213"/>
    </row>
    <row r="37" spans="4:16">
      <c r="D37" s="213"/>
      <c r="E37" s="213"/>
      <c r="F37" s="213"/>
      <c r="G37" s="213"/>
      <c r="H37" s="213"/>
      <c r="I37" s="213"/>
      <c r="J37" s="213"/>
      <c r="K37" s="213"/>
      <c r="L37" s="213"/>
      <c r="M37" s="213"/>
      <c r="N37" s="213"/>
      <c r="O37" s="213"/>
      <c r="P37" s="213"/>
    </row>
    <row r="38" spans="4:16">
      <c r="D38" s="213"/>
      <c r="E38" s="213"/>
      <c r="F38" s="213"/>
      <c r="G38" s="213"/>
      <c r="H38" s="213"/>
      <c r="I38" s="213"/>
      <c r="J38" s="213"/>
      <c r="K38" s="213"/>
      <c r="L38" s="213"/>
      <c r="M38" s="213"/>
      <c r="N38" s="213"/>
      <c r="O38" s="213"/>
      <c r="P38" s="213"/>
    </row>
    <row r="39" spans="4:16">
      <c r="D39" s="213"/>
      <c r="E39" s="213"/>
      <c r="F39" s="213"/>
      <c r="G39" s="213"/>
      <c r="H39" s="213"/>
      <c r="I39" s="213"/>
      <c r="J39" s="213"/>
      <c r="K39" s="213"/>
      <c r="L39" s="213"/>
      <c r="M39" s="213"/>
      <c r="N39" s="213"/>
      <c r="O39" s="213"/>
      <c r="P39" s="213"/>
    </row>
    <row r="40" spans="4:16">
      <c r="D40" s="213"/>
      <c r="E40" s="213"/>
      <c r="F40" s="213"/>
      <c r="G40" s="213"/>
      <c r="H40" s="213"/>
      <c r="I40" s="213"/>
      <c r="J40" s="213"/>
      <c r="K40" s="213"/>
      <c r="L40" s="213"/>
      <c r="M40" s="213"/>
      <c r="N40" s="213"/>
      <c r="O40" s="213"/>
      <c r="P40" s="213"/>
    </row>
    <row r="41" spans="4:16">
      <c r="D41" s="213"/>
      <c r="E41" s="213"/>
      <c r="F41" s="213"/>
      <c r="G41" s="213"/>
      <c r="H41" s="213"/>
      <c r="I41" s="213"/>
      <c r="J41" s="213"/>
      <c r="K41" s="213"/>
      <c r="L41" s="213"/>
      <c r="M41" s="213"/>
      <c r="N41" s="213"/>
      <c r="O41" s="213"/>
      <c r="P41" s="213"/>
    </row>
    <row r="42" spans="4:16">
      <c r="D42" s="213"/>
      <c r="E42" s="213"/>
      <c r="F42" s="213"/>
      <c r="G42" s="213"/>
      <c r="H42" s="213"/>
      <c r="I42" s="213"/>
      <c r="J42" s="213"/>
      <c r="K42" s="213"/>
      <c r="L42" s="213"/>
      <c r="M42" s="213"/>
      <c r="N42" s="213"/>
      <c r="O42" s="213"/>
      <c r="P42" s="213"/>
    </row>
    <row r="43" spans="4:16">
      <c r="D43" s="213"/>
      <c r="E43" s="213"/>
      <c r="F43" s="213"/>
      <c r="G43" s="213"/>
      <c r="H43" s="213"/>
      <c r="I43" s="213"/>
      <c r="J43" s="213"/>
      <c r="K43" s="213"/>
      <c r="L43" s="213"/>
      <c r="M43" s="213"/>
      <c r="N43" s="213"/>
      <c r="O43" s="213"/>
      <c r="P43" s="213"/>
    </row>
    <row r="44" spans="4:16">
      <c r="D44" s="213"/>
      <c r="E44" s="213"/>
      <c r="F44" s="213"/>
      <c r="G44" s="213"/>
      <c r="H44" s="213"/>
      <c r="I44" s="213"/>
      <c r="J44" s="213"/>
      <c r="K44" s="213"/>
      <c r="L44" s="213"/>
      <c r="M44" s="213"/>
      <c r="N44" s="213"/>
      <c r="O44" s="213"/>
      <c r="P44" s="213"/>
    </row>
    <row r="45" spans="4:16">
      <c r="D45" s="213"/>
      <c r="E45" s="213"/>
      <c r="F45" s="213"/>
      <c r="G45" s="213"/>
      <c r="H45" s="213"/>
      <c r="I45" s="213"/>
      <c r="J45" s="213"/>
      <c r="K45" s="213"/>
      <c r="L45" s="213"/>
      <c r="M45" s="213"/>
      <c r="N45" s="213"/>
      <c r="O45" s="213"/>
      <c r="P45" s="213"/>
    </row>
    <row r="46" spans="4:16">
      <c r="D46" s="213"/>
      <c r="E46" s="213"/>
      <c r="F46" s="213"/>
      <c r="G46" s="213"/>
      <c r="H46" s="213"/>
      <c r="I46" s="213"/>
      <c r="J46" s="213"/>
      <c r="K46" s="213"/>
      <c r="L46" s="213"/>
      <c r="M46" s="213"/>
      <c r="N46" s="213"/>
      <c r="O46" s="213"/>
      <c r="P46" s="213"/>
    </row>
    <row r="47" spans="4:16">
      <c r="D47" s="213"/>
      <c r="E47" s="213"/>
      <c r="F47" s="213"/>
      <c r="G47" s="213"/>
      <c r="H47" s="213"/>
      <c r="I47" s="213"/>
      <c r="J47" s="213"/>
      <c r="K47" s="213"/>
      <c r="L47" s="213"/>
      <c r="M47" s="213"/>
      <c r="N47" s="213"/>
      <c r="O47" s="213"/>
      <c r="P47" s="213"/>
    </row>
    <row r="48" spans="4:16">
      <c r="D48" s="213"/>
      <c r="E48" s="213"/>
      <c r="F48" s="213"/>
      <c r="G48" s="213"/>
      <c r="H48" s="213"/>
      <c r="I48" s="213"/>
      <c r="J48" s="213"/>
      <c r="K48" s="213"/>
      <c r="L48" s="213"/>
      <c r="M48" s="213"/>
      <c r="N48" s="213"/>
      <c r="O48" s="213"/>
      <c r="P48" s="213"/>
    </row>
    <row r="49" spans="4:16">
      <c r="D49" s="213"/>
      <c r="E49" s="213"/>
      <c r="F49" s="213"/>
      <c r="G49" s="213"/>
      <c r="H49" s="213"/>
      <c r="I49" s="213"/>
      <c r="J49" s="213"/>
      <c r="K49" s="213"/>
      <c r="L49" s="213"/>
      <c r="M49" s="213"/>
      <c r="N49" s="213"/>
      <c r="O49" s="213"/>
      <c r="P49" s="213"/>
    </row>
    <row r="50" spans="4:16">
      <c r="D50" s="213"/>
      <c r="E50" s="213"/>
      <c r="F50" s="213"/>
      <c r="G50" s="213"/>
      <c r="H50" s="213"/>
      <c r="I50" s="213"/>
      <c r="J50" s="213"/>
      <c r="K50" s="213"/>
      <c r="L50" s="213"/>
      <c r="M50" s="213"/>
      <c r="N50" s="213"/>
      <c r="O50" s="213"/>
      <c r="P50" s="213"/>
    </row>
    <row r="51" spans="4:16">
      <c r="D51" s="213"/>
      <c r="E51" s="213"/>
      <c r="F51" s="213"/>
      <c r="G51" s="213"/>
      <c r="H51" s="213"/>
      <c r="I51" s="213"/>
      <c r="J51" s="213"/>
      <c r="K51" s="213"/>
      <c r="L51" s="213"/>
      <c r="M51" s="213"/>
      <c r="N51" s="213"/>
      <c r="O51" s="213"/>
      <c r="P51" s="213"/>
    </row>
    <row r="52" spans="4:16">
      <c r="D52" s="213"/>
      <c r="E52" s="213"/>
      <c r="F52" s="213"/>
      <c r="G52" s="213"/>
      <c r="H52" s="213"/>
      <c r="I52" s="213"/>
      <c r="J52" s="213"/>
      <c r="K52" s="213"/>
      <c r="L52" s="213"/>
      <c r="M52" s="213"/>
      <c r="N52" s="213"/>
      <c r="O52" s="213"/>
      <c r="P52" s="213"/>
    </row>
    <row r="53" spans="4:16">
      <c r="D53" s="213"/>
      <c r="E53" s="213"/>
      <c r="F53" s="213"/>
      <c r="G53" s="213"/>
      <c r="H53" s="213"/>
      <c r="I53" s="213"/>
      <c r="J53" s="213"/>
      <c r="K53" s="213"/>
      <c r="L53" s="213"/>
      <c r="M53" s="213"/>
      <c r="N53" s="213"/>
      <c r="O53" s="213"/>
      <c r="P53" s="213"/>
    </row>
    <row r="54" spans="4:16">
      <c r="D54" s="213"/>
      <c r="E54" s="213"/>
      <c r="F54" s="213"/>
      <c r="G54" s="213"/>
      <c r="H54" s="213"/>
      <c r="I54" s="213"/>
      <c r="J54" s="213"/>
      <c r="K54" s="213"/>
      <c r="L54" s="213"/>
      <c r="M54" s="213"/>
      <c r="N54" s="213"/>
      <c r="O54" s="213"/>
      <c r="P54" s="213"/>
    </row>
    <row r="55" spans="4:16">
      <c r="D55" s="213"/>
      <c r="E55" s="213"/>
      <c r="F55" s="213"/>
      <c r="G55" s="213"/>
      <c r="H55" s="213"/>
      <c r="I55" s="213"/>
      <c r="J55" s="213"/>
      <c r="K55" s="213"/>
      <c r="L55" s="213"/>
      <c r="M55" s="213"/>
      <c r="N55" s="213"/>
      <c r="O55" s="213"/>
      <c r="P55" s="213"/>
    </row>
    <row r="56" spans="4:16">
      <c r="D56" s="213"/>
      <c r="E56" s="213"/>
      <c r="F56" s="213"/>
      <c r="G56" s="213"/>
      <c r="H56" s="213"/>
      <c r="I56" s="213"/>
      <c r="J56" s="213"/>
      <c r="K56" s="213"/>
      <c r="L56" s="213"/>
      <c r="M56" s="213"/>
      <c r="N56" s="213"/>
      <c r="O56" s="213"/>
      <c r="P56" s="213"/>
    </row>
    <row r="57" spans="4:16">
      <c r="D57" s="213"/>
      <c r="E57" s="213"/>
      <c r="F57" s="213"/>
      <c r="G57" s="213"/>
      <c r="H57" s="213"/>
      <c r="I57" s="213"/>
      <c r="J57" s="213"/>
      <c r="K57" s="213"/>
      <c r="L57" s="213"/>
      <c r="M57" s="213"/>
      <c r="N57" s="213"/>
      <c r="O57" s="213"/>
      <c r="P57" s="213"/>
    </row>
    <row r="58" spans="4:16">
      <c r="D58" s="213"/>
      <c r="E58" s="213"/>
      <c r="F58" s="213"/>
      <c r="G58" s="213"/>
      <c r="H58" s="213"/>
      <c r="I58" s="213"/>
      <c r="J58" s="213"/>
      <c r="K58" s="213"/>
      <c r="L58" s="213"/>
      <c r="M58" s="213"/>
      <c r="N58" s="213"/>
      <c r="O58" s="213"/>
      <c r="P58" s="213"/>
    </row>
    <row r="59" spans="4:16">
      <c r="D59" s="213"/>
      <c r="E59" s="213"/>
      <c r="F59" s="213"/>
      <c r="G59" s="213"/>
      <c r="H59" s="213"/>
      <c r="I59" s="213"/>
      <c r="J59" s="213"/>
      <c r="K59" s="213"/>
      <c r="L59" s="213"/>
      <c r="M59" s="213"/>
      <c r="N59" s="213"/>
      <c r="O59" s="213"/>
      <c r="P59" s="213"/>
    </row>
    <row r="60" spans="4:16">
      <c r="D60" s="213"/>
      <c r="E60" s="213"/>
      <c r="F60" s="213"/>
      <c r="G60" s="213"/>
      <c r="H60" s="213"/>
      <c r="I60" s="213"/>
      <c r="J60" s="213"/>
      <c r="K60" s="213"/>
      <c r="L60" s="213"/>
      <c r="M60" s="213"/>
      <c r="N60" s="213"/>
      <c r="O60" s="213"/>
      <c r="P60" s="213"/>
    </row>
    <row r="61" spans="4:16">
      <c r="D61" s="213"/>
      <c r="E61" s="213"/>
      <c r="F61" s="213"/>
      <c r="G61" s="213"/>
      <c r="H61" s="213"/>
      <c r="I61" s="213"/>
      <c r="J61" s="213"/>
      <c r="K61" s="213"/>
      <c r="L61" s="213"/>
      <c r="M61" s="213"/>
      <c r="N61" s="213"/>
      <c r="O61" s="213"/>
      <c r="P61" s="213"/>
    </row>
    <row r="62" spans="4:16">
      <c r="D62" s="213"/>
      <c r="E62" s="213"/>
      <c r="F62" s="213"/>
      <c r="G62" s="213"/>
      <c r="H62" s="213"/>
      <c r="I62" s="213"/>
      <c r="J62" s="213"/>
      <c r="K62" s="213"/>
      <c r="L62" s="213"/>
      <c r="M62" s="213"/>
      <c r="N62" s="213"/>
      <c r="O62" s="213"/>
      <c r="P62" s="213"/>
    </row>
    <row r="63" spans="4:16">
      <c r="D63" s="213"/>
      <c r="E63" s="213"/>
      <c r="F63" s="213"/>
      <c r="G63" s="213"/>
      <c r="H63" s="213"/>
      <c r="I63" s="213"/>
      <c r="J63" s="213"/>
      <c r="K63" s="213"/>
      <c r="L63" s="213"/>
      <c r="M63" s="213"/>
      <c r="N63" s="213"/>
      <c r="O63" s="213"/>
      <c r="P63" s="213"/>
    </row>
    <row r="64" spans="4:16">
      <c r="D64" s="213"/>
      <c r="E64" s="213"/>
      <c r="F64" s="213"/>
      <c r="G64" s="213"/>
      <c r="H64" s="213"/>
      <c r="I64" s="213"/>
      <c r="J64" s="213"/>
      <c r="K64" s="213"/>
      <c r="L64" s="213"/>
      <c r="M64" s="213"/>
      <c r="N64" s="213"/>
      <c r="O64" s="213"/>
      <c r="P64" s="213"/>
    </row>
    <row r="65" spans="4:16">
      <c r="D65" s="213"/>
      <c r="E65" s="213"/>
      <c r="F65" s="213"/>
      <c r="G65" s="213"/>
      <c r="H65" s="213"/>
      <c r="I65" s="213"/>
      <c r="J65" s="213"/>
      <c r="K65" s="213"/>
      <c r="L65" s="213"/>
      <c r="M65" s="213"/>
      <c r="N65" s="213"/>
      <c r="O65" s="213"/>
      <c r="P65" s="213"/>
    </row>
    <row r="66" spans="4:16">
      <c r="D66" s="213"/>
      <c r="E66" s="213"/>
      <c r="F66" s="213"/>
      <c r="G66" s="213"/>
      <c r="H66" s="213"/>
      <c r="I66" s="213"/>
      <c r="J66" s="213"/>
      <c r="K66" s="213"/>
      <c r="L66" s="213"/>
      <c r="M66" s="213"/>
      <c r="N66" s="213"/>
      <c r="O66" s="213"/>
      <c r="P66" s="213"/>
    </row>
    <row r="67" spans="4:16">
      <c r="D67" s="213"/>
      <c r="E67" s="213"/>
      <c r="F67" s="213"/>
      <c r="G67" s="213"/>
      <c r="H67" s="213"/>
      <c r="I67" s="213"/>
      <c r="J67" s="213"/>
      <c r="K67" s="213"/>
      <c r="L67" s="213"/>
      <c r="M67" s="213"/>
      <c r="N67" s="213"/>
      <c r="O67" s="213"/>
      <c r="P67" s="213"/>
    </row>
  </sheetData>
  <pageMargins left="0.7" right="0.7" top="0.75" bottom="0.75" header="0.3" footer="0.3"/>
  <pageSetup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pageSetUpPr fitToPage="1"/>
  </sheetPr>
  <dimension ref="A1:W61"/>
  <sheetViews>
    <sheetView zoomScaleNormal="85" workbookViewId="0">
      <pane xSplit="3" ySplit="12" topLeftCell="D13" activePane="bottomRight" state="frozen"/>
      <selection activeCell="G3" sqref="G3"/>
      <selection pane="topRight" activeCell="G3" sqref="G3"/>
      <selection pane="bottomLeft" activeCell="G3" sqref="G3"/>
      <selection pane="bottomRight" activeCell="G3" sqref="G3"/>
    </sheetView>
  </sheetViews>
  <sheetFormatPr defaultColWidth="9.33203125" defaultRowHeight="15"/>
  <cols>
    <col min="1" max="1" width="6.6640625" style="274" customWidth="1"/>
    <col min="2" max="2" width="55.5" style="274" customWidth="1"/>
    <col min="3" max="3" width="17.5" style="274" customWidth="1"/>
    <col min="4" max="4" width="12.6640625" style="274" customWidth="1"/>
    <col min="5" max="5" width="5.1640625" style="274" bestFit="1" customWidth="1"/>
    <col min="6" max="6" width="14.83203125" style="274" customWidth="1"/>
    <col min="7" max="7" width="16" style="274" customWidth="1"/>
    <col min="8" max="8" width="14.33203125" style="274" bestFit="1" customWidth="1"/>
    <col min="10" max="10" width="3.1640625" customWidth="1"/>
    <col min="11" max="11" width="19.1640625" bestFit="1" customWidth="1"/>
    <col min="12" max="12" width="25.1640625" bestFit="1" customWidth="1"/>
    <col min="14" max="15" width="13.1640625" bestFit="1" customWidth="1"/>
    <col min="17" max="17" width="11.5" bestFit="1" customWidth="1"/>
    <col min="18" max="18" width="5.6640625" bestFit="1" customWidth="1"/>
    <col min="20" max="20" width="5.6640625" bestFit="1" customWidth="1"/>
    <col min="21" max="21" width="11.5" bestFit="1" customWidth="1"/>
    <col min="24" max="16384" width="9.33203125" style="274"/>
  </cols>
  <sheetData>
    <row r="1" spans="1:7" ht="18">
      <c r="A1" s="292" t="s">
        <v>385</v>
      </c>
      <c r="B1" s="304"/>
      <c r="G1" s="619"/>
    </row>
    <row r="2" spans="1:7" ht="18">
      <c r="A2" s="357" t="s">
        <v>663</v>
      </c>
      <c r="B2" s="290"/>
      <c r="G2" s="8" t="s">
        <v>901</v>
      </c>
    </row>
    <row r="3" spans="1:7" ht="15.75">
      <c r="A3" s="291"/>
      <c r="B3" s="290"/>
      <c r="G3"/>
    </row>
    <row r="4" spans="1:7">
      <c r="A4" s="492" t="s">
        <v>386</v>
      </c>
      <c r="B4" s="493"/>
      <c r="C4" s="494" t="s">
        <v>387</v>
      </c>
      <c r="D4" s="495"/>
      <c r="E4" s="495"/>
      <c r="F4" s="495"/>
      <c r="G4" s="495"/>
    </row>
    <row r="5" spans="1:7">
      <c r="A5" s="492">
        <v>3</v>
      </c>
      <c r="B5" s="496" t="s">
        <v>671</v>
      </c>
      <c r="C5" s="609">
        <f>+'MCC-2 page 31-45'!BM94</f>
        <v>200723186.49299106</v>
      </c>
      <c r="D5" s="497"/>
      <c r="E5" s="497"/>
      <c r="F5" s="497"/>
      <c r="G5" s="497"/>
    </row>
    <row r="6" spans="1:7">
      <c r="A6" s="492">
        <v>4</v>
      </c>
      <c r="B6" s="496" t="s">
        <v>388</v>
      </c>
      <c r="C6" s="498">
        <v>85738601.034227908</v>
      </c>
      <c r="D6" s="497"/>
      <c r="E6" s="497"/>
      <c r="F6" s="497"/>
      <c r="G6" s="497"/>
    </row>
    <row r="7" spans="1:7">
      <c r="A7" s="492">
        <v>5</v>
      </c>
      <c r="B7" s="496" t="s">
        <v>389</v>
      </c>
      <c r="C7" s="499">
        <f>+'MCC-2 page 31-45'!BM73</f>
        <v>2025347671.7176776</v>
      </c>
      <c r="D7" s="497"/>
      <c r="E7" s="497"/>
      <c r="F7" s="497"/>
      <c r="G7" s="497"/>
    </row>
    <row r="8" spans="1:7">
      <c r="A8" s="492">
        <v>6</v>
      </c>
      <c r="B8" s="500"/>
      <c r="C8" s="610">
        <f>SUM(C5:C7)</f>
        <v>2311809459.2448964</v>
      </c>
      <c r="D8" s="501"/>
      <c r="E8" s="502"/>
      <c r="F8" s="502"/>
      <c r="G8" s="495"/>
    </row>
    <row r="9" spans="1:7">
      <c r="A9" s="492">
        <v>7</v>
      </c>
      <c r="B9" s="496" t="s">
        <v>390</v>
      </c>
      <c r="C9" s="503">
        <f>+'EXHIBIT MCC-3'!K21</f>
        <v>6.3399999999999998E-2</v>
      </c>
      <c r="D9" s="504"/>
      <c r="E9" s="502"/>
      <c r="F9" s="502" t="s">
        <v>449</v>
      </c>
      <c r="G9" s="502" t="s">
        <v>448</v>
      </c>
    </row>
    <row r="10" spans="1:7">
      <c r="A10" s="492">
        <v>8</v>
      </c>
      <c r="B10" s="505"/>
      <c r="C10" s="497"/>
      <c r="D10" s="506" t="s">
        <v>391</v>
      </c>
      <c r="E10" s="502"/>
      <c r="F10" s="502" t="s">
        <v>675</v>
      </c>
      <c r="G10" s="502" t="s">
        <v>675</v>
      </c>
    </row>
    <row r="11" spans="1:7">
      <c r="A11" s="492">
        <v>9</v>
      </c>
      <c r="B11" s="507"/>
      <c r="C11" s="497"/>
      <c r="D11" s="494" t="s">
        <v>392</v>
      </c>
      <c r="E11" s="508" t="s">
        <v>467</v>
      </c>
      <c r="F11" s="508" t="s">
        <v>676</v>
      </c>
      <c r="G11" s="508" t="s">
        <v>677</v>
      </c>
    </row>
    <row r="12" spans="1:7">
      <c r="A12" s="492" t="s">
        <v>393</v>
      </c>
      <c r="B12" s="496"/>
      <c r="C12" s="509" t="s">
        <v>394</v>
      </c>
      <c r="D12" s="494" t="s">
        <v>395</v>
      </c>
      <c r="E12" s="494" t="s">
        <v>451</v>
      </c>
      <c r="F12" s="510" t="s">
        <v>673</v>
      </c>
      <c r="G12" s="508" t="s">
        <v>674</v>
      </c>
    </row>
    <row r="13" spans="1:7">
      <c r="A13" s="492">
        <v>10</v>
      </c>
      <c r="B13" s="496" t="s">
        <v>396</v>
      </c>
      <c r="C13" s="609">
        <f>C5*$C$9/0.65</f>
        <v>19578230.805624049</v>
      </c>
      <c r="D13" s="611">
        <f t="shared" ref="D13:D34" si="0">+C13/$C$39</f>
        <v>0.94474912837444402</v>
      </c>
      <c r="E13" s="512" t="s">
        <v>460</v>
      </c>
      <c r="F13" s="612">
        <f>+C13</f>
        <v>19578230.805624049</v>
      </c>
      <c r="G13" s="513">
        <v>0</v>
      </c>
    </row>
    <row r="14" spans="1:7">
      <c r="A14" s="492" t="s">
        <v>397</v>
      </c>
      <c r="B14" s="496" t="s">
        <v>398</v>
      </c>
      <c r="C14" s="498">
        <f>+'Power Cost WP'!O29</f>
        <v>4779758.3617310878</v>
      </c>
      <c r="D14" s="511">
        <f t="shared" si="0"/>
        <v>0.23064763057082421</v>
      </c>
      <c r="E14" s="512" t="s">
        <v>459</v>
      </c>
      <c r="F14" s="497"/>
      <c r="G14" s="514">
        <f>+C14</f>
        <v>4779758.3617310878</v>
      </c>
    </row>
    <row r="15" spans="1:7">
      <c r="A15" s="492">
        <v>11</v>
      </c>
      <c r="B15" s="500" t="s">
        <v>399</v>
      </c>
      <c r="C15" s="515">
        <f>+C6*C9/0.65</f>
        <v>8362811.2393385367</v>
      </c>
      <c r="D15" s="511">
        <f t="shared" si="0"/>
        <v>0.40354814015449814</v>
      </c>
      <c r="E15" s="512" t="s">
        <v>460</v>
      </c>
      <c r="F15" s="514">
        <f>+C15</f>
        <v>8362811.2393385367</v>
      </c>
      <c r="G15" s="497"/>
    </row>
    <row r="16" spans="1:7">
      <c r="A16" s="492">
        <v>12</v>
      </c>
      <c r="B16" s="500" t="s">
        <v>400</v>
      </c>
      <c r="C16" s="498">
        <f>C7*$C$9/0.65</f>
        <v>197549295.97984731</v>
      </c>
      <c r="D16" s="511">
        <f t="shared" si="0"/>
        <v>9.5327574304790161</v>
      </c>
      <c r="E16" s="512" t="s">
        <v>460</v>
      </c>
      <c r="F16" s="514">
        <f>+C16</f>
        <v>197549295.97984731</v>
      </c>
      <c r="G16" s="497"/>
    </row>
    <row r="17" spans="1:8">
      <c r="A17" s="492">
        <v>13</v>
      </c>
      <c r="B17" s="500" t="s">
        <v>806</v>
      </c>
      <c r="C17" s="613">
        <f>+'Power Cost WP'!O16</f>
        <v>77997834.053736418</v>
      </c>
      <c r="D17" s="611">
        <f t="shared" si="0"/>
        <v>3.7637918598954436</v>
      </c>
      <c r="E17" s="512" t="s">
        <v>459</v>
      </c>
      <c r="F17" s="497"/>
      <c r="G17" s="614">
        <f>+C17</f>
        <v>77997834.053736418</v>
      </c>
    </row>
    <row r="18" spans="1:8">
      <c r="A18" s="492">
        <v>14</v>
      </c>
      <c r="B18" s="500" t="s">
        <v>807</v>
      </c>
      <c r="C18" s="613">
        <f>+'Power Cost WP'!O18</f>
        <v>404481745.98367381</v>
      </c>
      <c r="D18" s="611">
        <f t="shared" si="0"/>
        <v>19.518299725615517</v>
      </c>
      <c r="E18" s="512" t="s">
        <v>459</v>
      </c>
      <c r="F18" s="497"/>
      <c r="G18" s="614">
        <f>+C18</f>
        <v>404481745.98367381</v>
      </c>
    </row>
    <row r="19" spans="1:8">
      <c r="A19" s="492">
        <v>15</v>
      </c>
      <c r="B19" s="500" t="s">
        <v>401</v>
      </c>
      <c r="C19" s="613">
        <f>+'Power Cost WP'!O19+'MCC-2 page 7-30'!BB14+'MCC-2 page 7-30'!CH14+'MCC-2 page 31-45'!BL17</f>
        <v>6638267.1874165488</v>
      </c>
      <c r="D19" s="611">
        <f t="shared" si="0"/>
        <v>0.32033012591857402</v>
      </c>
      <c r="E19" s="512" t="s">
        <v>460</v>
      </c>
      <c r="F19" s="614">
        <f>+C19</f>
        <v>6638267.1874165488</v>
      </c>
      <c r="G19" s="497"/>
    </row>
    <row r="20" spans="1:8">
      <c r="A20" s="492" t="s">
        <v>402</v>
      </c>
      <c r="B20" s="516" t="s">
        <v>403</v>
      </c>
      <c r="C20" s="613">
        <f>SUM('MCC-2 page 31-45'!BK19:BL19)</f>
        <v>8206061.1260157973</v>
      </c>
      <c r="D20" s="611">
        <f t="shared" si="0"/>
        <v>0.39598415061915598</v>
      </c>
      <c r="E20" s="512" t="s">
        <v>460</v>
      </c>
      <c r="F20" s="614">
        <f>+C20</f>
        <v>8206061.1260157973</v>
      </c>
      <c r="G20" s="497"/>
    </row>
    <row r="21" spans="1:8">
      <c r="A21" s="492" t="s">
        <v>404</v>
      </c>
      <c r="B21" s="516" t="s">
        <v>405</v>
      </c>
      <c r="C21" s="498">
        <f>SUM('MCC-2 page 31-45'!BK21:BL21)</f>
        <v>2763777.09</v>
      </c>
      <c r="D21" s="511">
        <f t="shared" si="0"/>
        <v>0.13336628946312651</v>
      </c>
      <c r="E21" s="512" t="s">
        <v>460</v>
      </c>
      <c r="F21" s="514">
        <f>+C21</f>
        <v>2763777.09</v>
      </c>
      <c r="G21" s="497"/>
    </row>
    <row r="22" spans="1:8">
      <c r="A22" s="492" t="s">
        <v>406</v>
      </c>
      <c r="B22" s="516" t="s">
        <v>407</v>
      </c>
      <c r="C22" s="613">
        <f>SUM('MCC-2 page 31-45'!BK31:BL31)</f>
        <v>1394193.3262996019</v>
      </c>
      <c r="D22" s="611">
        <f t="shared" si="0"/>
        <v>6.7276912959297996E-2</v>
      </c>
      <c r="E22" s="512" t="s">
        <v>459</v>
      </c>
      <c r="F22" s="497"/>
      <c r="G22" s="614">
        <f>+C22</f>
        <v>1394193.3262996019</v>
      </c>
    </row>
    <row r="23" spans="1:8">
      <c r="A23" s="492" t="s">
        <v>408</v>
      </c>
      <c r="B23" s="516" t="s">
        <v>409</v>
      </c>
      <c r="C23" s="613">
        <f>SUM('MCC-2 page 31-45'!BK32:BL32)</f>
        <v>2119540.3036357597</v>
      </c>
      <c r="D23" s="611">
        <f t="shared" si="0"/>
        <v>0.1022785906599471</v>
      </c>
      <c r="E23" s="512" t="s">
        <v>460</v>
      </c>
      <c r="F23" s="614">
        <f>+C23</f>
        <v>2119540.3036357597</v>
      </c>
      <c r="G23" s="497"/>
    </row>
    <row r="24" spans="1:8">
      <c r="A24" s="492" t="s">
        <v>446</v>
      </c>
      <c r="B24" s="516" t="s">
        <v>475</v>
      </c>
      <c r="C24" s="498">
        <f>+'Power Cost WP'!O20</f>
        <v>314007.23855375079</v>
      </c>
      <c r="D24" s="511">
        <f t="shared" si="0"/>
        <v>1.5152444971774676E-2</v>
      </c>
      <c r="E24" s="512" t="s">
        <v>459</v>
      </c>
      <c r="F24" s="497"/>
      <c r="G24" s="514">
        <f>+C24</f>
        <v>314007.23855375079</v>
      </c>
    </row>
    <row r="25" spans="1:8">
      <c r="A25" s="492">
        <v>16</v>
      </c>
      <c r="B25" s="500" t="s">
        <v>808</v>
      </c>
      <c r="C25" s="613">
        <f>+'Power Cost WP'!O17</f>
        <v>127019674.77452219</v>
      </c>
      <c r="D25" s="611">
        <f t="shared" si="0"/>
        <v>6.1293447922354378</v>
      </c>
      <c r="E25" s="512" t="s">
        <v>459</v>
      </c>
      <c r="F25" s="497"/>
      <c r="G25" s="614">
        <f>+C25</f>
        <v>127019674.77452219</v>
      </c>
    </row>
    <row r="26" spans="1:8">
      <c r="A26" s="492">
        <v>17</v>
      </c>
      <c r="B26" s="500" t="s">
        <v>809</v>
      </c>
      <c r="C26" s="613">
        <f>+'Power Cost WP'!O21</f>
        <v>108794683.40084627</v>
      </c>
      <c r="D26" s="611">
        <f t="shared" si="0"/>
        <v>5.2498963432996941</v>
      </c>
      <c r="E26" s="512" t="s">
        <v>459</v>
      </c>
      <c r="F26" s="497"/>
      <c r="G26" s="614">
        <f>+C26</f>
        <v>108794683.40084627</v>
      </c>
    </row>
    <row r="27" spans="1:8">
      <c r="A27" s="492">
        <v>18</v>
      </c>
      <c r="B27" s="500" t="s">
        <v>480</v>
      </c>
      <c r="C27" s="498">
        <f>+'Power Cost WP'!O28</f>
        <v>-9944078.2818932347</v>
      </c>
      <c r="D27" s="511">
        <f t="shared" si="0"/>
        <v>-0.47985231058810274</v>
      </c>
      <c r="E27" s="512" t="s">
        <v>460</v>
      </c>
      <c r="F27" s="514">
        <f>+C27</f>
        <v>-9944078.2818932347</v>
      </c>
      <c r="G27" s="497"/>
    </row>
    <row r="28" spans="1:8">
      <c r="A28" s="492">
        <v>19</v>
      </c>
      <c r="B28" s="500" t="s">
        <v>337</v>
      </c>
      <c r="C28" s="613">
        <f>+'MCC-2 page 1-6'!AU32</f>
        <v>139343550.08771703</v>
      </c>
      <c r="D28" s="611">
        <f t="shared" si="0"/>
        <v>6.7240344031573605</v>
      </c>
      <c r="E28" s="512" t="s">
        <v>460</v>
      </c>
      <c r="F28" s="614">
        <f>+C28</f>
        <v>139343550.08771703</v>
      </c>
      <c r="G28" s="497"/>
      <c r="H28" s="487"/>
    </row>
    <row r="29" spans="1:8">
      <c r="A29" s="492">
        <v>20</v>
      </c>
      <c r="B29" s="500" t="s">
        <v>410</v>
      </c>
      <c r="C29" s="613">
        <f>-'MCC-2 page 1-6'!AU19</f>
        <v>-22046223.383483797</v>
      </c>
      <c r="D29" s="611">
        <f t="shared" si="0"/>
        <v>-1.0638423120188931</v>
      </c>
      <c r="E29" s="512" t="s">
        <v>459</v>
      </c>
      <c r="F29" s="497"/>
      <c r="G29" s="614">
        <f>+C29</f>
        <v>-22046223.383483797</v>
      </c>
      <c r="H29" s="488"/>
    </row>
    <row r="30" spans="1:8">
      <c r="A30" s="517">
        <v>21</v>
      </c>
      <c r="B30" s="518" t="s">
        <v>411</v>
      </c>
      <c r="C30" s="613">
        <f>+'Power Cost WP'!O23</f>
        <v>-16897672.722583361</v>
      </c>
      <c r="D30" s="611">
        <f t="shared" si="0"/>
        <v>-0.8153985788966901</v>
      </c>
      <c r="E30" s="512" t="s">
        <v>459</v>
      </c>
      <c r="F30" s="497"/>
      <c r="G30" s="614">
        <f>+C30</f>
        <v>-16897672.722583361</v>
      </c>
    </row>
    <row r="31" spans="1:8">
      <c r="A31" s="492">
        <v>22</v>
      </c>
      <c r="B31" s="500" t="s">
        <v>412</v>
      </c>
      <c r="C31" s="498">
        <f>+'Power Cost WP'!O27</f>
        <v>662134.87</v>
      </c>
      <c r="D31" s="511">
        <f t="shared" si="0"/>
        <v>3.1951372292491807E-2</v>
      </c>
      <c r="E31" s="512" t="s">
        <v>460</v>
      </c>
      <c r="F31" s="514">
        <f>+C31</f>
        <v>662134.87</v>
      </c>
      <c r="G31" s="497"/>
    </row>
    <row r="32" spans="1:8">
      <c r="A32" s="492">
        <v>23</v>
      </c>
      <c r="B32" s="519" t="s">
        <v>413</v>
      </c>
      <c r="C32" s="498">
        <f>SUM('MCC-2 page 31-45'!BK28:BL28)</f>
        <v>160721752.50027582</v>
      </c>
      <c r="D32" s="511">
        <f t="shared" si="0"/>
        <v>7.7556413086023381</v>
      </c>
      <c r="E32" s="512" t="s">
        <v>460</v>
      </c>
      <c r="F32" s="514">
        <f>+C32</f>
        <v>160721752.50027582</v>
      </c>
      <c r="G32" s="497"/>
    </row>
    <row r="33" spans="1:7">
      <c r="A33" s="492">
        <v>24</v>
      </c>
      <c r="B33" s="493" t="s">
        <v>414</v>
      </c>
      <c r="C33" s="498">
        <v>3490805.0455442886</v>
      </c>
      <c r="D33" s="511">
        <f t="shared" si="0"/>
        <v>0.16844908290465715</v>
      </c>
      <c r="E33" s="512" t="s">
        <v>460</v>
      </c>
      <c r="F33" s="514">
        <f>+C33</f>
        <v>3490805.0455442886</v>
      </c>
      <c r="G33" s="497"/>
    </row>
    <row r="34" spans="1:7">
      <c r="A34" s="492">
        <f>+A33+1</f>
        <v>25</v>
      </c>
      <c r="B34" s="493" t="s">
        <v>810</v>
      </c>
      <c r="C34" s="613">
        <f>+F57</f>
        <v>14356593.326168342</v>
      </c>
      <c r="D34" s="611">
        <f t="shared" si="0"/>
        <v>0.69277858484678201</v>
      </c>
      <c r="E34" s="512" t="s">
        <v>460</v>
      </c>
      <c r="F34" s="614">
        <f>+C34</f>
        <v>14356593.326168342</v>
      </c>
      <c r="G34" s="497"/>
    </row>
    <row r="35" spans="1:7">
      <c r="A35" s="492">
        <f t="shared" ref="A35:A45" si="1">+A34+1</f>
        <v>26</v>
      </c>
      <c r="B35" s="520" t="s">
        <v>672</v>
      </c>
      <c r="C35" s="548"/>
      <c r="D35" s="548"/>
      <c r="E35" s="512"/>
      <c r="F35" s="548"/>
      <c r="G35" s="548"/>
    </row>
    <row r="36" spans="1:7">
      <c r="A36" s="492">
        <f>+A35+1</f>
        <v>27</v>
      </c>
      <c r="B36" s="521" t="s">
        <v>415</v>
      </c>
      <c r="C36" s="615">
        <f>SUM(C13:C35)</f>
        <v>1239686742.3129859</v>
      </c>
      <c r="D36" s="616">
        <f>SUM(D13:D35)</f>
        <v>59.821185115516705</v>
      </c>
      <c r="E36" s="617"/>
      <c r="F36" s="615">
        <f>SUM(F13:F35)</f>
        <v>553848741.27969015</v>
      </c>
      <c r="G36" s="615">
        <f>SUM(G13:G35)</f>
        <v>685838001.03329587</v>
      </c>
    </row>
    <row r="37" spans="1:7">
      <c r="A37" s="492">
        <f t="shared" si="1"/>
        <v>28</v>
      </c>
      <c r="B37" s="500" t="s">
        <v>416</v>
      </c>
      <c r="C37" s="522">
        <f>+'EXHIBIT MCC-3'!P19</f>
        <v>0.95238599999999995</v>
      </c>
      <c r="D37" s="522">
        <f>+C37</f>
        <v>0.95238599999999995</v>
      </c>
      <c r="E37" s="522"/>
      <c r="F37" s="523">
        <f>+D37</f>
        <v>0.95238599999999995</v>
      </c>
      <c r="G37" s="523">
        <f>+F37</f>
        <v>0.95238599999999995</v>
      </c>
    </row>
    <row r="38" spans="1:7">
      <c r="A38" s="492">
        <f t="shared" si="1"/>
        <v>29</v>
      </c>
      <c r="B38" s="500" t="s">
        <v>450</v>
      </c>
      <c r="C38" s="615">
        <f>+C36/C37</f>
        <v>1301664180.6084781</v>
      </c>
      <c r="D38" s="616">
        <f>+D36/C37</f>
        <v>62.81191146816176</v>
      </c>
      <c r="E38" s="617"/>
      <c r="F38" s="615">
        <f>+F36/F37</f>
        <v>581538096.19176483</v>
      </c>
      <c r="G38" s="615">
        <f>+G36/G37</f>
        <v>720126084.41671324</v>
      </c>
    </row>
    <row r="39" spans="1:7">
      <c r="A39" s="492">
        <f t="shared" si="1"/>
        <v>30</v>
      </c>
      <c r="B39" s="500" t="s">
        <v>474</v>
      </c>
      <c r="C39" s="515">
        <f>+'[58]Variable Cost Production Factor'!$F$26</f>
        <v>20723206</v>
      </c>
      <c r="D39" s="524" t="s">
        <v>604</v>
      </c>
      <c r="E39" s="524"/>
      <c r="F39" s="497"/>
      <c r="G39" s="497"/>
    </row>
    <row r="40" spans="1:7">
      <c r="A40" s="492">
        <f t="shared" si="1"/>
        <v>31</v>
      </c>
      <c r="B40" s="525"/>
      <c r="C40" s="612"/>
      <c r="D40" s="526" t="s">
        <v>160</v>
      </c>
      <c r="E40" s="526"/>
      <c r="F40" s="526" t="s">
        <v>449</v>
      </c>
      <c r="G40" s="526" t="s">
        <v>678</v>
      </c>
    </row>
    <row r="41" spans="1:7">
      <c r="A41" s="492">
        <f t="shared" si="1"/>
        <v>32</v>
      </c>
      <c r="B41" s="500" t="s">
        <v>473</v>
      </c>
      <c r="C41" s="495"/>
      <c r="D41" s="495"/>
      <c r="E41" s="495"/>
      <c r="F41" s="495"/>
      <c r="G41" s="495"/>
    </row>
    <row r="42" spans="1:7">
      <c r="A42" s="492">
        <f t="shared" si="1"/>
        <v>33</v>
      </c>
      <c r="B42" s="500" t="s">
        <v>472</v>
      </c>
      <c r="C42" s="527"/>
      <c r="D42" s="618">
        <f>+F42+G42</f>
        <v>59.821185115516684</v>
      </c>
      <c r="E42" s="528"/>
      <c r="F42" s="618">
        <f>+F36/$C$39</f>
        <v>26.726016296884282</v>
      </c>
      <c r="G42" s="618">
        <f>+G36/$C$39</f>
        <v>33.095168818632402</v>
      </c>
    </row>
    <row r="43" spans="1:7">
      <c r="A43" s="492">
        <f t="shared" si="1"/>
        <v>34</v>
      </c>
      <c r="B43" s="500" t="s">
        <v>450</v>
      </c>
      <c r="C43" s="495"/>
      <c r="D43" s="618">
        <f>+F43+G43</f>
        <v>62.811911468161739</v>
      </c>
      <c r="E43" s="528"/>
      <c r="F43" s="618">
        <f>+F38/$C$39</f>
        <v>28.06216838223607</v>
      </c>
      <c r="G43" s="618">
        <f>+G38/$C$39</f>
        <v>34.749743085925665</v>
      </c>
    </row>
    <row r="44" spans="1:7">
      <c r="A44" s="492">
        <f t="shared" si="1"/>
        <v>35</v>
      </c>
      <c r="B44" s="500"/>
      <c r="C44" s="495"/>
      <c r="D44" s="495"/>
      <c r="E44" s="495"/>
      <c r="F44" s="495"/>
      <c r="G44" s="495"/>
    </row>
    <row r="45" spans="1:7">
      <c r="A45" s="492">
        <f t="shared" si="1"/>
        <v>36</v>
      </c>
      <c r="B45" s="500" t="s">
        <v>773</v>
      </c>
      <c r="C45" s="495"/>
      <c r="D45" s="495"/>
      <c r="E45" s="495"/>
      <c r="F45" s="495"/>
      <c r="G45" s="495"/>
    </row>
    <row r="46" spans="1:7">
      <c r="B46" s="608" t="s">
        <v>852</v>
      </c>
    </row>
    <row r="47" spans="1:7" ht="15.75" thickBot="1">
      <c r="B47" s="289"/>
      <c r="C47" s="288"/>
      <c r="D47" s="282" t="s">
        <v>194</v>
      </c>
      <c r="E47" s="282"/>
      <c r="F47" s="282" t="s">
        <v>799</v>
      </c>
    </row>
    <row r="48" spans="1:7">
      <c r="B48" s="287" t="s">
        <v>694</v>
      </c>
      <c r="C48" s="286"/>
      <c r="D48" s="285" t="s">
        <v>471</v>
      </c>
      <c r="E48" s="415"/>
      <c r="F48" s="314">
        <f>+'Power Cost WP'!O10</f>
        <v>1</v>
      </c>
    </row>
    <row r="49" spans="1:8">
      <c r="B49" s="307" t="s">
        <v>48</v>
      </c>
      <c r="C49" s="308">
        <v>407</v>
      </c>
      <c r="D49" s="491">
        <f>+'MCC-2 page 31-45'!BB23</f>
        <v>1494701.7220710218</v>
      </c>
      <c r="E49" s="416"/>
      <c r="F49" s="309">
        <f t="shared" ref="F49:F56" si="2">+D49*$F$48</f>
        <v>1494701.7220710218</v>
      </c>
      <c r="G49" s="487">
        <f>+'MCC-2 page 31-45'!BK36</f>
        <v>1494701.7220710218</v>
      </c>
    </row>
    <row r="50" spans="1:8">
      <c r="B50" s="281" t="s">
        <v>365</v>
      </c>
      <c r="C50" s="282">
        <v>407.3</v>
      </c>
      <c r="D50" s="306">
        <f>+'MCC-2 page 31-45'!AC45</f>
        <v>687420</v>
      </c>
      <c r="E50" s="306"/>
      <c r="F50" s="284">
        <f t="shared" si="2"/>
        <v>687420</v>
      </c>
      <c r="G50" s="487">
        <f>+'MCC-2 page 31-45'!BK37</f>
        <v>-1381851.7170492394</v>
      </c>
    </row>
    <row r="51" spans="1:8">
      <c r="B51" s="281" t="s">
        <v>366</v>
      </c>
      <c r="C51" s="282">
        <v>407.3</v>
      </c>
      <c r="D51" s="306">
        <f>+'MCC-2 page 31-45'!AC40</f>
        <v>2885052</v>
      </c>
      <c r="E51" s="306"/>
      <c r="F51" s="284">
        <f t="shared" si="2"/>
        <v>2885052</v>
      </c>
      <c r="G51" s="487">
        <f>+'MCC-2 page 31-45'!BK38</f>
        <v>-400021.52129608387</v>
      </c>
    </row>
    <row r="52" spans="1:8">
      <c r="B52" s="283" t="s">
        <v>367</v>
      </c>
      <c r="C52" s="282">
        <v>407.3</v>
      </c>
      <c r="D52" s="306">
        <f>+'MCC-2 page 31-45'!AC49</f>
        <v>4520422.508572978</v>
      </c>
      <c r="E52" s="306"/>
      <c r="F52" s="284">
        <f t="shared" si="2"/>
        <v>4520422.508572978</v>
      </c>
      <c r="G52" s="487">
        <f>+'MCC-2 page 31-45'!BK39</f>
        <v>3786307.8400000003</v>
      </c>
    </row>
    <row r="53" spans="1:8">
      <c r="B53" s="283" t="s">
        <v>417</v>
      </c>
      <c r="C53" s="282">
        <v>407.3</v>
      </c>
      <c r="D53" s="306">
        <f>+'MCC-2 page 31-45'!AC47</f>
        <v>561126.34087998548</v>
      </c>
      <c r="E53" s="306"/>
      <c r="F53" s="284">
        <f t="shared" si="2"/>
        <v>561126.34087998548</v>
      </c>
      <c r="G53" s="487">
        <f>+'MCC-2 page 31-45'!BK40</f>
        <v>2885052</v>
      </c>
    </row>
    <row r="54" spans="1:8">
      <c r="B54" s="283" t="s">
        <v>418</v>
      </c>
      <c r="C54" s="282">
        <v>407.3</v>
      </c>
      <c r="D54" s="306">
        <f>+'MCC-2 page 31-45'!AC48</f>
        <v>2203436.1529896799</v>
      </c>
      <c r="E54" s="306"/>
      <c r="F54" s="284">
        <f t="shared" si="2"/>
        <v>2203436.1529896799</v>
      </c>
      <c r="G54" s="487">
        <f>+'MCC-2 page 31-45'!BK41</f>
        <v>0</v>
      </c>
    </row>
    <row r="55" spans="1:8">
      <c r="B55" s="283" t="s">
        <v>419</v>
      </c>
      <c r="C55" s="282">
        <v>407.4</v>
      </c>
      <c r="D55" s="306">
        <f>+'MCC-2 page 31-45'!AC50+'MCC-2 page 31-45'!AC51</f>
        <v>-1781873.2383453234</v>
      </c>
      <c r="E55" s="306"/>
      <c r="F55" s="284">
        <f t="shared" si="2"/>
        <v>-1781873.2383453234</v>
      </c>
      <c r="G55" s="487">
        <f>+'MCC-2 page 31-45'!BK42</f>
        <v>4520422.508572978</v>
      </c>
    </row>
    <row r="56" spans="1:8">
      <c r="B56" s="283" t="s">
        <v>420</v>
      </c>
      <c r="C56" s="282">
        <v>407</v>
      </c>
      <c r="D56" s="279">
        <f>+'MCC-2 page 31-45'!AC52</f>
        <v>3786307.8400000003</v>
      </c>
      <c r="E56" s="417"/>
      <c r="F56" s="278">
        <f t="shared" si="2"/>
        <v>3786307.8400000003</v>
      </c>
      <c r="G56" s="487">
        <f>+'MCC-2 page 31-45'!BK43</f>
        <v>561126.34087998548</v>
      </c>
    </row>
    <row r="57" spans="1:8" ht="15.75" thickBot="1">
      <c r="B57" s="281" t="s">
        <v>421</v>
      </c>
      <c r="C57" s="280"/>
      <c r="D57" s="279">
        <f>SUM(D49:D56)</f>
        <v>14356593.326168342</v>
      </c>
      <c r="E57" s="417"/>
      <c r="F57" s="278">
        <f>SUM(F49:F56)</f>
        <v>14356593.326168342</v>
      </c>
      <c r="G57" s="489">
        <f>+SUM('MCC-2 page 31-45'!BK47:BL47)-F57</f>
        <v>0</v>
      </c>
      <c r="H57" s="490" t="s">
        <v>798</v>
      </c>
    </row>
    <row r="58" spans="1:8" ht="15.75" thickBot="1">
      <c r="B58" s="313"/>
      <c r="C58" s="310" t="s">
        <v>479</v>
      </c>
      <c r="D58" s="311">
        <f>+'MCC-2 page 31-45'!AC53-D57</f>
        <v>0</v>
      </c>
      <c r="E58" s="311"/>
      <c r="F58" s="312">
        <f>+F57/D57-F48</f>
        <v>0</v>
      </c>
    </row>
    <row r="59" spans="1:8">
      <c r="A59" s="197"/>
      <c r="B59" s="197"/>
      <c r="C59" s="197"/>
      <c r="D59" s="197"/>
      <c r="E59" s="197"/>
      <c r="F59" s="197"/>
    </row>
    <row r="60" spans="1:8">
      <c r="A60" s="197"/>
      <c r="B60" s="197"/>
      <c r="C60" s="197"/>
      <c r="D60" s="197"/>
      <c r="E60" s="197"/>
      <c r="F60" s="197"/>
    </row>
    <row r="61" spans="1:8">
      <c r="B61" s="277"/>
      <c r="C61" s="276"/>
      <c r="D61" s="276"/>
      <c r="E61" s="276"/>
      <c r="F61" s="276"/>
    </row>
  </sheetData>
  <pageMargins left="0.7" right="0.7" top="0.75" bottom="0.75" header="0.3" footer="0.3"/>
  <pageSetup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workbookViewId="0"/>
  </sheetViews>
  <sheetFormatPr defaultRowHeight="10.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2017-08-09T07:00:00+00:00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E10D9701-F203-40CD-9C2A-5EFAEB237C11}"/>
</file>

<file path=customXml/itemProps2.xml><?xml version="1.0" encoding="utf-8"?>
<ds:datastoreItem xmlns:ds="http://schemas.openxmlformats.org/officeDocument/2006/customXml" ds:itemID="{4CD2F9A6-1E34-4FBF-AC2E-DD8089E15E12}"/>
</file>

<file path=customXml/itemProps3.xml><?xml version="1.0" encoding="utf-8"?>
<ds:datastoreItem xmlns:ds="http://schemas.openxmlformats.org/officeDocument/2006/customXml" ds:itemID="{A4CD269B-B579-427E-A57B-1AB0C7DA3B07}"/>
</file>

<file path=customXml/itemProps4.xml><?xml version="1.0" encoding="utf-8"?>
<ds:datastoreItem xmlns:ds="http://schemas.openxmlformats.org/officeDocument/2006/customXml" ds:itemID="{2F652176-DF24-447B-96AC-A401748693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73</vt:i4>
      </vt:variant>
    </vt:vector>
  </HeadingPairs>
  <TitlesOfParts>
    <vt:vector size="88" baseType="lpstr">
      <vt:lpstr>INDEX</vt:lpstr>
      <vt:lpstr>MCC-2 page 1-6</vt:lpstr>
      <vt:lpstr>MCC-2 page 7-30</vt:lpstr>
      <vt:lpstr>MCC-2 page 31-45</vt:lpstr>
      <vt:lpstr>EXHIBIT MCC-3</vt:lpstr>
      <vt:lpstr>EXHIBIT MCC-4</vt:lpstr>
      <vt:lpstr>EXHIBIT MCC-5</vt:lpstr>
      <vt:lpstr>EXHIBIT MCC-6</vt:lpstr>
      <vt:lpstr>EXHIBIT MCC-12</vt:lpstr>
      <vt:lpstr>Work Papers==&gt;</vt:lpstr>
      <vt:lpstr>FirmResale</vt:lpstr>
      <vt:lpstr>For Prod Adj Expense</vt:lpstr>
      <vt:lpstr>For Prod Adj Ratebase</vt:lpstr>
      <vt:lpstr>Power Cost WP</vt:lpstr>
      <vt:lpstr>Exh.A-1</vt:lpstr>
      <vt:lpstr>Case_Name</vt:lpstr>
      <vt:lpstr>ConversionFactor</vt:lpstr>
      <vt:lpstr>'EXHIBIT MCC-3'!k_3.01_Deficiency</vt:lpstr>
      <vt:lpstr>'EXHIBIT MCC-3'!k_3.02_COC</vt:lpstr>
      <vt:lpstr>k_3.03_ConvFact</vt:lpstr>
      <vt:lpstr>k_6.01_RevAndExp</vt:lpstr>
      <vt:lpstr>k_6.02_Temp_Norm</vt:lpstr>
      <vt:lpstr>k_6.03_Pass_through_Rev_Exp</vt:lpstr>
      <vt:lpstr>k_6.04_Federal_Income_Tax</vt:lpstr>
      <vt:lpstr>k_6.05_Tax_Benefit_Interest</vt:lpstr>
      <vt:lpstr>k_6.06_Depreciation_Study</vt:lpstr>
      <vt:lpstr>k_6.07_Norm_Injuries_Damages</vt:lpstr>
      <vt:lpstr>k_6.08_Bad_Debts</vt:lpstr>
      <vt:lpstr>k_6.09_Incentive_Pay</vt:lpstr>
      <vt:lpstr>k_6.10_Directors_Officers_Insurance</vt:lpstr>
      <vt:lpstr>k_6.11_Int_Customer_Deposits</vt:lpstr>
      <vt:lpstr>k_6.12_Rate_Case_Expenses</vt:lpstr>
      <vt:lpstr>k_6.13_Defferred_Gains_Losses</vt:lpstr>
      <vt:lpstr>k_6.14_Property_Liability_Insurance</vt:lpstr>
      <vt:lpstr>k_6.15_Pension_Plan</vt:lpstr>
      <vt:lpstr>k_6.16_Wage_Increase</vt:lpstr>
      <vt:lpstr>k_6.17_Investment_Plan</vt:lpstr>
      <vt:lpstr>k_6.18_Employee_Insurance</vt:lpstr>
      <vt:lpstr>k_6.19_EnvironmRemediation</vt:lpstr>
      <vt:lpstr>k_6.20_PaymentProc_Cost</vt:lpstr>
      <vt:lpstr>k_6.21_SoKservCent</vt:lpstr>
      <vt:lpstr>k_6.22_ExcTax</vt:lpstr>
      <vt:lpstr>k_7.01_Power_Costs</vt:lpstr>
      <vt:lpstr>k_7.01_Power_Costs_p2</vt:lpstr>
      <vt:lpstr>k_7.02_Montana</vt:lpstr>
      <vt:lpstr>k_7.03_Wild_Hors_Sol</vt:lpstr>
      <vt:lpstr>k_7.04_ASC_815</vt:lpstr>
      <vt:lpstr>k_7.05_storm</vt:lpstr>
      <vt:lpstr>k_7.06_Reg_Asset</vt:lpstr>
      <vt:lpstr>k_7.07_Glacier_Bat_St</vt:lpstr>
      <vt:lpstr>k_7.08_EIM</vt:lpstr>
      <vt:lpstr>k_7.09_GoldendaleCU</vt:lpstr>
      <vt:lpstr>k_7.10_MintFarm_CU</vt:lpstr>
      <vt:lpstr>k_7.11_White_River</vt:lpstr>
      <vt:lpstr>k_7.12_Hydro_Grants</vt:lpstr>
      <vt:lpstr>k_7.13_Productn_Adj</vt:lpstr>
      <vt:lpstr>k_A_1</vt:lpstr>
      <vt:lpstr>k_Docket_Number</vt:lpstr>
      <vt:lpstr>k_FITrate</vt:lpstr>
      <vt:lpstr>keep_KJB_4_Electric_Summary</vt:lpstr>
      <vt:lpstr>keep_STATE_UTILITY_TAX</vt:lpstr>
      <vt:lpstr>keep_TESTYEAR</vt:lpstr>
      <vt:lpstr>keep_WUTC_FILING_FEE</vt:lpstr>
      <vt:lpstr>kp_Summary</vt:lpstr>
      <vt:lpstr>kp_SumPg1</vt:lpstr>
      <vt:lpstr>kp_SumPg2</vt:lpstr>
      <vt:lpstr>kp_SumPg3</vt:lpstr>
      <vt:lpstr>kp_SumPg4</vt:lpstr>
      <vt:lpstr>kp_SumPg5</vt:lpstr>
      <vt:lpstr>'Exh.A-1'!Print_Area</vt:lpstr>
      <vt:lpstr>'EXHIBIT MCC-3'!Print_Area</vt:lpstr>
      <vt:lpstr>'EXHIBIT MCC-4'!Print_Area</vt:lpstr>
      <vt:lpstr>'EXHIBIT MCC-5'!Print_Area</vt:lpstr>
      <vt:lpstr>'EXHIBIT MCC-6'!Print_Area</vt:lpstr>
      <vt:lpstr>FirmResale!Print_Area</vt:lpstr>
      <vt:lpstr>'For Prod Adj Expense'!Print_Area</vt:lpstr>
      <vt:lpstr>'For Prod Adj Ratebase'!Print_Area</vt:lpstr>
      <vt:lpstr>'MCC-2 page 1-6'!Print_Area</vt:lpstr>
      <vt:lpstr>'MCC-2 page 31-45'!Print_Area</vt:lpstr>
      <vt:lpstr>'MCC-2 page 7-30'!Print_Area</vt:lpstr>
      <vt:lpstr>'Power Cost WP'!Print_Area</vt:lpstr>
      <vt:lpstr>'EXHIBIT MCC-12'!Print_Titles</vt:lpstr>
      <vt:lpstr>'EXHIBIT MCC-5'!Print_Titles</vt:lpstr>
      <vt:lpstr>'EXHIBIT MCC-6'!Print_Titles</vt:lpstr>
      <vt:lpstr>FirmResale!Print_Titles</vt:lpstr>
      <vt:lpstr>'MCC-2 page 1-6'!Print_Titles</vt:lpstr>
      <vt:lpstr>'MCC-2 page 31-45'!Print_Titles</vt:lpstr>
      <vt:lpstr>ROR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for Errata</dc:title>
  <dc:subject>TWELVE MOS. ENDED 6/30/95</dc:subject>
  <dc:creator>Janna D. Greif</dc:creator>
  <cp:lastModifiedBy>Melissa Cheesman</cp:lastModifiedBy>
  <cp:lastPrinted>2017-06-28T17:38:54Z</cp:lastPrinted>
  <dcterms:created xsi:type="dcterms:W3CDTF">1997-10-13T22:59:17Z</dcterms:created>
  <dcterms:modified xsi:type="dcterms:W3CDTF">2017-07-28T18:02:52Z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