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drawings/drawing4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8_{133B8B3E-CBFA-4628-B9E7-D98487A454D9}" xr6:coauthVersionLast="47" xr6:coauthVersionMax="47" xr10:uidLastSave="{00000000-0000-0000-0000-000000000000}"/>
  <bookViews>
    <workbookView xWindow="28680" yWindow="-120" windowWidth="29040" windowHeight="15720" tabRatio="957" xr2:uid="{00000000-000D-0000-FFFF-FFFF00000000}"/>
  </bookViews>
  <sheets>
    <sheet name="3 Proxy Sum" sheetId="3" r:id="rId1"/>
    <sheet name="4 Stock Price" sheetId="4" r:id="rId2"/>
    <sheet name="5 Div Yields" sheetId="29" r:id="rId3"/>
    <sheet name="6 Growth Determinants" sheetId="52" r:id="rId4"/>
    <sheet name="7 DCF Result" sheetId="92" r:id="rId5"/>
    <sheet name="8 Risk Free Rate" sheetId="10" r:id="rId6"/>
    <sheet name="9 Beta" sheetId="15" r:id="rId7"/>
    <sheet name="10 Implied ERP" sheetId="96" r:id="rId8"/>
    <sheet name="11 ERP Result" sheetId="61" r:id="rId9"/>
    <sheet name="12 CAPM Result" sheetId="94" r:id="rId10"/>
    <sheet name="13 COE Summary" sheetId="98" r:id="rId11"/>
    <sheet name="14 Proxy Debt Ratios" sheetId="80" r:id="rId12"/>
    <sheet name="15 Competitive Debt Ratios" sheetId="99" r:id="rId13"/>
    <sheet name="16 Hamada Model" sheetId="88" r:id="rId14"/>
    <sheet name="Fig Industry Betas" sheetId="100" r:id="rId15"/>
    <sheet name="Fig CAPM Graph" sheetId="67" r:id="rId16"/>
    <sheet name="Fig Bus Cycle" sheetId="68" r:id="rId17"/>
    <sheet name="Fig Diversify" sheetId="70" r:id="rId18"/>
  </sheets>
  <definedNames>
    <definedName name="_xlnm._FilterDatabase" localSheetId="12" hidden="1">'15 Competitive Debt Ratios'!#REF!</definedName>
    <definedName name="_xlnm.Print_Area" localSheetId="8">'11 ERP Result'!$A$1:$E$13</definedName>
    <definedName name="_xlnm.Print_Area" localSheetId="12">'15 Competitive Debt Ratios'!$A$1:$E$57</definedName>
    <definedName name="_xlnm.Print_Area" localSheetId="16">'Fig Bus Cycle'!$A$3:$M$6</definedName>
    <definedName name="solver_adj" localSheetId="7" hidden="1">'10 Implied ERP'!$C$37</definedName>
    <definedName name="solver_cvg" localSheetId="7" hidden="1">0.0001</definedName>
    <definedName name="solver_drv" localSheetId="7" hidden="1">1</definedName>
    <definedName name="solver_eng" localSheetId="7" hidden="1">1</definedName>
    <definedName name="solver_est" localSheetId="7" hidden="1">1</definedName>
    <definedName name="solver_itr" localSheetId="7" hidden="1">100</definedName>
    <definedName name="solver_lin" localSheetId="7" hidden="1">2</definedName>
    <definedName name="solver_mip" localSheetId="7" hidden="1">2147483647</definedName>
    <definedName name="solver_mni" localSheetId="7" hidden="1">30</definedName>
    <definedName name="solver_mrt" localSheetId="7" hidden="1">0.075</definedName>
    <definedName name="solver_msl" localSheetId="7" hidden="1">2</definedName>
    <definedName name="solver_neg" localSheetId="7" hidden="1">2</definedName>
    <definedName name="solver_nod" localSheetId="7" hidden="1">2147483647</definedName>
    <definedName name="solver_num" localSheetId="7" hidden="1">0</definedName>
    <definedName name="solver_nwt" localSheetId="7" hidden="1">1</definedName>
    <definedName name="solver_opt" localSheetId="7" hidden="1">'10 Implied ERP'!$C$33</definedName>
    <definedName name="solver_pre" localSheetId="7" hidden="1">0.000001</definedName>
    <definedName name="solver_rbv" localSheetId="7" hidden="1">1</definedName>
    <definedName name="solver_rlx" localSheetId="7" hidden="1">1</definedName>
    <definedName name="solver_rsd" localSheetId="7" hidden="1">0</definedName>
    <definedName name="solver_scl" localSheetId="7" hidden="1">2</definedName>
    <definedName name="solver_sho" localSheetId="7" hidden="1">2</definedName>
    <definedName name="solver_ssz" localSheetId="7" hidden="1">100</definedName>
    <definedName name="solver_tim" localSheetId="7" hidden="1">100</definedName>
    <definedName name="solver_tol" localSheetId="7" hidden="1">0.05</definedName>
    <definedName name="solver_typ" localSheetId="7" hidden="1">3</definedName>
    <definedName name="solver_val" localSheetId="7" hidden="1">5787</definedName>
    <definedName name="solver_ver" localSheetId="7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61" l="1"/>
  <c r="C20" i="96" l="1"/>
  <c r="O15" i="96"/>
  <c r="M15" i="96"/>
  <c r="Q15" i="96" s="1"/>
  <c r="K15" i="96"/>
  <c r="E35" i="10" l="1"/>
  <c r="E13" i="80" l="1"/>
  <c r="A25" i="88" l="1"/>
  <c r="O13" i="99"/>
  <c r="E53" i="99"/>
  <c r="C53" i="99"/>
  <c r="K38" i="99"/>
  <c r="I38" i="99"/>
  <c r="C10" i="61" l="1"/>
  <c r="O16" i="96"/>
  <c r="M16" i="96"/>
  <c r="K16" i="96"/>
  <c r="O14" i="96"/>
  <c r="M14" i="96"/>
  <c r="Q14" i="96" s="1"/>
  <c r="K14" i="96"/>
  <c r="O13" i="96"/>
  <c r="M13" i="96"/>
  <c r="Q13" i="96" s="1"/>
  <c r="K13" i="96"/>
  <c r="O12" i="96"/>
  <c r="M12" i="96"/>
  <c r="K12" i="96"/>
  <c r="O11" i="96"/>
  <c r="M11" i="96"/>
  <c r="K11" i="96"/>
  <c r="O10" i="96"/>
  <c r="M10" i="96"/>
  <c r="Q10" i="96" s="1"/>
  <c r="K10" i="96"/>
  <c r="O9" i="96"/>
  <c r="M9" i="96"/>
  <c r="Q9" i="96" s="1"/>
  <c r="K9" i="96"/>
  <c r="O8" i="96"/>
  <c r="M8" i="96"/>
  <c r="Q8" i="96" s="1"/>
  <c r="K8" i="96"/>
  <c r="O7" i="96"/>
  <c r="M7" i="96"/>
  <c r="K7" i="96"/>
  <c r="O6" i="96"/>
  <c r="M6" i="96"/>
  <c r="Q6" i="96" s="1"/>
  <c r="K6" i="96"/>
  <c r="Q12" i="96" l="1"/>
  <c r="Q7" i="96"/>
  <c r="Q11" i="96"/>
  <c r="Q16" i="96"/>
  <c r="G16" i="92"/>
  <c r="C19" i="96" l="1"/>
  <c r="E8" i="94"/>
  <c r="E9" i="94"/>
  <c r="E10" i="94"/>
  <c r="E11" i="94"/>
  <c r="E12" i="94"/>
  <c r="E13" i="94"/>
  <c r="E7" i="94"/>
  <c r="C8" i="94"/>
  <c r="C9" i="94"/>
  <c r="C10" i="94"/>
  <c r="C11" i="94"/>
  <c r="C12" i="94"/>
  <c r="C13" i="94"/>
  <c r="C7" i="94"/>
  <c r="A8" i="94"/>
  <c r="A9" i="94"/>
  <c r="A10" i="94"/>
  <c r="A11" i="94"/>
  <c r="A12" i="94"/>
  <c r="A13" i="94"/>
  <c r="A7" i="94"/>
  <c r="C9" i="92" l="1"/>
  <c r="C10" i="92"/>
  <c r="C11" i="92"/>
  <c r="C12" i="92"/>
  <c r="C13" i="92"/>
  <c r="C14" i="92"/>
  <c r="C8" i="92"/>
  <c r="A9" i="92"/>
  <c r="A10" i="92"/>
  <c r="A11" i="92"/>
  <c r="A12" i="92"/>
  <c r="A13" i="92"/>
  <c r="A14" i="92"/>
  <c r="A8" i="92"/>
  <c r="C11" i="52"/>
  <c r="I9" i="92" l="1"/>
  <c r="I8" i="92"/>
  <c r="I14" i="92"/>
  <c r="I12" i="92"/>
  <c r="I11" i="92"/>
  <c r="I10" i="92"/>
  <c r="I13" i="92"/>
  <c r="E16" i="29"/>
  <c r="I16" i="92" l="1"/>
  <c r="C6" i="15"/>
  <c r="C7" i="15"/>
  <c r="C8" i="15"/>
  <c r="C9" i="15"/>
  <c r="C10" i="15"/>
  <c r="C11" i="15"/>
  <c r="G10" i="3"/>
  <c r="C27" i="88" l="1"/>
  <c r="C25" i="88"/>
  <c r="C24" i="88"/>
  <c r="C23" i="88"/>
  <c r="C22" i="88"/>
  <c r="C21" i="88"/>
  <c r="G6" i="3" l="1"/>
  <c r="A6" i="80"/>
  <c r="C6" i="80"/>
  <c r="A6" i="15"/>
  <c r="A9" i="29"/>
  <c r="C9" i="29"/>
  <c r="D3" i="4"/>
  <c r="D5" i="4"/>
  <c r="G9" i="29" s="1"/>
  <c r="D6" i="4"/>
  <c r="M9" i="92" l="1"/>
  <c r="I9" i="29"/>
  <c r="E9" i="92" s="1"/>
  <c r="K9" i="92"/>
  <c r="A13" i="29" l="1"/>
  <c r="G5" i="3" l="1"/>
  <c r="G7" i="3"/>
  <c r="G8" i="3"/>
  <c r="G9" i="3"/>
  <c r="A5" i="80"/>
  <c r="C5" i="80"/>
  <c r="A7" i="80"/>
  <c r="C7" i="80"/>
  <c r="A8" i="80"/>
  <c r="C8" i="80"/>
  <c r="A9" i="80"/>
  <c r="C9" i="80"/>
  <c r="A10" i="80"/>
  <c r="C10" i="80"/>
  <c r="A11" i="80"/>
  <c r="C11" i="80"/>
  <c r="E5" i="88" l="1"/>
  <c r="C5" i="15"/>
  <c r="A5" i="15"/>
  <c r="A7" i="15"/>
  <c r="A8" i="15"/>
  <c r="A9" i="15"/>
  <c r="A10" i="15"/>
  <c r="A11" i="15"/>
  <c r="C8" i="29"/>
  <c r="C10" i="29"/>
  <c r="C11" i="29"/>
  <c r="C12" i="29"/>
  <c r="C13" i="29"/>
  <c r="C14" i="29"/>
  <c r="A8" i="29"/>
  <c r="A10" i="29"/>
  <c r="A11" i="29"/>
  <c r="A12" i="29"/>
  <c r="A14" i="29"/>
  <c r="C5" i="4"/>
  <c r="G8" i="29" s="1"/>
  <c r="E5" i="4"/>
  <c r="G10" i="29" s="1"/>
  <c r="F5" i="4"/>
  <c r="G11" i="29" s="1"/>
  <c r="G5" i="4"/>
  <c r="G12" i="29" s="1"/>
  <c r="H5" i="4"/>
  <c r="G13" i="29" s="1"/>
  <c r="C6" i="4"/>
  <c r="E6" i="4"/>
  <c r="F6" i="4"/>
  <c r="G6" i="4"/>
  <c r="H6" i="4"/>
  <c r="H3" i="4"/>
  <c r="G3" i="4"/>
  <c r="F3" i="4"/>
  <c r="E3" i="4"/>
  <c r="C3" i="4"/>
  <c r="E6" i="88" l="1"/>
  <c r="E7" i="88" s="1"/>
  <c r="A26" i="88"/>
  <c r="C26" i="88" s="1"/>
  <c r="M10" i="92"/>
  <c r="K10" i="92"/>
  <c r="I10" i="29"/>
  <c r="E10" i="92" s="1"/>
  <c r="M13" i="92"/>
  <c r="I13" i="29"/>
  <c r="E13" i="92" s="1"/>
  <c r="K13" i="92"/>
  <c r="K12" i="92"/>
  <c r="M12" i="92"/>
  <c r="I12" i="29"/>
  <c r="E12" i="92" s="1"/>
  <c r="K8" i="92"/>
  <c r="M8" i="92"/>
  <c r="I8" i="29"/>
  <c r="E8" i="92" s="1"/>
  <c r="I11" i="29"/>
  <c r="E11" i="92" s="1"/>
  <c r="K11" i="92"/>
  <c r="M11" i="92"/>
  <c r="G11" i="3"/>
  <c r="I6" i="4" l="1"/>
  <c r="I5" i="4"/>
  <c r="G14" i="29" s="1"/>
  <c r="I3" i="4"/>
  <c r="M14" i="92" l="1"/>
  <c r="M16" i="92" s="1"/>
  <c r="D11" i="98" s="1"/>
  <c r="I14" i="29"/>
  <c r="E14" i="92" s="1"/>
  <c r="E16" i="92" s="1"/>
  <c r="K14" i="92"/>
  <c r="K16" i="92" s="1"/>
  <c r="D9" i="98" s="1"/>
  <c r="D119" i="68"/>
  <c r="D118" i="68"/>
  <c r="D117" i="68"/>
  <c r="D116" i="68"/>
  <c r="D115" i="68"/>
  <c r="D114" i="68"/>
  <c r="D113" i="68"/>
  <c r="D112" i="68"/>
  <c r="D111" i="68"/>
  <c r="D110" i="68"/>
  <c r="D109" i="68"/>
  <c r="D108" i="68"/>
  <c r="D107" i="68"/>
  <c r="D106" i="68"/>
  <c r="D105" i="68"/>
  <c r="D104" i="68"/>
  <c r="M5" i="68" s="1"/>
  <c r="D103" i="68"/>
  <c r="D102" i="68"/>
  <c r="D101" i="68"/>
  <c r="D100" i="68"/>
  <c r="D99" i="68"/>
  <c r="D98" i="68"/>
  <c r="D97" i="68"/>
  <c r="D96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2" i="68"/>
  <c r="D81" i="68"/>
  <c r="D80" i="68"/>
  <c r="D79" i="68"/>
  <c r="D78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J5" i="68" s="1"/>
  <c r="D63" i="68"/>
  <c r="D62" i="68"/>
  <c r="D61" i="68"/>
  <c r="D60" i="68"/>
  <c r="D59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6" i="68"/>
  <c r="D45" i="68"/>
  <c r="D44" i="68"/>
  <c r="D43" i="68"/>
  <c r="D42" i="68"/>
  <c r="D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D28" i="68"/>
  <c r="D27" i="68"/>
  <c r="D26" i="68"/>
  <c r="D25" i="68"/>
  <c r="D24" i="68"/>
  <c r="G5" i="68" s="1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D9" i="68"/>
  <c r="D8" i="68"/>
  <c r="D7" i="68"/>
  <c r="D6" i="68"/>
  <c r="D5" i="68"/>
  <c r="D4" i="68"/>
  <c r="C21" i="96" l="1"/>
  <c r="C35" i="96" s="1"/>
  <c r="E18" i="94" l="1"/>
  <c r="C4" i="67" l="1"/>
  <c r="E10" i="88"/>
  <c r="C9" i="52"/>
  <c r="C12" i="61" l="1"/>
  <c r="E20" i="94" s="1"/>
  <c r="G12" i="94" s="1"/>
  <c r="C5" i="67" l="1"/>
  <c r="B10" i="67" s="1"/>
  <c r="E9" i="88"/>
  <c r="G7" i="94"/>
  <c r="G10" i="94"/>
  <c r="G9" i="94"/>
  <c r="G13" i="94"/>
  <c r="G11" i="94"/>
  <c r="G8" i="94"/>
  <c r="G15" i="94" l="1"/>
  <c r="D5" i="98" s="1"/>
  <c r="B11" i="67"/>
  <c r="B13" i="67"/>
  <c r="C7" i="67" l="1"/>
  <c r="B6" i="4"/>
  <c r="B5" i="4"/>
  <c r="C22" i="96" s="1"/>
  <c r="K29" i="96" l="1"/>
  <c r="E29" i="96"/>
  <c r="E31" i="96" s="1"/>
  <c r="C29" i="96"/>
  <c r="C31" i="96" s="1"/>
  <c r="G29" i="96"/>
  <c r="G31" i="96" s="1"/>
  <c r="I29" i="96"/>
  <c r="I31" i="96" s="1"/>
  <c r="I16" i="29"/>
  <c r="G16" i="29"/>
  <c r="E13" i="15"/>
  <c r="E11" i="88" s="1"/>
  <c r="K30" i="96" l="1"/>
  <c r="K31" i="96" s="1"/>
  <c r="C33" i="96" s="1"/>
  <c r="C6" i="67"/>
  <c r="A12" i="67" s="1"/>
  <c r="D10" i="67" s="1"/>
  <c r="E12" i="88" l="1"/>
  <c r="B12" i="67"/>
  <c r="C12" i="67" s="1"/>
  <c r="D11" i="67"/>
  <c r="E25" i="88" l="1"/>
  <c r="G25" i="88" s="1"/>
  <c r="D7" i="98" s="1"/>
  <c r="E27" i="88"/>
  <c r="G27" i="88" s="1"/>
  <c r="E23" i="88"/>
  <c r="G23" i="88" s="1"/>
  <c r="E22" i="88"/>
  <c r="G22" i="88" s="1"/>
  <c r="E26" i="88"/>
  <c r="G26" i="88" s="1"/>
  <c r="E24" i="88"/>
  <c r="G24" i="88" s="1"/>
  <c r="E21" i="88"/>
  <c r="G21" i="88" s="1"/>
  <c r="C11" i="67"/>
  <c r="C10" i="67"/>
  <c r="E11" i="67" s="1"/>
  <c r="D13" i="98" l="1"/>
</calcChain>
</file>

<file path=xl/sharedStrings.xml><?xml version="1.0" encoding="utf-8"?>
<sst xmlns="http://schemas.openxmlformats.org/spreadsheetml/2006/main" count="357" uniqueCount="236">
  <si>
    <t>Company</t>
  </si>
  <si>
    <t>Ticker</t>
  </si>
  <si>
    <t>Price</t>
  </si>
  <si>
    <t>[1]</t>
  </si>
  <si>
    <t>[2]</t>
  </si>
  <si>
    <t>[3]</t>
  </si>
  <si>
    <t>[4]</t>
  </si>
  <si>
    <t>[5]</t>
  </si>
  <si>
    <t>Standard Deviation</t>
  </si>
  <si>
    <t>30-day Average</t>
  </si>
  <si>
    <t>Date</t>
  </si>
  <si>
    <t>^GSPC</t>
  </si>
  <si>
    <t>Source</t>
  </si>
  <si>
    <t>[6]</t>
  </si>
  <si>
    <t>[7]</t>
  </si>
  <si>
    <t>[8]</t>
  </si>
  <si>
    <t>Financial Strength</t>
  </si>
  <si>
    <t>Rate</t>
  </si>
  <si>
    <t>[9]</t>
  </si>
  <si>
    <t>Dividends</t>
  </si>
  <si>
    <t>Buyback Yield</t>
  </si>
  <si>
    <t>Dividend Yield</t>
  </si>
  <si>
    <t>Operating Earnings</t>
  </si>
  <si>
    <t>Buybacks</t>
  </si>
  <si>
    <t>Year</t>
  </si>
  <si>
    <t>Earnings Yield</t>
  </si>
  <si>
    <t>Gross Cash Yield</t>
  </si>
  <si>
    <t>Cash Yield</t>
  </si>
  <si>
    <t>Growth Rate</t>
  </si>
  <si>
    <t>[10]</t>
  </si>
  <si>
    <t>Risk-free Rate</t>
  </si>
  <si>
    <t>[11]</t>
  </si>
  <si>
    <t>Current Index Value</t>
  </si>
  <si>
    <t>Expected Dividends</t>
  </si>
  <si>
    <t>Expected Terminal Value</t>
  </si>
  <si>
    <t>Present Value</t>
  </si>
  <si>
    <t>Intrinsic Index Value</t>
  </si>
  <si>
    <t>[12]</t>
  </si>
  <si>
    <t>[13]</t>
  </si>
  <si>
    <t>[14]</t>
  </si>
  <si>
    <t>[15]</t>
  </si>
  <si>
    <t>[16]</t>
  </si>
  <si>
    <t>[17]</t>
  </si>
  <si>
    <t>Implied Equity Risk Premium</t>
  </si>
  <si>
    <t>[5] = [2] / [1]</t>
  </si>
  <si>
    <t>[6] = [3] / [1]</t>
  </si>
  <si>
    <t>[7] = [4] / [1]</t>
  </si>
  <si>
    <t>[8] = [6] + [7]</t>
  </si>
  <si>
    <t>[9] = Average of [8]</t>
  </si>
  <si>
    <t>[18]</t>
  </si>
  <si>
    <t>[19]</t>
  </si>
  <si>
    <t>Beta</t>
  </si>
  <si>
    <t>Value Line Safety Rank</t>
  </si>
  <si>
    <t>Market Category</t>
  </si>
  <si>
    <t>Market Cap. ($ millions)</t>
  </si>
  <si>
    <t>Dividend</t>
  </si>
  <si>
    <t>Required Return on Market</t>
  </si>
  <si>
    <t>[20]</t>
  </si>
  <si>
    <t>Average</t>
  </si>
  <si>
    <t>Industry</t>
  </si>
  <si>
    <t>Broadcasting</t>
  </si>
  <si>
    <t>[19] = [20] + [11]</t>
  </si>
  <si>
    <t>[1] Market value of S&amp;P 500</t>
  </si>
  <si>
    <t>Cost of Equity</t>
  </si>
  <si>
    <r>
      <t>[13-16] Expected dividends = [9]*[12]*(1+[10])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; Present value = expected dividend / (1+[11]+[19])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</t>
    </r>
  </si>
  <si>
    <r>
      <t>[17] Expected terminal value = expected dividend * (1+[11]) / [19] ; Present value = (expected dividend + expected terminal value) / (1+[11]+[19])</t>
    </r>
    <r>
      <rPr>
        <vertAlign val="superscript"/>
        <sz val="9"/>
        <color theme="1"/>
        <rFont val="Calibri"/>
        <family val="2"/>
        <scheme val="minor"/>
      </rPr>
      <t>n</t>
    </r>
  </si>
  <si>
    <t>[18] = Sum([13-17]) present values.</t>
  </si>
  <si>
    <t>[20] Internal rate of return calculation setting [18] equal to [12] and solving for the discount rate</t>
  </si>
  <si>
    <t>Company ERP</t>
  </si>
  <si>
    <t>Model</t>
  </si>
  <si>
    <t>A</t>
  </si>
  <si>
    <t xml:space="preserve">All prices are adjusted closing prices reported by Yahoo! Finance, http://finance.yahoo.com </t>
  </si>
  <si>
    <t>Nominal GDP</t>
  </si>
  <si>
    <t>Yield</t>
  </si>
  <si>
    <t>Stock</t>
  </si>
  <si>
    <t>Garrett</t>
  </si>
  <si>
    <t>IESE Business School Survey</t>
  </si>
  <si>
    <t xml:space="preserve">Beta </t>
  </si>
  <si>
    <t xml:space="preserve">See Betas by Sector (US) at http://pages.stern.nyu.edu/~adamodar/.  </t>
  </si>
  <si>
    <t>Equity risk premium</t>
  </si>
  <si>
    <t>X</t>
  </si>
  <si>
    <t>Y</t>
  </si>
  <si>
    <t>ER</t>
  </si>
  <si>
    <t>a</t>
  </si>
  <si>
    <t>b</t>
  </si>
  <si>
    <t>Top Line</t>
  </si>
  <si>
    <t>Mid Line</t>
  </si>
  <si>
    <t>Bot. Line</t>
  </si>
  <si>
    <t>Top Arrow</t>
  </si>
  <si>
    <t>Bottom Arrow</t>
  </si>
  <si>
    <t>CAPM Result</t>
  </si>
  <si>
    <t>Terminal Growth Determinants</t>
  </si>
  <si>
    <t>Market Value</t>
  </si>
  <si>
    <t>Utilities</t>
  </si>
  <si>
    <t>Figure</t>
  </si>
  <si>
    <t># Firms</t>
  </si>
  <si>
    <t>Debt Ratio</t>
  </si>
  <si>
    <t>Hospitals/Healthcare Facilities</t>
  </si>
  <si>
    <t>Advertising</t>
  </si>
  <si>
    <t>Retail (Automotive)</t>
  </si>
  <si>
    <t>Brokerage &amp; Investment Banking</t>
  </si>
  <si>
    <t>Auto &amp; Truck</t>
  </si>
  <si>
    <t>Food Wholesalers</t>
  </si>
  <si>
    <t>Bank (Money Center)</t>
  </si>
  <si>
    <t>Transportation</t>
  </si>
  <si>
    <t>Hotel/Gaming</t>
  </si>
  <si>
    <t>Packaging &amp; Container</t>
  </si>
  <si>
    <t>Retail (Grocery and Food)</t>
  </si>
  <si>
    <t>R.E.I.T.</t>
  </si>
  <si>
    <t>Retail (Special Lines)</t>
  </si>
  <si>
    <t>Green &amp; Renewable Energy</t>
  </si>
  <si>
    <t>Recreation</t>
  </si>
  <si>
    <t>Air Transport</t>
  </si>
  <si>
    <t>Retail (Distributors)</t>
  </si>
  <si>
    <t>Computers/Peripherals</t>
  </si>
  <si>
    <t>Telecom (Wireless)</t>
  </si>
  <si>
    <t>Farming/Agriculture</t>
  </si>
  <si>
    <t>Cable TV</t>
  </si>
  <si>
    <t>Computer Services</t>
  </si>
  <si>
    <t>Beverage (Soft)</t>
  </si>
  <si>
    <t>Telecom. Services</t>
  </si>
  <si>
    <t>Trucking</t>
  </si>
  <si>
    <t>Power</t>
  </si>
  <si>
    <t>Office Equipment &amp; Services</t>
  </si>
  <si>
    <t>Chemical (Diversified)</t>
  </si>
  <si>
    <t>Retail (Online)</t>
  </si>
  <si>
    <t>Aerospace/Defense</t>
  </si>
  <si>
    <t>Oil/Gas Distribution</t>
  </si>
  <si>
    <t>Business &amp; Consumer Services</t>
  </si>
  <si>
    <t>Construction Supplies</t>
  </si>
  <si>
    <t>Real Estate (Operations &amp; Services)</t>
  </si>
  <si>
    <t>Household Products</t>
  </si>
  <si>
    <t>Environmental &amp; Waste Services</t>
  </si>
  <si>
    <t>Rubber&amp; Tires</t>
  </si>
  <si>
    <t>Transportation (Railroads)</t>
  </si>
  <si>
    <t>Total / Average</t>
  </si>
  <si>
    <t>Apparel</t>
  </si>
  <si>
    <t>Real Estate (Development)</t>
  </si>
  <si>
    <t>Proxy Group of Utilities</t>
  </si>
  <si>
    <t>http://pages.stern.nyu.edu/~adamodar/New_Home_Page/datafile/dbtfund.htm</t>
  </si>
  <si>
    <t>[2] Average stock price from Exhibit DJG-3</t>
  </si>
  <si>
    <t>*Daily Treasury Yield Curve Rates on 30-year T-bonds, http://www.treasury.gov/resources-center/data-chart-center/interest-rates/</t>
  </si>
  <si>
    <t>Betas from Value Line Investment Survey</t>
  </si>
  <si>
    <t>Real GDP</t>
  </si>
  <si>
    <t>Ratio</t>
  </si>
  <si>
    <t>Cost</t>
  </si>
  <si>
    <t>Value Line Investment Survey</t>
  </si>
  <si>
    <t>Damodaran (average)</t>
  </si>
  <si>
    <t>Debt</t>
  </si>
  <si>
    <t>[4] ERP estimation from Exhibit DJG-9</t>
  </si>
  <si>
    <t>Unlevering Beta</t>
  </si>
  <si>
    <t>Tax Rate</t>
  </si>
  <si>
    <t>Equity Risk Premium</t>
  </si>
  <si>
    <t>Proxy Group Beta</t>
  </si>
  <si>
    <t>Unlevered Beta</t>
  </si>
  <si>
    <t>Relevered Betas and Cost of Equity Estimates</t>
  </si>
  <si>
    <t>D/E</t>
  </si>
  <si>
    <t>Levered</t>
  </si>
  <si>
    <t>of Equity</t>
  </si>
  <si>
    <t>[3] = [1] / [2]</t>
  </si>
  <si>
    <t>[5] Equity risk premium from Exhibit DJG-11</t>
  </si>
  <si>
    <t>[6] Risk-free rate from Exhibit DJG-11</t>
  </si>
  <si>
    <t>[7] Average proxy beta from Exhibit DJG-11</t>
  </si>
  <si>
    <t>[8] = [7]  / (1 + (1 - [4]) * [3])</t>
  </si>
  <si>
    <t>[10] = [9] / (1 - [9])</t>
  </si>
  <si>
    <t>[11] = [8] * (1 + (1 - [4]) * [10])</t>
  </si>
  <si>
    <t>[12] = [6] + [11] * [5]</t>
  </si>
  <si>
    <t>[9] Various debt ratios (Garrett proposed highlighted)</t>
  </si>
  <si>
    <t>Utility (Water)</t>
  </si>
  <si>
    <t>Paper/Forest Products</t>
  </si>
  <si>
    <t>Company Proposal</t>
  </si>
  <si>
    <t>B++</t>
  </si>
  <si>
    <t>Green Energy</t>
  </si>
  <si>
    <t>[4] Company assumed tax rate</t>
  </si>
  <si>
    <t>Analyst</t>
  </si>
  <si>
    <t>Sustainable</t>
  </si>
  <si>
    <t>DCF Result</t>
  </si>
  <si>
    <t>Growth</t>
  </si>
  <si>
    <t>(Analyst Growth)</t>
  </si>
  <si>
    <t>(Sustainable Growth)</t>
  </si>
  <si>
    <t>[1] Dividend Yield from Exhibit DJG-4</t>
  </si>
  <si>
    <t>[3] Sustainable growth rate from Exhibit DJG-5</t>
  </si>
  <si>
    <t>Annualized</t>
  </si>
  <si>
    <t>Long-Term Growth Ceiling</t>
  </si>
  <si>
    <t>[1] Yahoo Finance</t>
  </si>
  <si>
    <t xml:space="preserve">[3] = [1] / [2] </t>
  </si>
  <si>
    <t>[1-4] S&amp;P Quarterly Press Releases, data found at https://us.spindices.com/indices/equity/sp-500 (additional info tab) (all dollar figures are in $ billions)</t>
  </si>
  <si>
    <r>
      <t>[10] = Compund annual growth rate of [2] = (end value / beginning value)^</t>
    </r>
    <r>
      <rPr>
        <vertAlign val="superscript"/>
        <sz val="9"/>
        <color theme="1"/>
        <rFont val="Calibri"/>
        <family val="2"/>
        <scheme val="minor"/>
      </rPr>
      <t>1/10</t>
    </r>
    <r>
      <rPr>
        <sz val="9"/>
        <color theme="1"/>
        <rFont val="Calibri"/>
        <family val="2"/>
        <scheme val="minor"/>
      </rPr>
      <t>-1</t>
    </r>
  </si>
  <si>
    <t>[11] Risk-free rate from DJG risk-free rate exhibit</t>
  </si>
  <si>
    <t>[12] 30-day average of closing index prices from DJG stock price exhibit</t>
  </si>
  <si>
    <t>[1] From Exhibit DJG-8</t>
  </si>
  <si>
    <t>[2] = [3] + [1] * [4]</t>
  </si>
  <si>
    <t>[3] From Exhibit DJG-7</t>
  </si>
  <si>
    <t>[4] From Exhibit DJG-10</t>
  </si>
  <si>
    <t>Kroll (Duff &amp; Phelps) Report</t>
  </si>
  <si>
    <t>DCF Model (Analyst Growth)</t>
  </si>
  <si>
    <t>DCF Model (Sustainable Growth)</t>
  </si>
  <si>
    <t>Proxy Debt Ratio</t>
  </si>
  <si>
    <t>Proxy Equity Ratio</t>
  </si>
  <si>
    <t>Proxy Debt / Equity Ratio</t>
  </si>
  <si>
    <t>CAPM (at Proxy Debt Ratio)</t>
  </si>
  <si>
    <t>Hamada CAPM (at Company-Proposed Debt Ratio)</t>
  </si>
  <si>
    <r>
      <t>[4] Annual Compounding DCF = 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(1 + g) / 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g (using analyst growth rate)</t>
    </r>
  </si>
  <si>
    <r>
      <t>[5] Annual Compounding DCF = 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(1 + g) / 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g (using sustainable growth rate)</t>
    </r>
  </si>
  <si>
    <t>Insurance (Life)</t>
  </si>
  <si>
    <t>Utility (General)</t>
  </si>
  <si>
    <t>Reinsurance</t>
  </si>
  <si>
    <t>Retail (General)</t>
  </si>
  <si>
    <t>Furn/Home Furnishings</t>
  </si>
  <si>
    <t>Wireless Telecom</t>
  </si>
  <si>
    <t>Coal</t>
  </si>
  <si>
    <t>[1] IESE Business School Survey 2024</t>
  </si>
  <si>
    <t>[1] Proxy group average debt ratio</t>
  </si>
  <si>
    <t>[2] Proxy group average equity ratio</t>
  </si>
  <si>
    <t>[2] Forecasted dividend growth rates - Value Line</t>
  </si>
  <si>
    <t xml:space="preserve">CBO, The 2024 Long-Term Budget Outlook, p. 34	</t>
  </si>
  <si>
    <t>[2] Kroll (Duff &amp; Phelps), 6-8-2024</t>
  </si>
  <si>
    <t>American States Water Co.</t>
  </si>
  <si>
    <t>American Water Works Co., Inc.</t>
  </si>
  <si>
    <t>Essential Utilities, Inc.</t>
  </si>
  <si>
    <t>Artesian Resources Corp.</t>
  </si>
  <si>
    <t>California Water Service Gp.</t>
  </si>
  <si>
    <t>Middlesex Water</t>
  </si>
  <si>
    <t>York Water Company</t>
  </si>
  <si>
    <t>AWR</t>
  </si>
  <si>
    <t>AWK</t>
  </si>
  <si>
    <t>WTRG</t>
  </si>
  <si>
    <t>ARTNA</t>
  </si>
  <si>
    <t>CWT</t>
  </si>
  <si>
    <t>MSEX</t>
  </si>
  <si>
    <t>YORW</t>
  </si>
  <si>
    <t>Debt ratios from Value Line Investment Survey - 2024 Projected</t>
  </si>
  <si>
    <t>B+</t>
  </si>
  <si>
    <t>Northwest Natural (NWN)</t>
  </si>
  <si>
    <t>Model Average</t>
  </si>
  <si>
    <t>[3] http://pages.stern.nyu.edu/~adamodar/ , 11-1-24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</si>
</sst>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#,##0.000_);[Red]\(#,##0.000\)"/>
    <numFmt numFmtId="167" formatCode="0.00_);[Red]\(0.00\)"/>
    <numFmt numFmtId="168" formatCode="#,##0.0000_);[Red]\(#,##0.0000\)"/>
    <numFmt numFmtId="169" formatCode="mm/dd/yy;@"/>
    <numFmt numFmtId="170" formatCode="0.0"/>
    <numFmt numFmtId="171" formatCode="0.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Verdana"/>
      <family val="2"/>
    </font>
    <font>
      <sz val="12"/>
      <color theme="1"/>
      <name val="Calibri"/>
      <family val="2"/>
    </font>
    <font>
      <sz val="10"/>
      <name val="Geneva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/>
    <xf numFmtId="10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0" fillId="0" borderId="1" xfId="0" applyBorder="1"/>
    <xf numFmtId="164" fontId="0" fillId="0" borderId="0" xfId="1" applyNumberFormat="1" applyFon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10" fontId="2" fillId="0" borderId="0" xfId="1" applyNumberFormat="1" applyFont="1" applyAlignment="1">
      <alignment horizontal="center"/>
    </xf>
    <xf numFmtId="10" fontId="0" fillId="0" borderId="0" xfId="1" applyNumberFormat="1" applyFont="1"/>
    <xf numFmtId="10" fontId="0" fillId="0" borderId="0" xfId="0" applyNumberFormat="1" applyAlignment="1">
      <alignment horizontal="center"/>
    </xf>
    <xf numFmtId="10" fontId="2" fillId="0" borderId="0" xfId="0" applyNumberFormat="1" applyFont="1"/>
    <xf numFmtId="0" fontId="2" fillId="0" borderId="0" xfId="0" applyFont="1" applyAlignment="1">
      <alignment horizontal="left"/>
    </xf>
    <xf numFmtId="37" fontId="0" fillId="0" borderId="0" xfId="2" applyNumberFormat="1" applyFont="1" applyAlignment="1">
      <alignment horizontal="right" indent="1"/>
    </xf>
    <xf numFmtId="37" fontId="0" fillId="0" borderId="0" xfId="2" applyNumberFormat="1" applyFont="1" applyAlignment="1">
      <alignment horizontal="right" indent="2"/>
    </xf>
    <xf numFmtId="0" fontId="0" fillId="0" borderId="1" xfId="0" applyBorder="1" applyAlignment="1">
      <alignment horizontal="left"/>
    </xf>
    <xf numFmtId="10" fontId="2" fillId="0" borderId="1" xfId="0" applyNumberFormat="1" applyFont="1" applyBorder="1"/>
    <xf numFmtId="169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/>
    </xf>
    <xf numFmtId="17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/>
    <xf numFmtId="166" fontId="0" fillId="0" borderId="1" xfId="0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40" fontId="0" fillId="0" borderId="0" xfId="0" applyNumberFormat="1" applyAlignment="1">
      <alignment horizontal="center"/>
    </xf>
    <xf numFmtId="40" fontId="0" fillId="0" borderId="0" xfId="2" applyNumberFormat="1" applyFont="1" applyAlignment="1">
      <alignment horizontal="center"/>
    </xf>
    <xf numFmtId="40" fontId="0" fillId="0" borderId="0" xfId="0" applyNumberFormat="1" applyAlignment="1">
      <alignment horizontal="right" indent="2"/>
    </xf>
    <xf numFmtId="40" fontId="0" fillId="0" borderId="0" xfId="1" applyNumberFormat="1" applyFont="1" applyAlignment="1">
      <alignment horizontal="right" indent="2"/>
    </xf>
    <xf numFmtId="40" fontId="0" fillId="0" borderId="0" xfId="0" applyNumberFormat="1" applyAlignment="1">
      <alignment horizontal="right" indent="3"/>
    </xf>
    <xf numFmtId="8" fontId="2" fillId="0" borderId="0" xfId="0" applyNumberFormat="1" applyFont="1" applyAlignment="1">
      <alignment horizontal="right" indent="3"/>
    </xf>
    <xf numFmtId="40" fontId="0" fillId="0" borderId="1" xfId="1" applyNumberFormat="1" applyFont="1" applyBorder="1" applyAlignment="1">
      <alignment horizontal="right" indent="2"/>
    </xf>
    <xf numFmtId="8" fontId="2" fillId="0" borderId="0" xfId="0" applyNumberFormat="1" applyFont="1" applyAlignment="1">
      <alignment horizontal="right" indent="2"/>
    </xf>
    <xf numFmtId="40" fontId="0" fillId="0" borderId="1" xfId="2" applyNumberFormat="1" applyFont="1" applyBorder="1" applyAlignment="1">
      <alignment horizontal="center"/>
    </xf>
    <xf numFmtId="1" fontId="0" fillId="0" borderId="0" xfId="0" applyNumberFormat="1" applyAlignment="1">
      <alignment horizontal="right" indent="1"/>
    </xf>
    <xf numFmtId="1" fontId="0" fillId="0" borderId="0" xfId="0" applyNumberFormat="1"/>
    <xf numFmtId="1" fontId="0" fillId="0" borderId="1" xfId="0" applyNumberFormat="1" applyBorder="1" applyAlignment="1">
      <alignment horizontal="right" indent="1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9" fillId="0" borderId="1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1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1" applyNumberFormat="1" applyFont="1"/>
    <xf numFmtId="164" fontId="9" fillId="0" borderId="0" xfId="1" applyNumberFormat="1" applyFont="1" applyAlignment="1">
      <alignment horizontal="center"/>
    </xf>
    <xf numFmtId="10" fontId="9" fillId="0" borderId="0" xfId="1" applyNumberFormat="1" applyFont="1" applyAlignment="1">
      <alignment horizontal="center"/>
    </xf>
    <xf numFmtId="164" fontId="9" fillId="0" borderId="0" xfId="0" applyNumberFormat="1" applyFont="1"/>
    <xf numFmtId="164" fontId="9" fillId="0" borderId="1" xfId="1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1" xfId="0" applyFont="1" applyBorder="1"/>
    <xf numFmtId="10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1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38" fontId="13" fillId="0" borderId="0" xfId="0" applyNumberFormat="1" applyFont="1" applyAlignment="1">
      <alignment horizontal="right" indent="1"/>
    </xf>
    <xf numFmtId="38" fontId="13" fillId="0" borderId="0" xfId="0" applyNumberFormat="1" applyFont="1" applyAlignment="1">
      <alignment horizontal="right" indent="3"/>
    </xf>
    <xf numFmtId="38" fontId="13" fillId="0" borderId="0" xfId="0" applyNumberFormat="1" applyFont="1" applyAlignment="1">
      <alignment horizontal="left" indent="1"/>
    </xf>
    <xf numFmtId="38" fontId="13" fillId="0" borderId="0" xfId="0" applyNumberFormat="1" applyFont="1" applyAlignment="1">
      <alignment horizontal="left" indent="2"/>
    </xf>
    <xf numFmtId="0" fontId="13" fillId="0" borderId="0" xfId="0" applyFont="1" applyAlignment="1">
      <alignment horizontal="left" indent="3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38" fontId="13" fillId="0" borderId="1" xfId="0" applyNumberFormat="1" applyFont="1" applyBorder="1" applyAlignment="1">
      <alignment horizontal="right" indent="2"/>
    </xf>
    <xf numFmtId="38" fontId="13" fillId="0" borderId="1" xfId="0" applyNumberFormat="1" applyFont="1" applyBorder="1" applyAlignment="1">
      <alignment horizontal="right" indent="3"/>
    </xf>
    <xf numFmtId="38" fontId="13" fillId="0" borderId="1" xfId="0" applyNumberFormat="1" applyFont="1" applyBorder="1" applyAlignment="1">
      <alignment horizontal="left" indent="1"/>
    </xf>
    <xf numFmtId="38" fontId="13" fillId="0" borderId="1" xfId="0" applyNumberFormat="1" applyFont="1" applyBorder="1" applyAlignment="1">
      <alignment horizontal="left" indent="2"/>
    </xf>
    <xf numFmtId="0" fontId="13" fillId="0" borderId="1" xfId="0" applyFont="1" applyBorder="1" applyAlignment="1">
      <alignment horizontal="left" indent="3"/>
    </xf>
    <xf numFmtId="0" fontId="14" fillId="0" borderId="0" xfId="0" applyFont="1" applyAlignment="1">
      <alignment horizontal="center"/>
    </xf>
    <xf numFmtId="38" fontId="13" fillId="0" borderId="0" xfId="0" applyNumberFormat="1" applyFont="1" applyAlignment="1">
      <alignment horizontal="right" indent="2"/>
    </xf>
    <xf numFmtId="0" fontId="15" fillId="0" borderId="0" xfId="0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horizontal="center" wrapText="1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171" fontId="0" fillId="0" borderId="0" xfId="0" applyNumberFormat="1"/>
    <xf numFmtId="2" fontId="0" fillId="2" borderId="0" xfId="0" applyNumberFormat="1" applyFill="1"/>
    <xf numFmtId="171" fontId="0" fillId="2" borderId="0" xfId="0" applyNumberFormat="1" applyFill="1"/>
    <xf numFmtId="0" fontId="4" fillId="0" borderId="1" xfId="4" applyBorder="1"/>
    <xf numFmtId="0" fontId="4" fillId="0" borderId="0" xfId="4"/>
    <xf numFmtId="0" fontId="4" fillId="0" borderId="1" xfId="4" applyBorder="1" applyAlignment="1">
      <alignment horizontal="center"/>
    </xf>
    <xf numFmtId="0" fontId="4" fillId="0" borderId="0" xfId="4" applyAlignment="1">
      <alignment horizontal="center"/>
    </xf>
    <xf numFmtId="1" fontId="4" fillId="0" borderId="0" xfId="4" applyNumberFormat="1"/>
    <xf numFmtId="0" fontId="0" fillId="0" borderId="0" xfId="0" applyAlignment="1">
      <alignment horizontal="left" indent="3"/>
    </xf>
    <xf numFmtId="164" fontId="0" fillId="0" borderId="0" xfId="0" applyNumberFormat="1"/>
    <xf numFmtId="164" fontId="9" fillId="0" borderId="0" xfId="1" applyNumberFormat="1" applyFont="1" applyFill="1" applyAlignment="1">
      <alignment horizontal="center"/>
    </xf>
    <xf numFmtId="164" fontId="11" fillId="0" borderId="0" xfId="1" applyNumberFormat="1" applyFont="1" applyAlignment="1">
      <alignment vertical="top"/>
    </xf>
    <xf numFmtId="0" fontId="1" fillId="0" borderId="1" xfId="0" applyFont="1" applyBorder="1"/>
    <xf numFmtId="9" fontId="1" fillId="0" borderId="1" xfId="1" applyBorder="1"/>
    <xf numFmtId="0" fontId="1" fillId="0" borderId="0" xfId="0" applyFont="1"/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center"/>
    </xf>
    <xf numFmtId="9" fontId="1" fillId="0" borderId="0" xfId="1" applyAlignment="1">
      <alignment horizontal="center"/>
    </xf>
    <xf numFmtId="0" fontId="0" fillId="0" borderId="0" xfId="0" applyAlignment="1">
      <alignment horizontal="right" indent="2"/>
    </xf>
    <xf numFmtId="9" fontId="1" fillId="0" borderId="0" xfId="1" applyFont="1" applyFill="1" applyAlignment="1">
      <alignment horizontal="center"/>
    </xf>
    <xf numFmtId="9" fontId="1" fillId="0" borderId="0" xfId="1" applyFont="1" applyAlignment="1">
      <alignment horizontal="center"/>
    </xf>
    <xf numFmtId="0" fontId="1" fillId="0" borderId="1" xfId="0" applyFont="1" applyBorder="1" applyAlignment="1">
      <alignment horizontal="right" indent="2"/>
    </xf>
    <xf numFmtId="37" fontId="2" fillId="0" borderId="0" xfId="2" applyNumberFormat="1" applyFont="1" applyAlignment="1">
      <alignment horizontal="right" indent="1"/>
    </xf>
    <xf numFmtId="9" fontId="2" fillId="0" borderId="0" xfId="1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9" fontId="1" fillId="0" borderId="0" xfId="1" applyFont="1" applyFill="1" applyAlignment="1">
      <alignment horizontal="center" vertical="center"/>
    </xf>
    <xf numFmtId="9" fontId="1" fillId="0" borderId="0" xfId="1"/>
    <xf numFmtId="0" fontId="9" fillId="0" borderId="0" xfId="0" applyFont="1" applyAlignment="1">
      <alignment horizontal="left" indent="1"/>
    </xf>
    <xf numFmtId="10" fontId="9" fillId="0" borderId="0" xfId="0" applyNumberFormat="1" applyFont="1" applyAlignment="1">
      <alignment horizontal="left"/>
    </xf>
    <xf numFmtId="9" fontId="2" fillId="0" borderId="1" xfId="1" applyFont="1" applyFill="1" applyBorder="1" applyAlignment="1">
      <alignment horizontal="center"/>
    </xf>
    <xf numFmtId="9" fontId="0" fillId="0" borderId="0" xfId="1" applyFont="1"/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9" fontId="1" fillId="0" borderId="0" xfId="1" applyFont="1" applyFill="1" applyBorder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165" fontId="0" fillId="0" borderId="0" xfId="1" applyNumberFormat="1" applyFont="1"/>
    <xf numFmtId="44" fontId="0" fillId="0" borderId="0" xfId="13" applyFont="1"/>
    <xf numFmtId="164" fontId="10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42" fontId="0" fillId="0" borderId="0" xfId="0" applyNumberFormat="1"/>
    <xf numFmtId="42" fontId="0" fillId="0" borderId="0" xfId="0" applyNumberFormat="1" applyAlignment="1">
      <alignment horizontal="center"/>
    </xf>
    <xf numFmtId="9" fontId="0" fillId="0" borderId="0" xfId="1" applyFont="1" applyFill="1"/>
    <xf numFmtId="164" fontId="0" fillId="0" borderId="0" xfId="1" applyNumberFormat="1" applyFont="1" applyFill="1"/>
    <xf numFmtId="2" fontId="0" fillId="0" borderId="0" xfId="1" applyNumberFormat="1" applyFont="1" applyFill="1"/>
    <xf numFmtId="9" fontId="0" fillId="0" borderId="0" xfId="1" applyFont="1" applyAlignment="1">
      <alignment horizontal="right" indent="1"/>
    </xf>
    <xf numFmtId="9" fontId="0" fillId="0" borderId="0" xfId="1" applyFont="1" applyFill="1" applyAlignment="1">
      <alignment horizontal="right" indent="1"/>
    </xf>
    <xf numFmtId="164" fontId="1" fillId="0" borderId="0" xfId="1" applyNumberFormat="1" applyFont="1" applyFill="1" applyAlignment="1">
      <alignment horizontal="center"/>
    </xf>
    <xf numFmtId="0" fontId="0" fillId="4" borderId="0" xfId="0" applyFill="1"/>
    <xf numFmtId="9" fontId="1" fillId="4" borderId="0" xfId="1" applyFont="1" applyFill="1" applyAlignment="1">
      <alignment horizontal="center"/>
    </xf>
    <xf numFmtId="0" fontId="1" fillId="4" borderId="1" xfId="0" applyFont="1" applyFill="1" applyBorder="1"/>
    <xf numFmtId="9" fontId="1" fillId="4" borderId="1" xfId="1" applyFill="1" applyBorder="1" applyAlignment="1">
      <alignment horizontal="center"/>
    </xf>
    <xf numFmtId="9" fontId="1" fillId="0" borderId="1" xfId="1" applyBorder="1" applyAlignment="1">
      <alignment horizontal="center"/>
    </xf>
    <xf numFmtId="9" fontId="2" fillId="6" borderId="0" xfId="1" applyFont="1" applyFill="1" applyAlignment="1">
      <alignment horizontal="center" vertical="center"/>
    </xf>
    <xf numFmtId="164" fontId="0" fillId="0" borderId="0" xfId="1" applyNumberFormat="1" applyFont="1" applyBorder="1" applyAlignment="1">
      <alignment horizontal="right" indent="2"/>
    </xf>
    <xf numFmtId="164" fontId="0" fillId="0" borderId="0" xfId="1" applyNumberFormat="1" applyFont="1" applyBorder="1" applyAlignment="1">
      <alignment horizontal="right" indent="6"/>
    </xf>
    <xf numFmtId="164" fontId="0" fillId="0" borderId="1" xfId="1" applyNumberFormat="1" applyFont="1" applyBorder="1" applyAlignment="1">
      <alignment horizontal="right" indent="2"/>
    </xf>
    <xf numFmtId="40" fontId="0" fillId="0" borderId="0" xfId="1" applyNumberFormat="1" applyFont="1" applyBorder="1" applyAlignment="1">
      <alignment horizontal="right" indent="2"/>
    </xf>
    <xf numFmtId="164" fontId="0" fillId="0" borderId="1" xfId="1" applyNumberFormat="1" applyFont="1" applyBorder="1" applyAlignment="1">
      <alignment horizontal="right" indent="6"/>
    </xf>
    <xf numFmtId="164" fontId="0" fillId="0" borderId="0" xfId="1" applyNumberFormat="1" applyFont="1" applyAlignment="1">
      <alignment horizontal="right" indent="6"/>
    </xf>
    <xf numFmtId="165" fontId="0" fillId="0" borderId="0" xfId="0" applyNumberFormat="1" applyAlignment="1">
      <alignment horizontal="right" indent="6"/>
    </xf>
    <xf numFmtId="164" fontId="2" fillId="0" borderId="0" xfId="1" applyNumberFormat="1" applyFont="1" applyAlignment="1">
      <alignment horizontal="right" indent="2"/>
    </xf>
    <xf numFmtId="164" fontId="2" fillId="0" borderId="0" xfId="1" applyNumberFormat="1" applyFont="1" applyAlignment="1">
      <alignment horizontal="right" indent="6"/>
    </xf>
    <xf numFmtId="10" fontId="0" fillId="0" borderId="0" xfId="1" applyNumberFormat="1" applyFont="1" applyBorder="1" applyAlignment="1">
      <alignment horizontal="center"/>
    </xf>
    <xf numFmtId="164" fontId="0" fillId="0" borderId="0" xfId="0" applyNumberFormat="1" applyAlignment="1">
      <alignment horizontal="right" indent="2"/>
    </xf>
    <xf numFmtId="164" fontId="2" fillId="0" borderId="0" xfId="1" applyNumberFormat="1" applyFont="1" applyBorder="1" applyAlignment="1">
      <alignment horizontal="right" indent="2"/>
    </xf>
    <xf numFmtId="37" fontId="0" fillId="0" borderId="0" xfId="2" applyNumberFormat="1" applyFont="1" applyFill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/>
    <xf numFmtId="164" fontId="2" fillId="3" borderId="0" xfId="1" applyNumberFormat="1" applyFont="1" applyFill="1" applyBorder="1" applyAlignment="1">
      <alignment horizontal="center"/>
    </xf>
    <xf numFmtId="170" fontId="0" fillId="0" borderId="0" xfId="1" applyNumberFormat="1" applyFont="1"/>
    <xf numFmtId="0" fontId="21" fillId="0" borderId="0" xfId="0" applyFont="1"/>
    <xf numFmtId="164" fontId="21" fillId="0" borderId="0" xfId="0" applyNumberFormat="1" applyFont="1" applyAlignment="1">
      <alignment horizontal="center"/>
    </xf>
    <xf numFmtId="0" fontId="21" fillId="0" borderId="1" xfId="0" applyFont="1" applyBorder="1"/>
    <xf numFmtId="0" fontId="21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9" fontId="0" fillId="5" borderId="0" xfId="1" applyFont="1" applyFill="1" applyAlignment="1">
      <alignment horizontal="right" indent="1"/>
    </xf>
    <xf numFmtId="170" fontId="0" fillId="5" borderId="0" xfId="1" applyNumberFormat="1" applyFont="1" applyFill="1" applyAlignment="1">
      <alignment horizontal="center"/>
    </xf>
    <xf numFmtId="9" fontId="0" fillId="5" borderId="0" xfId="1" applyFont="1" applyFill="1"/>
    <xf numFmtId="2" fontId="0" fillId="5" borderId="0" xfId="0" applyNumberFormat="1" applyFill="1" applyAlignment="1">
      <alignment horizontal="center"/>
    </xf>
    <xf numFmtId="165" fontId="0" fillId="5" borderId="0" xfId="0" applyNumberFormat="1" applyFill="1"/>
    <xf numFmtId="164" fontId="0" fillId="5" borderId="0" xfId="0" applyNumberFormat="1" applyFill="1" applyAlignment="1">
      <alignment horizontal="center"/>
    </xf>
    <xf numFmtId="9" fontId="0" fillId="7" borderId="0" xfId="1" applyFont="1" applyFill="1" applyAlignment="1">
      <alignment horizontal="right" indent="1"/>
    </xf>
    <xf numFmtId="170" fontId="0" fillId="7" borderId="0" xfId="1" applyNumberFormat="1" applyFont="1" applyFill="1" applyAlignment="1">
      <alignment horizontal="center"/>
    </xf>
    <xf numFmtId="9" fontId="0" fillId="7" borderId="0" xfId="1" applyFont="1" applyFill="1"/>
    <xf numFmtId="2" fontId="0" fillId="7" borderId="0" xfId="0" applyNumberFormat="1" applyFill="1" applyAlignment="1">
      <alignment horizontal="center"/>
    </xf>
    <xf numFmtId="165" fontId="0" fillId="7" borderId="0" xfId="0" applyNumberFormat="1" applyFill="1"/>
    <xf numFmtId="164" fontId="0" fillId="7" borderId="0" xfId="0" applyNumberFormat="1" applyFill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40" fontId="0" fillId="0" borderId="1" xfId="0" applyNumberFormat="1" applyBorder="1" applyAlignment="1">
      <alignment horizontal="right" indent="2"/>
    </xf>
    <xf numFmtId="164" fontId="21" fillId="0" borderId="0" xfId="0" applyNumberFormat="1" applyFont="1"/>
    <xf numFmtId="9" fontId="1" fillId="4" borderId="0" xfId="1" applyFill="1" applyAlignment="1">
      <alignment horizontal="center"/>
    </xf>
    <xf numFmtId="9" fontId="1" fillId="0" borderId="0" xfId="1" applyBorder="1" applyAlignment="1">
      <alignment horizontal="center"/>
    </xf>
    <xf numFmtId="10" fontId="9" fillId="5" borderId="0" xfId="1" applyNumberFormat="1" applyFont="1" applyFill="1"/>
    <xf numFmtId="10" fontId="0" fillId="0" borderId="0" xfId="1" applyNumberFormat="1" applyFont="1" applyFill="1" applyAlignment="1">
      <alignment horizontal="center"/>
    </xf>
    <xf numFmtId="9" fontId="0" fillId="0" borderId="0" xfId="1" applyFont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" fillId="7" borderId="0" xfId="0" applyFont="1" applyFill="1"/>
    <xf numFmtId="9" fontId="1" fillId="3" borderId="0" xfId="1" applyFont="1" applyFill="1" applyAlignment="1">
      <alignment horizontal="center" vertical="center"/>
    </xf>
    <xf numFmtId="9" fontId="2" fillId="4" borderId="0" xfId="1" applyFont="1" applyFill="1" applyAlignment="1">
      <alignment horizontal="center" vertical="center"/>
    </xf>
    <xf numFmtId="0" fontId="5" fillId="0" borderId="0" xfId="0" applyFont="1"/>
    <xf numFmtId="14" fontId="5" fillId="0" borderId="0" xfId="0" applyNumberFormat="1" applyFont="1"/>
    <xf numFmtId="0" fontId="0" fillId="0" borderId="0" xfId="0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2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4">
    <cellStyle name="_x000a_bidires=100_x000d_" xfId="3" xr:uid="{00000000-0005-0000-0000-000000000000}"/>
    <cellStyle name="Comma" xfId="2" builtinId="3"/>
    <cellStyle name="Comma 2" xfId="6" xr:uid="{00000000-0005-0000-0000-000002000000}"/>
    <cellStyle name="Currency" xfId="13" builtinId="4"/>
    <cellStyle name="Currency 15" xfId="9" xr:uid="{00000000-0005-0000-0000-000003000000}"/>
    <cellStyle name="Normal" xfId="0" builtinId="0"/>
    <cellStyle name="Normal 2" xfId="4" xr:uid="{00000000-0005-0000-0000-000005000000}"/>
    <cellStyle name="Normal 3" xfId="11" xr:uid="{00000000-0005-0000-0000-000038000000}"/>
    <cellStyle name="Normal 4 2" xfId="8" xr:uid="{00000000-0005-0000-0000-000006000000}"/>
    <cellStyle name="Percent" xfId="1" builtinId="5"/>
    <cellStyle name="Percent 10" xfId="10" xr:uid="{00000000-0005-0000-0000-00000C000000}"/>
    <cellStyle name="Percent 2" xfId="5" xr:uid="{00000000-0005-0000-0000-00000D000000}"/>
    <cellStyle name="Percent 3" xfId="7" xr:uid="{00000000-0005-0000-0000-00000E000000}"/>
    <cellStyle name="Percent 4" xfId="12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'11 ERP Result'!$A$4</c:f>
              <c:strCache>
                <c:ptCount val="1"/>
                <c:pt idx="0">
                  <c:v>IESE Business School Survey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3.3078677233260097E-3"/>
                  <c:y val="-7.39221148845880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IESE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 ERP Result'!$C$4</c:f>
              <c:numCache>
                <c:formatCode>0.0%</c:formatCode>
                <c:ptCount val="1"/>
                <c:pt idx="0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8-417D-8839-F59111CA5FA3}"/>
            </c:ext>
          </c:extLst>
        </c:ser>
        <c:ser>
          <c:idx val="5"/>
          <c:order val="1"/>
          <c:tx>
            <c:v>Damodaran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3.3085190065950247E-3"/>
                  <c:y val="-2.844966524915244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 ERP Result'!$C$8</c:f>
              <c:numCache>
                <c:formatCode>0.0%</c:formatCode>
                <c:ptCount val="1"/>
                <c:pt idx="0">
                  <c:v>4.5180000000000005E-2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8-417D-8839-F59111CA5FA3}"/>
            </c:ext>
          </c:extLst>
        </c:ser>
        <c:ser>
          <c:idx val="0"/>
          <c:order val="2"/>
          <c:tx>
            <c:strRef>
              <c:f>'11 ERP Result'!$H$4</c:f>
              <c:strCache>
                <c:ptCount val="1"/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'11 ERP Result'!$C$6</c:f>
              <c:numCache>
                <c:formatCode>0.0%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18-417D-8839-F59111CA5FA3}"/>
            </c:ext>
          </c:extLst>
        </c:ser>
        <c:ser>
          <c:idx val="2"/>
          <c:order val="3"/>
          <c:tx>
            <c:strRef>
              <c:f>'11 ERP Result'!$A$10</c:f>
              <c:strCache>
                <c:ptCount val="1"/>
                <c:pt idx="0">
                  <c:v>Garrett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080259909566853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 ERP Result'!$C$10</c:f>
              <c:numCache>
                <c:formatCode>0.0%</c:formatCode>
                <c:ptCount val="1"/>
                <c:pt idx="0">
                  <c:v>5.1513053377909936E-2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18-417D-8839-F59111CA5FA3}"/>
            </c:ext>
          </c:extLst>
        </c:ser>
        <c:ser>
          <c:idx val="3"/>
          <c:order val="4"/>
          <c:tx>
            <c:strRef>
              <c:f>'11 ERP Result'!$H$3</c:f>
              <c:strCache>
                <c:ptCount val="1"/>
                <c:pt idx="0">
                  <c:v>Company ERP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114300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0018-417D-8839-F59111CA5FA3}"/>
              </c:ext>
            </c:extLst>
          </c:dPt>
          <c:dLbls>
            <c:dLbl>
              <c:idx val="0"/>
              <c:layout>
                <c:manualLayout>
                  <c:x val="-9.5688231446525629E-4"/>
                  <c:y val="-1.5663820062134385E-5"/>
                </c:manualLayout>
              </c:layout>
              <c:tx>
                <c:rich>
                  <a:bodyPr/>
                  <a:lstStyle/>
                  <a:p>
                    <a:r>
                      <a:rPr lang="en-US" sz="1800"/>
                      <a:t>Rowell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649480432327"/>
                      <c:h val="9.618117234515730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 ERP Result'!$I$3</c:f>
              <c:numCache>
                <c:formatCode>0.00%</c:formatCode>
                <c:ptCount val="1"/>
                <c:pt idx="0">
                  <c:v>8.0199999999999994E-2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18-417D-8839-F59111CA5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-30"/>
        <c:axId val="387372176"/>
        <c:axId val="387371056"/>
      </c:barChart>
      <c:catAx>
        <c:axId val="387372176"/>
        <c:scaling>
          <c:orientation val="minMax"/>
        </c:scaling>
        <c:delete val="1"/>
        <c:axPos val="b"/>
        <c:majorTickMark val="out"/>
        <c:minorTickMark val="none"/>
        <c:tickLblPos val="none"/>
        <c:crossAx val="387371056"/>
        <c:crosses val="autoZero"/>
        <c:auto val="1"/>
        <c:lblAlgn val="ctr"/>
        <c:lblOffset val="100"/>
        <c:noMultiLvlLbl val="0"/>
      </c:catAx>
      <c:valAx>
        <c:axId val="387371056"/>
        <c:scaling>
          <c:orientation val="minMax"/>
          <c:max val="9.0000000000000024E-2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out"/>
        <c:minorTickMark val="none"/>
        <c:tickLblPos val="nextTo"/>
        <c:crossAx val="38737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62916155857243E-2"/>
          <c:y val="8.269097807105516E-2"/>
          <c:w val="0.89140133345400785"/>
          <c:h val="0.81802185380152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Industry Betas'!$A$5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C28-4004-A0E4-A5DC8103F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Betas'!$B$5</c:f>
              <c:numCache>
                <c:formatCode>0.00</c:formatCode>
                <c:ptCount val="1"/>
                <c:pt idx="0">
                  <c:v>0.63513941960164833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28-4004-A0E4-A5DC8103FF18}"/>
            </c:ext>
          </c:extLst>
        </c:ser>
        <c:ser>
          <c:idx val="1"/>
          <c:order val="1"/>
          <c:tx>
            <c:strRef>
              <c:f>'Fig Industry Betas'!$A$6</c:f>
              <c:strCache>
                <c:ptCount val="1"/>
                <c:pt idx="0">
                  <c:v>Wireless Telecom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Betas'!$B$6</c:f>
              <c:numCache>
                <c:formatCode>0.00</c:formatCode>
                <c:ptCount val="1"/>
                <c:pt idx="0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8-4004-A0E4-A5DC8103FF18}"/>
            </c:ext>
          </c:extLst>
        </c:ser>
        <c:ser>
          <c:idx val="2"/>
          <c:order val="2"/>
          <c:tx>
            <c:strRef>
              <c:f>'Fig Industry Betas'!$A$7</c:f>
              <c:strCache>
                <c:ptCount val="1"/>
                <c:pt idx="0">
                  <c:v>Cable TV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Betas'!$B$7</c:f>
              <c:numCache>
                <c:formatCode>0.00</c:formatCode>
                <c:ptCount val="1"/>
                <c:pt idx="0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28-4004-A0E4-A5DC8103FF18}"/>
            </c:ext>
          </c:extLst>
        </c:ser>
        <c:ser>
          <c:idx val="3"/>
          <c:order val="3"/>
          <c:tx>
            <c:strRef>
              <c:f>'Fig Industry Betas'!$A$8</c:f>
              <c:strCache>
                <c:ptCount val="1"/>
                <c:pt idx="0">
                  <c:v>Coal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Betas'!$B$8</c:f>
              <c:numCache>
                <c:formatCode>0.00</c:formatCode>
                <c:ptCount val="1"/>
                <c:pt idx="0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28-4004-A0E4-A5DC8103FF18}"/>
            </c:ext>
          </c:extLst>
        </c:ser>
        <c:ser>
          <c:idx val="4"/>
          <c:order val="4"/>
          <c:tx>
            <c:strRef>
              <c:f>'Fig Industry Betas'!$A$9</c:f>
              <c:strCache>
                <c:ptCount val="1"/>
                <c:pt idx="0">
                  <c:v>Green Energy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Betas'!$B$9</c:f>
              <c:numCache>
                <c:formatCode>0.00</c:formatCode>
                <c:ptCount val="1"/>
                <c:pt idx="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28-4004-A0E4-A5DC8103FF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51"/>
        <c:axId val="390906992"/>
        <c:axId val="390907552"/>
      </c:barChart>
      <c:catAx>
        <c:axId val="390906992"/>
        <c:scaling>
          <c:orientation val="minMax"/>
        </c:scaling>
        <c:delete val="1"/>
        <c:axPos val="b"/>
        <c:majorTickMark val="none"/>
        <c:minorTickMark val="none"/>
        <c:tickLblPos val="none"/>
        <c:crossAx val="390907552"/>
        <c:crosses val="autoZero"/>
        <c:auto val="1"/>
        <c:lblAlgn val="ctr"/>
        <c:lblOffset val="100"/>
        <c:noMultiLvlLbl val="0"/>
      </c:catAx>
      <c:valAx>
        <c:axId val="39090755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Beta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0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K = R</a:t>
            </a:r>
            <a:r>
              <a:rPr lang="en-US" sz="1800" i="1" baseline="-25000">
                <a:latin typeface="Cambria Math" panose="02040503050406030204" pitchFamily="18" charset="0"/>
                <a:ea typeface="Cambria Math" panose="02040503050406030204" pitchFamily="18" charset="0"/>
              </a:rPr>
              <a:t>F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 + </a:t>
            </a:r>
            <a:r>
              <a:rPr lang="el-GR" sz="1800" i="1">
                <a:latin typeface="Cambria Math" panose="02040503050406030204" pitchFamily="18" charset="0"/>
                <a:ea typeface="Cambria Math" panose="02040503050406030204" pitchFamily="18" charset="0"/>
              </a:rPr>
              <a:t>β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(ERP)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16009885446752"/>
          <c:y val="0.13172682414698161"/>
          <c:w val="0.68290820393946083"/>
          <c:h val="0.71886866141732286"/>
        </c:manualLayout>
      </c:layout>
      <c:scatterChart>
        <c:scatterStyle val="smoothMarker"/>
        <c:varyColors val="0"/>
        <c:ser>
          <c:idx val="0"/>
          <c:order val="0"/>
          <c:tx>
            <c:v>SML</c:v>
          </c:tx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0.83571428571428563</c:v>
                </c:pt>
                <c:pt idx="3">
                  <c:v>1</c:v>
                </c:pt>
              </c:numCache>
            </c:numRef>
          </c:xVal>
          <c:yVal>
            <c:numRef>
              <c:f>'Fig CAPM Graph'!$B$10:$B$14</c:f>
              <c:numCache>
                <c:formatCode>0.0000</c:formatCode>
                <c:ptCount val="5"/>
                <c:pt idx="0">
                  <c:v>4.3623333333333333E-2</c:v>
                </c:pt>
                <c:pt idx="1">
                  <c:v>6.8834965005572069E-2</c:v>
                </c:pt>
                <c:pt idx="2">
                  <c:v>8.5762774842646661E-2</c:v>
                </c:pt>
                <c:pt idx="3">
                  <c:v>9.4046596677810818E-2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77-4368-AAC1-F808B78923B7}"/>
            </c:ext>
          </c:extLst>
        </c:ser>
        <c:ser>
          <c:idx val="1"/>
          <c:order val="1"/>
          <c:spPr>
            <a:ln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0.83571428571428563</c:v>
                </c:pt>
                <c:pt idx="3">
                  <c:v>1</c:v>
                </c:pt>
              </c:numCache>
            </c:numRef>
          </c:xVal>
          <c:yVal>
            <c:numRef>
              <c:f>'Fig CAPM Graph'!$C$10:$C$12</c:f>
              <c:numCache>
                <c:formatCode>0.0000</c:formatCode>
                <c:ptCount val="3"/>
                <c:pt idx="0">
                  <c:v>8.5762774842646661E-2</c:v>
                </c:pt>
                <c:pt idx="1">
                  <c:v>8.5762774842646661E-2</c:v>
                </c:pt>
                <c:pt idx="2">
                  <c:v>8.5762774842646661E-2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77-4368-AAC1-F808B78923B7}"/>
            </c:ext>
          </c:extLst>
        </c:ser>
        <c:ser>
          <c:idx val="2"/>
          <c:order val="2"/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CAPM Graph'!$D$10:$D$11</c:f>
              <c:numCache>
                <c:formatCode>0.0000</c:formatCode>
                <c:ptCount val="2"/>
                <c:pt idx="0">
                  <c:v>0.83571428571428563</c:v>
                </c:pt>
                <c:pt idx="1">
                  <c:v>0.83571428571428563</c:v>
                </c:pt>
              </c:numCache>
            </c:numRef>
          </c:xVal>
          <c:yVal>
            <c:numRef>
              <c:f>'Fig CAPM Graph'!$E$10:$E$11</c:f>
              <c:numCache>
                <c:formatCode>0.0000</c:formatCode>
                <c:ptCount val="2"/>
                <c:pt idx="0">
                  <c:v>0</c:v>
                </c:pt>
                <c:pt idx="1">
                  <c:v>8.5762774842646661E-2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77-4368-AAC1-F808B789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911472"/>
        <c:axId val="390912032"/>
      </c:scatterChart>
      <c:valAx>
        <c:axId val="390911472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 algn="ctr">
                  <a:defRPr sz="1400"/>
                </a:pPr>
                <a:r>
                  <a:rPr lang="en-US" sz="1400"/>
                  <a:t>Beta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90912032"/>
        <c:crosses val="autoZero"/>
        <c:crossBetween val="midCat"/>
        <c:majorUnit val="0.83600000000000008"/>
      </c:valAx>
      <c:valAx>
        <c:axId val="390912032"/>
        <c:scaling>
          <c:orientation val="minMax"/>
          <c:max val="0.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Cost of Equity</a:t>
                </a:r>
              </a:p>
            </c:rich>
          </c:tx>
          <c:layout>
            <c:manualLayout>
              <c:xMode val="edge"/>
              <c:yMode val="edge"/>
              <c:x val="1.2160034951158425E-2"/>
              <c:y val="0.26460181741086047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390911472"/>
        <c:crosses val="autoZero"/>
        <c:crossBetween val="midCat"/>
        <c:majorUnit val="8.6000000000000021E-2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3013676320683E-2"/>
          <c:y val="0.12402165506574003"/>
          <c:w val="0.88331094976762614"/>
          <c:h val="0.75842227378190252"/>
        </c:manualLayout>
      </c:layout>
      <c:scatterChart>
        <c:scatterStyle val="smoothMarker"/>
        <c:varyColors val="0"/>
        <c:ser>
          <c:idx val="0"/>
          <c:order val="0"/>
          <c:tx>
            <c:v>Growth Rate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Cycle'!$C$4:$C$119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'Fig Bus Cycle'!$D$4:$D$119</c:f>
              <c:numCache>
                <c:formatCode>0</c:formatCode>
                <c:ptCount val="116"/>
                <c:pt idx="0">
                  <c:v>0</c:v>
                </c:pt>
                <c:pt idx="1">
                  <c:v>5.46</c:v>
                </c:pt>
                <c:pt idx="2">
                  <c:v>21.68</c:v>
                </c:pt>
                <c:pt idx="3">
                  <c:v>48.42</c:v>
                </c:pt>
                <c:pt idx="4">
                  <c:v>85.44</c:v>
                </c:pt>
                <c:pt idx="5">
                  <c:v>132.5</c:v>
                </c:pt>
                <c:pt idx="6">
                  <c:v>189.36</c:v>
                </c:pt>
                <c:pt idx="7">
                  <c:v>255.78</c:v>
                </c:pt>
                <c:pt idx="8">
                  <c:v>331.52</c:v>
                </c:pt>
                <c:pt idx="9">
                  <c:v>416.34</c:v>
                </c:pt>
                <c:pt idx="10">
                  <c:v>510</c:v>
                </c:pt>
                <c:pt idx="11">
                  <c:v>612.26</c:v>
                </c:pt>
                <c:pt idx="12">
                  <c:v>722.88</c:v>
                </c:pt>
                <c:pt idx="13">
                  <c:v>841.62</c:v>
                </c:pt>
                <c:pt idx="14">
                  <c:v>968.24</c:v>
                </c:pt>
                <c:pt idx="15">
                  <c:v>1102.5</c:v>
                </c:pt>
                <c:pt idx="16">
                  <c:v>1244.1600000000001</c:v>
                </c:pt>
                <c:pt idx="17">
                  <c:v>1392.98</c:v>
                </c:pt>
                <c:pt idx="18">
                  <c:v>1548.72</c:v>
                </c:pt>
                <c:pt idx="19">
                  <c:v>1711.1399999999999</c:v>
                </c:pt>
                <c:pt idx="20">
                  <c:v>1880</c:v>
                </c:pt>
                <c:pt idx="21">
                  <c:v>2055.06</c:v>
                </c:pt>
                <c:pt idx="22">
                  <c:v>2236.08</c:v>
                </c:pt>
                <c:pt idx="23">
                  <c:v>2422.8200000000002</c:v>
                </c:pt>
                <c:pt idx="24">
                  <c:v>2615.04</c:v>
                </c:pt>
                <c:pt idx="25">
                  <c:v>2812.5</c:v>
                </c:pt>
                <c:pt idx="26">
                  <c:v>3014.96</c:v>
                </c:pt>
                <c:pt idx="27">
                  <c:v>3222.18</c:v>
                </c:pt>
                <c:pt idx="28">
                  <c:v>3433.92</c:v>
                </c:pt>
                <c:pt idx="29">
                  <c:v>3649.94</c:v>
                </c:pt>
                <c:pt idx="30">
                  <c:v>3870</c:v>
                </c:pt>
                <c:pt idx="31">
                  <c:v>4093.8599999999997</c:v>
                </c:pt>
                <c:pt idx="32">
                  <c:v>4321.28</c:v>
                </c:pt>
                <c:pt idx="33">
                  <c:v>4552.0200000000004</c:v>
                </c:pt>
                <c:pt idx="34">
                  <c:v>4785.84</c:v>
                </c:pt>
                <c:pt idx="35">
                  <c:v>5022.5</c:v>
                </c:pt>
                <c:pt idx="36">
                  <c:v>5261.76</c:v>
                </c:pt>
                <c:pt idx="37">
                  <c:v>5503.38</c:v>
                </c:pt>
                <c:pt idx="38">
                  <c:v>5747.12</c:v>
                </c:pt>
                <c:pt idx="39">
                  <c:v>5992.74</c:v>
                </c:pt>
                <c:pt idx="40">
                  <c:v>6240</c:v>
                </c:pt>
                <c:pt idx="41">
                  <c:v>6488.66</c:v>
                </c:pt>
                <c:pt idx="42">
                  <c:v>6738.48</c:v>
                </c:pt>
                <c:pt idx="43">
                  <c:v>6989.2199999999993</c:v>
                </c:pt>
                <c:pt idx="44">
                  <c:v>7240.6399999999994</c:v>
                </c:pt>
                <c:pt idx="45">
                  <c:v>7492.5</c:v>
                </c:pt>
                <c:pt idx="46">
                  <c:v>7744.5599999999995</c:v>
                </c:pt>
                <c:pt idx="47">
                  <c:v>7996.58</c:v>
                </c:pt>
                <c:pt idx="48">
                  <c:v>8248.32</c:v>
                </c:pt>
                <c:pt idx="49">
                  <c:v>8499.5400000000009</c:v>
                </c:pt>
                <c:pt idx="50">
                  <c:v>8750</c:v>
                </c:pt>
                <c:pt idx="51">
                  <c:v>8999.4599999999991</c:v>
                </c:pt>
                <c:pt idx="52">
                  <c:v>9247.68</c:v>
                </c:pt>
                <c:pt idx="53">
                  <c:v>9494.42</c:v>
                </c:pt>
                <c:pt idx="54">
                  <c:v>9739.4399999999987</c:v>
                </c:pt>
                <c:pt idx="55">
                  <c:v>9982.5</c:v>
                </c:pt>
                <c:pt idx="56">
                  <c:v>10223.36</c:v>
                </c:pt>
                <c:pt idx="57">
                  <c:v>10461.779999999999</c:v>
                </c:pt>
                <c:pt idx="58">
                  <c:v>10697.52</c:v>
                </c:pt>
                <c:pt idx="59">
                  <c:v>10930.34</c:v>
                </c:pt>
                <c:pt idx="60">
                  <c:v>11160</c:v>
                </c:pt>
                <c:pt idx="61">
                  <c:v>11386.26</c:v>
                </c:pt>
                <c:pt idx="62">
                  <c:v>11608.88</c:v>
                </c:pt>
                <c:pt idx="63">
                  <c:v>11827.619999999999</c:v>
                </c:pt>
                <c:pt idx="64">
                  <c:v>12042.24</c:v>
                </c:pt>
                <c:pt idx="65">
                  <c:v>12252.5</c:v>
                </c:pt>
                <c:pt idx="66">
                  <c:v>12458.16</c:v>
                </c:pt>
                <c:pt idx="67">
                  <c:v>12658.98</c:v>
                </c:pt>
                <c:pt idx="68">
                  <c:v>12854.72</c:v>
                </c:pt>
                <c:pt idx="69">
                  <c:v>13045.14</c:v>
                </c:pt>
                <c:pt idx="70">
                  <c:v>13230</c:v>
                </c:pt>
                <c:pt idx="71">
                  <c:v>13409.06</c:v>
                </c:pt>
                <c:pt idx="72">
                  <c:v>13582.08</c:v>
                </c:pt>
                <c:pt idx="73">
                  <c:v>13748.82</c:v>
                </c:pt>
                <c:pt idx="74">
                  <c:v>13909.039999999999</c:v>
                </c:pt>
                <c:pt idx="75">
                  <c:v>14062.5</c:v>
                </c:pt>
                <c:pt idx="76">
                  <c:v>14208.96</c:v>
                </c:pt>
                <c:pt idx="77">
                  <c:v>14348.18</c:v>
                </c:pt>
                <c:pt idx="78">
                  <c:v>14479.919999999998</c:v>
                </c:pt>
                <c:pt idx="79">
                  <c:v>14603.939999999999</c:v>
                </c:pt>
                <c:pt idx="80">
                  <c:v>14720</c:v>
                </c:pt>
                <c:pt idx="81">
                  <c:v>14827.86</c:v>
                </c:pt>
                <c:pt idx="82">
                  <c:v>14927.279999999999</c:v>
                </c:pt>
                <c:pt idx="83">
                  <c:v>15018.02</c:v>
                </c:pt>
                <c:pt idx="84">
                  <c:v>15099.84</c:v>
                </c:pt>
                <c:pt idx="85">
                  <c:v>15172.5</c:v>
                </c:pt>
                <c:pt idx="86">
                  <c:v>15235.759999999998</c:v>
                </c:pt>
                <c:pt idx="87">
                  <c:v>15289.380000000001</c:v>
                </c:pt>
                <c:pt idx="88">
                  <c:v>15333.119999999999</c:v>
                </c:pt>
                <c:pt idx="89">
                  <c:v>15366.739999999998</c:v>
                </c:pt>
                <c:pt idx="90">
                  <c:v>15390</c:v>
                </c:pt>
                <c:pt idx="91">
                  <c:v>15402.66</c:v>
                </c:pt>
                <c:pt idx="92">
                  <c:v>15404.48</c:v>
                </c:pt>
                <c:pt idx="93">
                  <c:v>15395.219999999998</c:v>
                </c:pt>
                <c:pt idx="94">
                  <c:v>15374.64</c:v>
                </c:pt>
                <c:pt idx="95">
                  <c:v>15342.5</c:v>
                </c:pt>
                <c:pt idx="96">
                  <c:v>15298.559999999998</c:v>
                </c:pt>
                <c:pt idx="97">
                  <c:v>15242.580000000002</c:v>
                </c:pt>
                <c:pt idx="98">
                  <c:v>15174.32</c:v>
                </c:pt>
                <c:pt idx="99">
                  <c:v>15093.54</c:v>
                </c:pt>
                <c:pt idx="100">
                  <c:v>15000</c:v>
                </c:pt>
                <c:pt idx="101">
                  <c:v>14893.46</c:v>
                </c:pt>
                <c:pt idx="102">
                  <c:v>14773.68</c:v>
                </c:pt>
                <c:pt idx="103">
                  <c:v>14640.419999999998</c:v>
                </c:pt>
                <c:pt idx="104">
                  <c:v>14493.440000000002</c:v>
                </c:pt>
                <c:pt idx="105">
                  <c:v>14332.5</c:v>
                </c:pt>
                <c:pt idx="106">
                  <c:v>14157.36</c:v>
                </c:pt>
                <c:pt idx="107">
                  <c:v>13967.779999999999</c:v>
                </c:pt>
                <c:pt idx="108">
                  <c:v>13763.519999999997</c:v>
                </c:pt>
                <c:pt idx="109">
                  <c:v>13544.339999999997</c:v>
                </c:pt>
                <c:pt idx="110">
                  <c:v>13310</c:v>
                </c:pt>
                <c:pt idx="111">
                  <c:v>13060.260000000002</c:v>
                </c:pt>
                <c:pt idx="112">
                  <c:v>12794.879999999997</c:v>
                </c:pt>
                <c:pt idx="113">
                  <c:v>12513.619999999995</c:v>
                </c:pt>
                <c:pt idx="114">
                  <c:v>12216.239999999998</c:v>
                </c:pt>
                <c:pt idx="115">
                  <c:v>11902.5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60-4664-A374-A27E4BEE566D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Cycle'!$F$4:$F$5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'Fig Bus Cycle'!$G$4:$G$5</c:f>
              <c:numCache>
                <c:formatCode>General</c:formatCode>
                <c:ptCount val="2"/>
                <c:pt idx="0">
                  <c:v>0</c:v>
                </c:pt>
                <c:pt idx="1">
                  <c:v>1880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60-4664-A374-A27E4BEE566D}"/>
            </c:ext>
          </c:extLst>
        </c:ser>
        <c:ser>
          <c:idx val="2"/>
          <c:order val="2"/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Cycle'!$I$4:$I$5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xVal>
          <c:yVal>
            <c:numRef>
              <c:f>'Fig Bus Cycle'!$J$4:$J$5</c:f>
              <c:numCache>
                <c:formatCode>General</c:formatCode>
                <c:ptCount val="2"/>
                <c:pt idx="0">
                  <c:v>0</c:v>
                </c:pt>
                <c:pt idx="1">
                  <c:v>11160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60-4664-A374-A27E4BEE566D}"/>
            </c:ext>
          </c:extLst>
        </c:ser>
        <c:ser>
          <c:idx val="3"/>
          <c:order val="3"/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Cycle'!$L$4:$L$5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'Fig Bus Cycle'!$M$4:$M$5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60-4664-A374-A27E4BEE5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25840"/>
        <c:axId val="393156048"/>
      </c:scatterChart>
      <c:valAx>
        <c:axId val="391025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3156048"/>
        <c:crosses val="autoZero"/>
        <c:crossBetween val="midCat"/>
      </c:valAx>
      <c:valAx>
        <c:axId val="39315604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one"/>
        <c:crossAx val="39102584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2198118334001E-2"/>
          <c:y val="3.2796660703637445E-2"/>
          <c:w val="0.68483426209071663"/>
          <c:h val="0.8411717920286789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Diversify'!$A$2:$A$21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'Fig Diversify'!$B$2:$B$21</c:f>
              <c:numCache>
                <c:formatCode>General</c:formatCode>
                <c:ptCount val="20"/>
                <c:pt idx="0">
                  <c:v>100</c:v>
                </c:pt>
                <c:pt idx="1">
                  <c:v>75</c:v>
                </c:pt>
                <c:pt idx="2">
                  <c:v>55</c:v>
                </c:pt>
                <c:pt idx="3">
                  <c:v>37</c:v>
                </c:pt>
                <c:pt idx="4">
                  <c:v>25</c:v>
                </c:pt>
                <c:pt idx="5">
                  <c:v>17</c:v>
                </c:pt>
                <c:pt idx="6">
                  <c:v>12</c:v>
                </c:pt>
                <c:pt idx="7">
                  <c:v>8.25</c:v>
                </c:pt>
                <c:pt idx="8">
                  <c:v>5.5</c:v>
                </c:pt>
                <c:pt idx="9">
                  <c:v>4</c:v>
                </c:pt>
                <c:pt idx="10">
                  <c:v>3.2</c:v>
                </c:pt>
                <c:pt idx="11">
                  <c:v>2.7</c:v>
                </c:pt>
                <c:pt idx="12">
                  <c:v>2.2999999999999998</c:v>
                </c:pt>
                <c:pt idx="13">
                  <c:v>1.9</c:v>
                </c:pt>
                <c:pt idx="14">
                  <c:v>1.7</c:v>
                </c:pt>
                <c:pt idx="15">
                  <c:v>1.5</c:v>
                </c:pt>
                <c:pt idx="16">
                  <c:v>1.3</c:v>
                </c:pt>
                <c:pt idx="17">
                  <c:v>1.2</c:v>
                </c:pt>
                <c:pt idx="18">
                  <c:v>1.1000000000000001</c:v>
                </c:pt>
                <c:pt idx="1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B8-45C9-92C8-863BFB83A8E7}"/>
            </c:ext>
          </c:extLst>
        </c:ser>
        <c:ser>
          <c:idx val="1"/>
          <c:order val="1"/>
          <c:tx>
            <c:v>Top Line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Diversify'!$D$2:$D$22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B8-45C9-92C8-863BFB83A8E7}"/>
            </c:ext>
          </c:extLst>
        </c:ser>
        <c:ser>
          <c:idx val="2"/>
          <c:order val="2"/>
          <c:tx>
            <c:v>Middle Line</c:v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Diversify'!$E$2:$E$22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B8-45C9-92C8-863BFB83A8E7}"/>
            </c:ext>
          </c:extLst>
        </c:ser>
        <c:ser>
          <c:idx val="3"/>
          <c:order val="3"/>
          <c:tx>
            <c:v>Bottom Line</c:v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Diversify'!$F$2:$F$22</c:f>
              <c:numCache>
                <c:formatCode>General</c:formatCode>
                <c:ptCount val="21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  <c:pt idx="3">
                  <c:v>-40</c:v>
                </c:pt>
                <c:pt idx="4">
                  <c:v>-40</c:v>
                </c:pt>
                <c:pt idx="5">
                  <c:v>-40</c:v>
                </c:pt>
                <c:pt idx="6">
                  <c:v>-40</c:v>
                </c:pt>
                <c:pt idx="7">
                  <c:v>-40</c:v>
                </c:pt>
                <c:pt idx="8">
                  <c:v>-40</c:v>
                </c:pt>
                <c:pt idx="9">
                  <c:v>-40</c:v>
                </c:pt>
                <c:pt idx="10">
                  <c:v>-40</c:v>
                </c:pt>
                <c:pt idx="11">
                  <c:v>-40</c:v>
                </c:pt>
                <c:pt idx="12">
                  <c:v>-40</c:v>
                </c:pt>
                <c:pt idx="13">
                  <c:v>-40</c:v>
                </c:pt>
                <c:pt idx="14">
                  <c:v>-40</c:v>
                </c:pt>
                <c:pt idx="15">
                  <c:v>-40</c:v>
                </c:pt>
                <c:pt idx="16">
                  <c:v>-40</c:v>
                </c:pt>
                <c:pt idx="17">
                  <c:v>-40</c:v>
                </c:pt>
                <c:pt idx="18">
                  <c:v>-40</c:v>
                </c:pt>
                <c:pt idx="19">
                  <c:v>-40</c:v>
                </c:pt>
                <c:pt idx="20">
                  <c:v>-40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B8-45C9-92C8-863BFB83A8E7}"/>
            </c:ext>
          </c:extLst>
        </c:ser>
        <c:ser>
          <c:idx val="4"/>
          <c:order val="4"/>
          <c:tx>
            <c:v>Top Arrow</c:v>
          </c:tx>
          <c:spPr>
            <a:ln>
              <a:headEnd type="triangle" w="lg" len="lg"/>
              <a:tailEnd type="triangle" w="lg" len="lg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accent5"/>
                </a:solidFill>
                <a:headEnd type="triangle" w="lg" len="lg"/>
                <a:tailEnd type="triangle" w="lg" len="lg"/>
              </a:ln>
            </c:spPr>
            <c:extLst>
              <c:ext xmlns:c16="http://schemas.microsoft.com/office/drawing/2014/chart" uri="{C3380CC4-5D6E-409C-BE32-E72D297353CC}">
                <c16:uniqueId val="{00000005-52B8-45C9-92C8-863BFB83A8E7}"/>
              </c:ext>
            </c:extLst>
          </c:dPt>
          <c:xVal>
            <c:numRef>
              <c:f>'Fig Diversify'!$G$2:$G$3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Diversify'!$H$2:$H$3</c:f>
              <c:numCache>
                <c:formatCode>General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2B8-45C9-92C8-863BFB83A8E7}"/>
            </c:ext>
          </c:extLst>
        </c:ser>
        <c:ser>
          <c:idx val="5"/>
          <c:order val="5"/>
          <c:tx>
            <c:v>Bottom Arrow</c:v>
          </c:tx>
          <c:spPr>
            <a:ln>
              <a:solidFill>
                <a:schemeClr val="accent3"/>
              </a:solidFill>
              <a:headEnd type="triangle" w="lg" len="lg"/>
              <a:tailEnd type="triangle" w="lg" len="lg"/>
            </a:ln>
          </c:spPr>
          <c:marker>
            <c:symbol val="none"/>
          </c:marker>
          <c:xVal>
            <c:numRef>
              <c:f>'Fig Diversify'!$I$2:$I$3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Diversify'!$J$2:$J$3</c:f>
              <c:numCache>
                <c:formatCode>General</c:formatCode>
                <c:ptCount val="2"/>
                <c:pt idx="0">
                  <c:v>-5</c:v>
                </c:pt>
                <c:pt idx="1">
                  <c:v>-35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2B8-45C9-92C8-863BFB83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312400"/>
        <c:axId val="390312960"/>
      </c:scatterChart>
      <c:valAx>
        <c:axId val="390312400"/>
        <c:scaling>
          <c:orientation val="minMax"/>
          <c:max val="25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Number of </a:t>
                </a:r>
                <a:r>
                  <a:rPr lang="en-US" sz="1200" baseline="0"/>
                  <a:t> Securities in Portfolio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17769348520203748"/>
              <c:y val="0.9179703472894819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90312960"/>
        <c:crosses val="autoZero"/>
        <c:crossBetween val="midCat"/>
        <c:majorUnit val="10"/>
      </c:valAx>
      <c:valAx>
        <c:axId val="390312960"/>
        <c:scaling>
          <c:orientation val="minMax"/>
          <c:max val="100"/>
          <c:min val="-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Portfolio  Variance</a:t>
                </a:r>
              </a:p>
            </c:rich>
          </c:tx>
          <c:layout>
            <c:manualLayout>
              <c:xMode val="edge"/>
              <c:yMode val="edge"/>
              <c:x val="3.050108932461874E-2"/>
              <c:y val="0.32305203799436139"/>
            </c:manualLayout>
          </c:layout>
          <c:overlay val="0"/>
        </c:title>
        <c:numFmt formatCode=";;;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390312400"/>
        <c:crosses val="autoZero"/>
        <c:crossBetween val="midCat"/>
        <c:majorUnit val="5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137583</xdr:colOff>
      <xdr:row>1</xdr:row>
      <xdr:rowOff>42335</xdr:rowOff>
    </xdr:from>
    <xdr:to>
      <xdr:col>23</xdr:col>
      <xdr:colOff>74083</xdr:colOff>
      <xdr:row>22</xdr:row>
      <xdr:rowOff>31751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B98E16-67EE-4AE6-BD93-2F223D0E3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0.76455</cdr:x>
      <cdr:y>0.21478</cdr:y>
    </cdr:from>
    <cdr:to>
      <cdr:x>0.95564</cdr:x>
      <cdr:y>0.32442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05300" y="918162"/>
          <a:ext cx="1076096" cy="468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5"/>
              </a:solidFill>
            </a:rPr>
            <a:t>Firm-Specific</a:t>
          </a:r>
          <a:r>
            <a:rPr lang="en-US" sz="1200" b="1" baseline="0">
              <a:solidFill>
                <a:schemeClr val="accent5"/>
              </a:solidFill>
            </a:rPr>
            <a:t> Risk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accent5"/>
              </a:solidFill>
            </a:rPr>
            <a:t> (unrewarded)</a:t>
          </a:r>
          <a:endParaRPr lang="en-US" sz="1200" b="1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0.81046</cdr:x>
      <cdr:y>0.65832</cdr:y>
    </cdr:from>
    <cdr:to>
      <cdr:x>0.96732</cdr:x>
      <cdr:y>0.87299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24400" y="28041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0.77896</cdr:x>
      <cdr:y>0.70102</cdr:y>
    </cdr:from>
    <cdr:to>
      <cdr:x>0.93583</cdr:x>
      <cdr:y>0.81818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86472" y="2996723"/>
          <a:ext cx="883363" cy="50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Market Risk</a:t>
          </a:r>
        </a:p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(rewarded)</a:t>
          </a:r>
        </a:p>
      </cdr:txBody>
    </cdr:sp>
  </cdr:relSizeAnchor>
  <cdr:relSizeAnchor xmlns:cdr="http://schemas.openxmlformats.org/drawingml/2006/chartDrawing">
    <cdr:from>
      <cdr:x>0.05586</cdr:x>
      <cdr:y>0.85976</cdr:y>
    </cdr:from>
    <cdr:to>
      <cdr:x>0.09711</cdr:x>
      <cdr:y>0.92832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63" y="3675298"/>
          <a:ext cx="232286" cy="293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0</a:t>
          </a:r>
        </a:p>
      </cdr:txBody>
    </cdr:sp>
  </cdr:relSizeAnchor>
  <cdr:relSizeAnchor xmlns:cdr="http://schemas.openxmlformats.org/drawingml/2006/chartDrawing">
    <cdr:from>
      <cdr:x>0.60408</cdr:x>
      <cdr:y>0.86823</cdr:y>
    </cdr:from>
    <cdr:to>
      <cdr:x>0.68283</cdr:x>
      <cdr:y>0.93679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401701" y="3711517"/>
          <a:ext cx="443456" cy="293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500+</a:t>
          </a:r>
        </a:p>
      </cdr:txBody>
    </cdr:sp>
  </cdr:relSizeAnchor>
  <cdr:relSizeAnchor xmlns:cdr="http://schemas.openxmlformats.org/drawingml/2006/chartDrawing">
    <cdr:from>
      <cdr:x>0.43572</cdr:x>
      <cdr:y>0.21925</cdr:y>
    </cdr:from>
    <cdr:to>
      <cdr:x>0.64411</cdr:x>
      <cdr:y>0.37433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453640" y="937260"/>
          <a:ext cx="1173480" cy="6629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 Utility Operations</a:t>
          </a:r>
        </a:p>
        <a:p xmlns:a="http://schemas.openxmlformats.org/drawingml/2006/main">
          <a:r>
            <a:rPr lang="en-US" sz="1100"/>
            <a:t>- Financial Risk</a:t>
          </a:r>
        </a:p>
        <a:p xmlns:a="http://schemas.openxmlformats.org/drawingml/2006/main">
          <a:r>
            <a:rPr lang="en-US" sz="1100"/>
            <a:t>- Default Risk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0.50744</cdr:x>
      <cdr:y>0.70945</cdr:y>
    </cdr:from>
    <cdr:to>
      <cdr:x>0.66982</cdr:x>
      <cdr:y>0.82531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857500" y="3032760"/>
          <a:ext cx="9144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0.42355</cdr:x>
      <cdr:y>0.69162</cdr:y>
    </cdr:from>
    <cdr:to>
      <cdr:x>0.63735</cdr:x>
      <cdr:y>0.80214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385060" y="2956560"/>
          <a:ext cx="1203960" cy="4724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2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</a:t>
          </a:r>
          <a:r>
            <a:rPr lang="en-US" sz="1100" baseline="0"/>
            <a:t> Interest Rate Risk</a:t>
          </a:r>
        </a:p>
        <a:p xmlns:a="http://schemas.openxmlformats.org/drawingml/2006/main">
          <a:r>
            <a:rPr lang="en-US" sz="1100" baseline="0"/>
            <a:t>- Inflation Risk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0.47832</cdr:x>
      <cdr:y>0.37997</cdr:y>
    </cdr:from>
    <cdr:to>
      <cdr:x>0.54144</cdr:x>
      <cdr:y>0.46189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1272523-ADD0-4887-92EA-1A5294C6192B}"/>
            </a:ext>
          </a:extLst>
        </cdr:cNvPr>
        <cdr:cNvSpPr txBox="1"/>
      </cdr:nvSpPr>
      <cdr:spPr>
        <a:xfrm xmlns:a="http://schemas.openxmlformats.org/drawingml/2006/main">
          <a:off x="3786566" y="1503997"/>
          <a:ext cx="499679" cy="324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Kroll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59531</xdr:rowOff>
    </xdr:from>
    <xdr:to>
      <xdr:col>21</xdr:col>
      <xdr:colOff>195265</xdr:colOff>
      <xdr:row>29</xdr:row>
      <xdr:rowOff>97633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EA542D-3812-4B29-903B-DDC41CC0B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0.31791</cdr:x>
      <cdr:y>0.9024</cdr:y>
    </cdr:from>
    <cdr:to>
      <cdr:x>0.7185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6576" y="5019676"/>
          <a:ext cx="387667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0.30315</cdr:x>
      <cdr:y>0.95034</cdr:y>
    </cdr:from>
    <cdr:to>
      <cdr:x>0.76476</cdr:x>
      <cdr:y>0.95205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95258FD8-03D8-4CDA-8BB0-C637EB0B3502}"/>
            </a:ext>
          </a:extLst>
        </cdr:cNvPr>
        <cdr:cNvCxnSpPr/>
      </cdr:nvCxnSpPr>
      <cdr:spPr>
        <a:xfrm xmlns:a="http://schemas.openxmlformats.org/drawingml/2006/main">
          <a:off x="2933702" y="5286378"/>
          <a:ext cx="4467225" cy="9524"/>
        </a:xfrm>
        <a:prstGeom xmlns:a="http://schemas.openxmlformats.org/drawingml/2006/main" prst="straightConnector1">
          <a:avLst/>
        </a:prstGeom>
        <a:ln xmlns:a="http://schemas.openxmlformats.org/drawingml/2006/main" w="762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0.72539</cdr:x>
      <cdr:y>0.92466</cdr:y>
    </cdr:from>
    <cdr:to>
      <cdr:x>0.81988</cdr:x>
      <cdr:y>0.97603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7019927" y="5143502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0.82972</cdr:x>
      <cdr:y>0.92123</cdr:y>
    </cdr:from>
    <cdr:to>
      <cdr:x>0.92421</cdr:x>
      <cdr:y>0.97774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029577" y="5124452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High Risk</a:t>
          </a:r>
        </a:p>
      </cdr:txBody>
    </cdr:sp>
  </cdr:relSizeAnchor>
  <cdr:relSizeAnchor xmlns:cdr="http://schemas.openxmlformats.org/drawingml/2006/chartDrawing">
    <cdr:from>
      <cdr:x>0.13484</cdr:x>
      <cdr:y>0.91952</cdr:y>
    </cdr:from>
    <cdr:to>
      <cdr:x>0.22933</cdr:x>
      <cdr:y>0.97774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304927" y="5114926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Low Risk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577215</xdr:colOff>
      <xdr:row>6</xdr:row>
      <xdr:rowOff>22860</xdr:rowOff>
    </xdr:from>
    <xdr:to>
      <xdr:col>16</xdr:col>
      <xdr:colOff>478155</xdr:colOff>
      <xdr:row>26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1ADFD-8B37-40BC-A284-4D9524DEE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0.06911</cdr:x>
      <cdr:y>0.50246</cdr:y>
    </cdr:from>
    <cdr:to>
      <cdr:x>0.15205</cdr:x>
      <cdr:y>0.57122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4438" y="1948829"/>
          <a:ext cx="497387" cy="26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4.36%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11</xdr:row>
      <xdr:rowOff>3810</xdr:rowOff>
    </xdr:from>
    <xdr:to>
      <xdr:col>21</xdr:col>
      <xdr:colOff>421005</xdr:colOff>
      <xdr:row>36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FDB52-5C0D-4A25-92E1-B1A35EF03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0.15007</cdr:x>
      <cdr:y>0.77726</cdr:y>
    </cdr:from>
    <cdr:to>
      <cdr:x>0.2886</cdr:x>
      <cdr:y>0.96056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0" y="3190875"/>
          <a:ext cx="914400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0.08081</cdr:x>
      <cdr:y>0.89095</cdr:y>
    </cdr:from>
    <cdr:to>
      <cdr:x>0.19163</cdr:x>
      <cdr:y>0.95777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400" y="3657599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Start-up</a:t>
          </a:r>
        </a:p>
      </cdr:txBody>
    </cdr:sp>
  </cdr:relSizeAnchor>
  <cdr:relSizeAnchor xmlns:cdr="http://schemas.openxmlformats.org/drawingml/2006/chartDrawing">
    <cdr:from>
      <cdr:x>0.28716</cdr:x>
      <cdr:y>0.89791</cdr:y>
    </cdr:from>
    <cdr:to>
      <cdr:x>0.39798</cdr:x>
      <cdr:y>0.96473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5475" y="3686175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Growth</a:t>
          </a:r>
        </a:p>
      </cdr:txBody>
    </cdr:sp>
  </cdr:relSizeAnchor>
  <cdr:relSizeAnchor xmlns:cdr="http://schemas.openxmlformats.org/drawingml/2006/chartDrawing">
    <cdr:from>
      <cdr:x>0.52092</cdr:x>
      <cdr:y>0.89559</cdr:y>
    </cdr:from>
    <cdr:to>
      <cdr:x>0.63175</cdr:x>
      <cdr:y>0.96241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38525" y="3676650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Maturity</a:t>
          </a:r>
        </a:p>
      </cdr:txBody>
    </cdr:sp>
  </cdr:relSizeAnchor>
  <cdr:relSizeAnchor xmlns:cdr="http://schemas.openxmlformats.org/drawingml/2006/chartDrawing">
    <cdr:from>
      <cdr:x>0.50877</cdr:x>
      <cdr:y>0.39689</cdr:y>
    </cdr:from>
    <cdr:to>
      <cdr:x>0.68787</cdr:x>
      <cdr:y>0.46372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443618" y="1686037"/>
          <a:ext cx="1212202" cy="28390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Public</a:t>
          </a:r>
          <a:r>
            <a:rPr lang="en-US" sz="1400" baseline="0"/>
            <a:t> Utilities</a:t>
          </a:r>
          <a:endParaRPr lang="en-US" sz="14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4</xdr:row>
      <xdr:rowOff>83820</xdr:rowOff>
    </xdr:from>
    <xdr:to>
      <xdr:col>21</xdr:col>
      <xdr:colOff>167640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0031EB-40B2-4A9B-8DED-EB7A56F83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  <pageSetUpPr fitToPage="1"/>
  </sheetPr>
  <dimension ref="A1:K15"/>
  <sheetViews>
    <sheetView tabSelected="1" zoomScaleNormal="100" workbookViewId="0"/>
  </sheetViews>
  <sheetFormatPr defaultColWidth="9.140625" defaultRowHeight="15"/>
  <cols>
    <col min="1" max="1" width="41.5703125" style="81" bestFit="1" customWidth="1"/>
    <col min="2" max="2" width="2.7109375" style="81" customWidth="1"/>
    <col min="3" max="3" width="8" style="81" customWidth="1"/>
    <col min="4" max="4" width="2.7109375" style="81" customWidth="1"/>
    <col min="5" max="5" width="12.28515625" style="81" customWidth="1"/>
    <col min="6" max="6" width="2.7109375" style="81" customWidth="1"/>
    <col min="7" max="7" width="12.28515625" style="81" customWidth="1"/>
    <col min="8" max="8" width="2.7109375" style="81" customWidth="1"/>
    <col min="9" max="9" width="12.28515625" style="81" customWidth="1"/>
    <col min="10" max="10" width="2.7109375" style="81" customWidth="1"/>
    <col min="11" max="11" width="12.28515625" style="81" customWidth="1"/>
    <col min="12" max="16384" width="9.140625" style="81"/>
  </cols>
  <sheetData>
    <row r="1" spans="1:11" ht="18.75">
      <c r="A1" s="40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9.5" customHeight="1"/>
    <row r="3" spans="1:11" ht="30">
      <c r="A3" s="83" t="s">
        <v>0</v>
      </c>
      <c r="B3" s="82"/>
      <c r="C3" s="83" t="s">
        <v>1</v>
      </c>
      <c r="D3" s="82"/>
      <c r="E3" s="206" t="s">
        <v>54</v>
      </c>
      <c r="F3" s="207"/>
      <c r="G3" s="206" t="s">
        <v>53</v>
      </c>
      <c r="H3" s="207"/>
      <c r="I3" s="206" t="s">
        <v>52</v>
      </c>
      <c r="J3" s="207"/>
      <c r="K3" s="206" t="s">
        <v>16</v>
      </c>
    </row>
    <row r="4" spans="1:11" ht="19.5" customHeight="1">
      <c r="A4"/>
      <c r="C4" s="34"/>
      <c r="E4" s="84"/>
      <c r="F4" s="85"/>
      <c r="G4" s="86"/>
      <c r="H4" s="87"/>
      <c r="I4" s="82"/>
      <c r="K4" s="112"/>
    </row>
    <row r="5" spans="1:11" ht="19.5" customHeight="1">
      <c r="A5" t="s">
        <v>217</v>
      </c>
      <c r="C5" s="34" t="s">
        <v>224</v>
      </c>
      <c r="E5" s="84">
        <v>3200</v>
      </c>
      <c r="F5" s="85"/>
      <c r="G5" s="86" t="str">
        <f t="shared" ref="G5:G11" si="0">IF(E5&gt;=200000,"Mega Cap",IF(E5&gt;=10000,"Large Cap",IF(E5&gt;=2000,"Mid Cap",IF(E5&gt;=300,"Small Cap",IF(E5&gt;=50,"Micro Cap",IF(E5&lt;50,"Nano Cap"))))))</f>
        <v>Mid Cap</v>
      </c>
      <c r="H5" s="87"/>
      <c r="I5" s="82">
        <v>3</v>
      </c>
      <c r="K5" s="112" t="s">
        <v>70</v>
      </c>
    </row>
    <row r="6" spans="1:11" ht="19.5" customHeight="1">
      <c r="A6" t="s">
        <v>218</v>
      </c>
      <c r="C6" s="34" t="s">
        <v>225</v>
      </c>
      <c r="E6" s="84">
        <v>28800</v>
      </c>
      <c r="F6" s="85"/>
      <c r="G6" s="86" t="str">
        <f t="shared" si="0"/>
        <v>Large Cap</v>
      </c>
      <c r="H6" s="87"/>
      <c r="I6" s="82">
        <v>2</v>
      </c>
      <c r="K6" s="112" t="s">
        <v>70</v>
      </c>
    </row>
    <row r="7" spans="1:11" ht="19.5" customHeight="1">
      <c r="A7" t="s">
        <v>219</v>
      </c>
      <c r="C7" s="34" t="s">
        <v>226</v>
      </c>
      <c r="E7" s="84">
        <v>10500</v>
      </c>
      <c r="F7" s="85"/>
      <c r="G7" s="86" t="str">
        <f t="shared" si="0"/>
        <v>Large Cap</v>
      </c>
      <c r="H7" s="87"/>
      <c r="I7" s="82">
        <v>2</v>
      </c>
      <c r="K7" s="112" t="s">
        <v>70</v>
      </c>
    </row>
    <row r="8" spans="1:11" ht="19.5" customHeight="1">
      <c r="A8" t="s">
        <v>220</v>
      </c>
      <c r="C8" s="34" t="s">
        <v>227</v>
      </c>
      <c r="E8" s="84">
        <v>376</v>
      </c>
      <c r="F8" s="85"/>
      <c r="G8" s="86" t="str">
        <f t="shared" si="0"/>
        <v>Small Cap</v>
      </c>
      <c r="H8" s="87"/>
      <c r="I8" s="82">
        <v>3</v>
      </c>
      <c r="K8" s="112" t="s">
        <v>232</v>
      </c>
    </row>
    <row r="9" spans="1:11" ht="19.5" customHeight="1">
      <c r="A9" t="s">
        <v>221</v>
      </c>
      <c r="C9" s="34" t="s">
        <v>228</v>
      </c>
      <c r="E9" s="84">
        <v>3200</v>
      </c>
      <c r="F9" s="85"/>
      <c r="G9" s="86" t="str">
        <f t="shared" si="0"/>
        <v>Mid Cap</v>
      </c>
      <c r="H9" s="87"/>
      <c r="I9" s="82">
        <v>2</v>
      </c>
      <c r="K9" s="112" t="s">
        <v>171</v>
      </c>
    </row>
    <row r="10" spans="1:11" ht="19.5" customHeight="1">
      <c r="A10" t="s">
        <v>222</v>
      </c>
      <c r="C10" s="34" t="s">
        <v>229</v>
      </c>
      <c r="E10" s="84">
        <v>1200</v>
      </c>
      <c r="F10" s="85"/>
      <c r="G10" s="86" t="str">
        <f t="shared" si="0"/>
        <v>Small Cap</v>
      </c>
      <c r="H10" s="87"/>
      <c r="I10" s="82">
        <v>2</v>
      </c>
      <c r="K10" s="112" t="s">
        <v>70</v>
      </c>
    </row>
    <row r="11" spans="1:11" ht="19.5" customHeight="1">
      <c r="A11" t="s">
        <v>223</v>
      </c>
      <c r="C11" s="34" t="s">
        <v>230</v>
      </c>
      <c r="E11" s="84">
        <v>539</v>
      </c>
      <c r="F11" s="85"/>
      <c r="G11" s="86" t="str">
        <f t="shared" si="0"/>
        <v>Small Cap</v>
      </c>
      <c r="H11" s="87"/>
      <c r="I11" s="82">
        <v>3</v>
      </c>
      <c r="K11" s="112" t="s">
        <v>232</v>
      </c>
    </row>
    <row r="12" spans="1:11">
      <c r="A12" s="89"/>
      <c r="B12" s="89"/>
      <c r="C12" s="90"/>
      <c r="D12" s="89"/>
      <c r="E12" s="91"/>
      <c r="F12" s="92"/>
      <c r="G12" s="93"/>
      <c r="H12" s="94"/>
      <c r="I12" s="83"/>
      <c r="J12" s="89"/>
      <c r="K12" s="95"/>
    </row>
    <row r="13" spans="1:11">
      <c r="C13" s="96"/>
      <c r="E13" s="97"/>
      <c r="F13" s="85"/>
      <c r="G13" s="87"/>
      <c r="H13" s="87"/>
      <c r="I13" s="82"/>
      <c r="K13" s="88"/>
    </row>
    <row r="14" spans="1:11" s="98" customFormat="1" ht="14.4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s="98" customFormat="1" ht="14.45" customHeight="1">
      <c r="A15" s="211" t="s">
        <v>146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</row>
  </sheetData>
  <sortState xmlns:xlrd2="http://schemas.microsoft.com/office/spreadsheetml/2017/richdata2" ref="A4:K11">
    <sortCondition ref="A4:A11"/>
  </sortState>
  <mergeCells count="1">
    <mergeCell ref="A15:K15"/>
  </mergeCells>
  <phoneticPr fontId="19" type="noConversion"/>
  <printOptions horizontalCentered="1"/>
  <pageMargins left="0.7" right="0.7" top="0.75" bottom="0.75" header="0.3" footer="0.3"/>
  <pageSetup orientation="landscape" r:id="rId1"/>
  <headerFooter scaleWithDoc="0">
    <oddHeader>&amp;C&amp;"-,Bold"&amp;14Proxy Group Summary&amp;RExhibit DJG-3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C213-2BA6-4F8E-BBC5-37231DA06FF2}">
  <sheetPr>
    <tabColor theme="4" tint="0.59999389629810485"/>
    <pageSetUpPr fitToPage="1"/>
  </sheetPr>
  <dimension ref="A1:K27"/>
  <sheetViews>
    <sheetView zoomScaleNormal="100" workbookViewId="0"/>
  </sheetViews>
  <sheetFormatPr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3.7109375" customWidth="1"/>
    <col min="6" max="6" width="2.7109375" customWidth="1"/>
    <col min="7" max="7" width="13.7109375" customWidth="1"/>
  </cols>
  <sheetData>
    <row r="1" spans="1:7" ht="15" customHeight="1">
      <c r="A1" s="15"/>
      <c r="B1" s="15"/>
      <c r="C1" s="15"/>
      <c r="D1" s="15"/>
      <c r="E1" s="15"/>
      <c r="F1" s="15"/>
      <c r="G1" s="15"/>
    </row>
    <row r="2" spans="1:7" ht="15" customHeight="1"/>
    <row r="3" spans="1:7" ht="15" customHeight="1">
      <c r="E3" s="1" t="s">
        <v>3</v>
      </c>
      <c r="G3" s="1" t="s">
        <v>4</v>
      </c>
    </row>
    <row r="4" spans="1:7" ht="15" customHeight="1"/>
    <row r="5" spans="1:7" ht="18" customHeight="1">
      <c r="A5" s="2" t="s">
        <v>0</v>
      </c>
      <c r="B5" s="1"/>
      <c r="C5" s="2" t="s">
        <v>1</v>
      </c>
      <c r="D5" s="1"/>
      <c r="E5" s="4" t="s">
        <v>51</v>
      </c>
      <c r="G5" s="4" t="s">
        <v>90</v>
      </c>
    </row>
    <row r="6" spans="1:7" ht="18" customHeight="1">
      <c r="A6" s="1"/>
      <c r="B6" s="1"/>
      <c r="C6" s="1"/>
      <c r="D6" s="1"/>
      <c r="E6" s="5"/>
      <c r="G6" s="5"/>
    </row>
    <row r="7" spans="1:7" ht="18" customHeight="1">
      <c r="A7" t="str">
        <f>'3 Proxy Sum'!A5</f>
        <v>American States Water Co.</v>
      </c>
      <c r="C7" s="34" t="str">
        <f>'3 Proxy Sum'!C5</f>
        <v>AWR</v>
      </c>
      <c r="D7" s="1"/>
      <c r="E7" s="50">
        <f>'9 Beta'!E5</f>
        <v>0.75</v>
      </c>
      <c r="G7" s="173">
        <f t="shared" ref="G7:G13" si="0">$E$18+E7*$E$20</f>
        <v>8.1440780841691443E-2</v>
      </c>
    </row>
    <row r="8" spans="1:7" ht="18" customHeight="1">
      <c r="A8" t="str">
        <f>'3 Proxy Sum'!A6</f>
        <v>American Water Works Co., Inc.</v>
      </c>
      <c r="C8" s="34" t="str">
        <f>'3 Proxy Sum'!C6</f>
        <v>AWK</v>
      </c>
      <c r="D8" s="1"/>
      <c r="E8" s="50">
        <f>'9 Beta'!E6</f>
        <v>1</v>
      </c>
      <c r="G8" s="173">
        <f t="shared" si="0"/>
        <v>9.4046596677810818E-2</v>
      </c>
    </row>
    <row r="9" spans="1:7" ht="18" customHeight="1">
      <c r="A9" t="str">
        <f>'3 Proxy Sum'!A7</f>
        <v>Essential Utilities, Inc.</v>
      </c>
      <c r="C9" s="34" t="str">
        <f>'3 Proxy Sum'!C7</f>
        <v>WTRG</v>
      </c>
      <c r="D9" s="1"/>
      <c r="E9" s="50">
        <f>'9 Beta'!E7</f>
        <v>1</v>
      </c>
      <c r="G9" s="173">
        <f t="shared" si="0"/>
        <v>9.4046596677810818E-2</v>
      </c>
    </row>
    <row r="10" spans="1:7" ht="18" customHeight="1">
      <c r="A10" t="str">
        <f>'3 Proxy Sum'!A8</f>
        <v>Artesian Resources Corp.</v>
      </c>
      <c r="C10" s="34" t="str">
        <f>'3 Proxy Sum'!C8</f>
        <v>ARTNA</v>
      </c>
      <c r="D10" s="1"/>
      <c r="E10" s="50">
        <f>'9 Beta'!E8</f>
        <v>0.75</v>
      </c>
      <c r="G10" s="173">
        <f t="shared" si="0"/>
        <v>8.1440780841691443E-2</v>
      </c>
    </row>
    <row r="11" spans="1:7" ht="18" customHeight="1">
      <c r="A11" t="str">
        <f>'3 Proxy Sum'!A9</f>
        <v>California Water Service Gp.</v>
      </c>
      <c r="C11" s="34" t="str">
        <f>'3 Proxy Sum'!C9</f>
        <v>CWT</v>
      </c>
      <c r="D11" s="1"/>
      <c r="E11" s="50">
        <f>'9 Beta'!E9</f>
        <v>0.75</v>
      </c>
      <c r="G11" s="173">
        <f t="shared" si="0"/>
        <v>8.1440780841691443E-2</v>
      </c>
    </row>
    <row r="12" spans="1:7" ht="18" customHeight="1">
      <c r="A12" t="str">
        <f>'3 Proxy Sum'!A10</f>
        <v>Middlesex Water</v>
      </c>
      <c r="C12" s="34" t="str">
        <f>'3 Proxy Sum'!C10</f>
        <v>MSEX</v>
      </c>
      <c r="D12" s="1"/>
      <c r="E12" s="50">
        <f>'9 Beta'!E10</f>
        <v>0.75</v>
      </c>
      <c r="G12" s="173">
        <f t="shared" si="0"/>
        <v>8.1440780841691443E-2</v>
      </c>
    </row>
    <row r="13" spans="1:7" ht="18" customHeight="1">
      <c r="A13" s="15" t="str">
        <f>'3 Proxy Sum'!A11</f>
        <v>York Water Company</v>
      </c>
      <c r="C13" s="34" t="str">
        <f>'3 Proxy Sum'!C11</f>
        <v>YORW</v>
      </c>
      <c r="D13" s="1"/>
      <c r="E13" s="174">
        <f>'9 Beta'!E11</f>
        <v>0.85</v>
      </c>
      <c r="G13" s="175">
        <f t="shared" si="0"/>
        <v>8.648310717613919E-2</v>
      </c>
    </row>
    <row r="14" spans="1:7" ht="18" customHeight="1">
      <c r="C14" s="1"/>
      <c r="D14" s="1"/>
      <c r="E14" s="7"/>
      <c r="G14" s="7"/>
    </row>
    <row r="15" spans="1:7" ht="18" customHeight="1">
      <c r="A15" s="13" t="s">
        <v>58</v>
      </c>
      <c r="B15" s="11"/>
      <c r="C15" s="1"/>
      <c r="D15" s="1"/>
      <c r="E15" s="51"/>
      <c r="G15" s="177">
        <f>AVERAGE(G7:G13)</f>
        <v>8.5762774842646647E-2</v>
      </c>
    </row>
    <row r="16" spans="1:7" ht="18" customHeight="1">
      <c r="A16" s="2"/>
      <c r="B16" s="176"/>
      <c r="C16" s="2"/>
      <c r="D16" s="2"/>
      <c r="E16" s="58"/>
      <c r="F16" s="15"/>
      <c r="G16" s="58"/>
    </row>
    <row r="17" spans="1:11" ht="15" customHeight="1">
      <c r="A17" s="1"/>
      <c r="B17" s="11"/>
      <c r="C17" s="1"/>
      <c r="D17" s="1"/>
      <c r="E17" s="51"/>
    </row>
    <row r="18" spans="1:11" ht="15" customHeight="1">
      <c r="A18" s="1" t="s">
        <v>30</v>
      </c>
      <c r="B18" s="11"/>
      <c r="C18" s="1" t="s">
        <v>5</v>
      </c>
      <c r="D18" s="1"/>
      <c r="E18" s="16">
        <f>'8 Risk Free Rate'!E35</f>
        <v>4.3623333333333333E-2</v>
      </c>
    </row>
    <row r="19" spans="1:11" ht="15" customHeight="1">
      <c r="A19" s="1"/>
      <c r="B19" s="11"/>
      <c r="C19" s="1"/>
      <c r="D19" s="1"/>
      <c r="E19" s="51"/>
    </row>
    <row r="20" spans="1:11" ht="15" customHeight="1">
      <c r="A20" s="1" t="s">
        <v>152</v>
      </c>
      <c r="B20" s="11"/>
      <c r="C20" s="1" t="s">
        <v>6</v>
      </c>
      <c r="D20" s="1"/>
      <c r="E20" s="16">
        <f>'11 ERP Result'!C12</f>
        <v>5.0423263344477484E-2</v>
      </c>
    </row>
    <row r="21" spans="1:11" ht="15" customHeight="1">
      <c r="A21" s="2"/>
      <c r="B21" s="15"/>
      <c r="C21" s="2"/>
      <c r="D21" s="2"/>
      <c r="E21" s="39"/>
      <c r="F21" s="15"/>
      <c r="G21" s="15"/>
    </row>
    <row r="22" spans="1:11">
      <c r="C22" s="1"/>
      <c r="D22" s="1"/>
      <c r="E22" s="7"/>
    </row>
    <row r="23" spans="1:11" s="44" customFormat="1" ht="14.45" customHeight="1">
      <c r="A23"/>
      <c r="B23"/>
      <c r="C23"/>
      <c r="D23"/>
      <c r="E23"/>
    </row>
    <row r="24" spans="1:11">
      <c r="A24" s="211" t="s">
        <v>190</v>
      </c>
      <c r="B24" s="211"/>
      <c r="C24" s="211"/>
      <c r="D24" s="211"/>
      <c r="E24" s="211"/>
      <c r="F24" s="211"/>
      <c r="G24" s="211"/>
      <c r="H24" s="44"/>
      <c r="I24" s="44"/>
      <c r="J24" s="44"/>
      <c r="K24" s="44"/>
    </row>
    <row r="25" spans="1:11">
      <c r="A25" s="211" t="s">
        <v>191</v>
      </c>
      <c r="B25" s="211"/>
      <c r="C25" s="211"/>
      <c r="D25" s="211"/>
      <c r="E25" s="211"/>
      <c r="F25" s="211"/>
      <c r="G25" s="211"/>
      <c r="H25" s="44"/>
      <c r="I25" s="44"/>
      <c r="J25" s="44"/>
      <c r="K25" s="44"/>
    </row>
    <row r="26" spans="1:11">
      <c r="A26" s="211" t="s">
        <v>192</v>
      </c>
      <c r="B26" s="211"/>
      <c r="C26" s="211"/>
      <c r="D26" s="211"/>
      <c r="E26" s="211"/>
      <c r="F26" s="211"/>
      <c r="G26" s="211"/>
      <c r="H26" s="44"/>
      <c r="I26" s="44"/>
      <c r="J26" s="44"/>
      <c r="K26" s="44"/>
    </row>
    <row r="27" spans="1:11">
      <c r="A27" s="211" t="s">
        <v>193</v>
      </c>
      <c r="B27" s="211"/>
      <c r="C27" s="211"/>
      <c r="D27" s="211"/>
      <c r="E27" s="211"/>
      <c r="F27" s="211"/>
      <c r="G27" s="211"/>
      <c r="H27" s="44"/>
      <c r="I27" s="44"/>
      <c r="J27" s="44"/>
      <c r="K27" s="44"/>
    </row>
  </sheetData>
  <mergeCells count="4">
    <mergeCell ref="A24:G24"/>
    <mergeCell ref="A25:G25"/>
    <mergeCell ref="A26:G26"/>
    <mergeCell ref="A27:G27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- Final Results&amp;RExhibit DJG-12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E6F9-E0D8-426F-90D2-97ADB665E5B5}">
  <sheetPr>
    <tabColor theme="9" tint="0.59999389629810485"/>
    <pageSetUpPr fitToPage="1"/>
  </sheetPr>
  <dimension ref="A1:E22"/>
  <sheetViews>
    <sheetView zoomScale="110" zoomScaleNormal="110" workbookViewId="0"/>
  </sheetViews>
  <sheetFormatPr defaultRowHeight="15"/>
  <cols>
    <col min="1" max="1" width="50.140625" bestFit="1" customWidth="1"/>
    <col min="2" max="2" width="2.7109375" customWidth="1"/>
    <col min="3" max="5" width="5.85546875" bestFit="1" customWidth="1"/>
  </cols>
  <sheetData>
    <row r="1" spans="1:5">
      <c r="A1" s="15"/>
      <c r="B1" s="15"/>
      <c r="C1" s="15"/>
      <c r="D1" s="15"/>
      <c r="E1" s="15"/>
    </row>
    <row r="3" spans="1:5" ht="15.75">
      <c r="A3" s="128" t="s">
        <v>69</v>
      </c>
      <c r="B3" s="137"/>
      <c r="C3" s="217" t="s">
        <v>63</v>
      </c>
      <c r="D3" s="217"/>
      <c r="E3" s="217"/>
    </row>
    <row r="4" spans="1:5" ht="15.75">
      <c r="A4" s="179"/>
      <c r="B4" s="179"/>
      <c r="C4" s="179"/>
      <c r="D4" s="179"/>
      <c r="E4" s="179"/>
    </row>
    <row r="5" spans="1:5" ht="15.75">
      <c r="A5" s="179" t="s">
        <v>200</v>
      </c>
      <c r="B5" s="179"/>
      <c r="C5" s="180"/>
      <c r="D5" s="180">
        <f>ROUND('12 CAPM Result'!G15,3)</f>
        <v>8.5999999999999993E-2</v>
      </c>
      <c r="E5" s="180"/>
    </row>
    <row r="6" spans="1:5" ht="15.75">
      <c r="A6" s="179"/>
      <c r="B6" s="179"/>
      <c r="C6" s="180"/>
      <c r="D6" s="180"/>
      <c r="E6" s="180"/>
    </row>
    <row r="7" spans="1:5" ht="15.75">
      <c r="A7" s="179" t="s">
        <v>201</v>
      </c>
      <c r="B7" s="179"/>
      <c r="C7" s="180"/>
      <c r="D7" s="180">
        <f>ROUND('16 Hamada Model'!G25,3)</f>
        <v>7.9000000000000001E-2</v>
      </c>
      <c r="E7" s="180"/>
    </row>
    <row r="8" spans="1:5" ht="15.75">
      <c r="A8" s="179"/>
      <c r="B8" s="179"/>
      <c r="C8" s="180"/>
      <c r="D8" s="199"/>
      <c r="E8" s="179"/>
    </row>
    <row r="9" spans="1:5" ht="15.75">
      <c r="A9" s="179" t="s">
        <v>195</v>
      </c>
      <c r="B9" s="179"/>
      <c r="C9" s="180"/>
      <c r="D9" s="180">
        <f>ROUND('7 DCF Result'!K16,3)</f>
        <v>0.09</v>
      </c>
      <c r="E9" s="180"/>
    </row>
    <row r="10" spans="1:5" ht="15.75">
      <c r="A10" s="179"/>
      <c r="B10" s="179"/>
      <c r="C10" s="180"/>
      <c r="D10" s="199"/>
      <c r="E10" s="179"/>
    </row>
    <row r="11" spans="1:5" ht="15.75">
      <c r="A11" s="181" t="s">
        <v>196</v>
      </c>
      <c r="B11" s="179"/>
      <c r="C11" s="197"/>
      <c r="D11" s="197">
        <f>ROUND('7 DCF Result'!M16,3)</f>
        <v>6.4000000000000001E-2</v>
      </c>
      <c r="E11" s="197"/>
    </row>
    <row r="12" spans="1:5" ht="15.75">
      <c r="A12" s="179"/>
      <c r="B12" s="179"/>
      <c r="C12" s="182"/>
      <c r="D12" s="199"/>
      <c r="E12" s="179"/>
    </row>
    <row r="13" spans="1:5" ht="15.75">
      <c r="A13" s="137" t="s">
        <v>234</v>
      </c>
      <c r="B13" s="137"/>
      <c r="C13" s="183"/>
      <c r="D13" s="183">
        <f>ROUND(AVERAGE(D5,D7,D9,D11),3)</f>
        <v>0.08</v>
      </c>
      <c r="E13" s="183"/>
    </row>
    <row r="14" spans="1:5">
      <c r="A14" s="15"/>
      <c r="B14" s="15"/>
      <c r="C14" s="15"/>
      <c r="D14" s="15"/>
      <c r="E14" s="15"/>
    </row>
    <row r="20" spans="4:4">
      <c r="D20" s="25"/>
    </row>
    <row r="22" spans="4:4">
      <c r="D22" s="12"/>
    </row>
  </sheetData>
  <mergeCells count="1">
    <mergeCell ref="C3:E3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&amp;C&amp;"-,Bold"&amp;14Cost of Equity Summary&amp;RExhibit DJG-13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80004-1F57-4F9C-B431-6256B18FCB35}">
  <sheetPr>
    <tabColor theme="8" tint="0.59999389629810485"/>
    <pageSetUpPr fitToPage="1"/>
  </sheetPr>
  <dimension ref="A1:E17"/>
  <sheetViews>
    <sheetView zoomScaleNormal="100" workbookViewId="0"/>
  </sheetViews>
  <sheetFormatPr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3.7109375" customWidth="1"/>
  </cols>
  <sheetData>
    <row r="1" spans="1:5">
      <c r="A1" s="15"/>
      <c r="B1" s="15"/>
      <c r="C1" s="15"/>
      <c r="D1" s="15"/>
      <c r="E1" s="15"/>
    </row>
    <row r="3" spans="1:5" ht="19.899999999999999" customHeight="1">
      <c r="A3" s="2" t="s">
        <v>0</v>
      </c>
      <c r="B3" s="1"/>
      <c r="C3" s="2" t="s">
        <v>1</v>
      </c>
      <c r="D3" s="1"/>
      <c r="E3" s="4" t="s">
        <v>96</v>
      </c>
    </row>
    <row r="4" spans="1:5" ht="19.899999999999999" customHeight="1">
      <c r="A4" s="1"/>
      <c r="B4" s="1"/>
      <c r="C4" s="1"/>
      <c r="D4" s="1"/>
      <c r="E4" s="5"/>
    </row>
    <row r="5" spans="1:5" ht="19.899999999999999" customHeight="1">
      <c r="A5" t="str">
        <f>'3 Proxy Sum'!A5</f>
        <v>American States Water Co.</v>
      </c>
      <c r="C5" s="34" t="str">
        <f>'3 Proxy Sum'!C5</f>
        <v>AWR</v>
      </c>
      <c r="D5" s="1"/>
      <c r="E5" s="204">
        <v>0.42</v>
      </c>
    </row>
    <row r="6" spans="1:5" ht="19.899999999999999" customHeight="1">
      <c r="A6" t="str">
        <f>'3 Proxy Sum'!A6</f>
        <v>American Water Works Co., Inc.</v>
      </c>
      <c r="C6" s="34" t="str">
        <f>'3 Proxy Sum'!C6</f>
        <v>AWK</v>
      </c>
      <c r="D6" s="1"/>
      <c r="E6" s="204">
        <v>0.55500000000000005</v>
      </c>
    </row>
    <row r="7" spans="1:5" ht="19.899999999999999" customHeight="1">
      <c r="A7" t="str">
        <f>'3 Proxy Sum'!A7</f>
        <v>Essential Utilities, Inc.</v>
      </c>
      <c r="C7" s="34" t="str">
        <f>'3 Proxy Sum'!C7</f>
        <v>WTRG</v>
      </c>
      <c r="D7" s="1"/>
      <c r="E7" s="204">
        <v>0.54</v>
      </c>
    </row>
    <row r="8" spans="1:5" ht="19.899999999999999" customHeight="1">
      <c r="A8" t="str">
        <f>'3 Proxy Sum'!A8</f>
        <v>Artesian Resources Corp.</v>
      </c>
      <c r="C8" s="34" t="str">
        <f>'3 Proxy Sum'!C8</f>
        <v>ARTNA</v>
      </c>
      <c r="D8" s="1"/>
      <c r="E8" s="204">
        <v>0.436</v>
      </c>
    </row>
    <row r="9" spans="1:5" ht="19.899999999999999" customHeight="1">
      <c r="A9" t="str">
        <f>'3 Proxy Sum'!A9</f>
        <v>California Water Service Gp.</v>
      </c>
      <c r="C9" s="34" t="str">
        <f>'3 Proxy Sum'!C9</f>
        <v>CWT</v>
      </c>
      <c r="D9" s="1"/>
      <c r="E9" s="204">
        <v>0.39</v>
      </c>
    </row>
    <row r="10" spans="1:5" ht="19.899999999999999" customHeight="1">
      <c r="A10" t="str">
        <f>'3 Proxy Sum'!A10</f>
        <v>Middlesex Water</v>
      </c>
      <c r="C10" s="34" t="str">
        <f>'3 Proxy Sum'!C10</f>
        <v>MSEX</v>
      </c>
      <c r="D10" s="1"/>
      <c r="E10" s="204">
        <v>0.42499999999999999</v>
      </c>
    </row>
    <row r="11" spans="1:5" ht="19.899999999999999" customHeight="1">
      <c r="A11" s="15" t="str">
        <f>'3 Proxy Sum'!A11</f>
        <v>York Water Company</v>
      </c>
      <c r="C11" s="34" t="str">
        <f>'3 Proxy Sum'!C11</f>
        <v>YORW</v>
      </c>
      <c r="D11" s="1"/>
      <c r="E11" s="205">
        <v>0.44900000000000001</v>
      </c>
    </row>
    <row r="12" spans="1:5" ht="19.899999999999999" customHeight="1">
      <c r="C12" s="1"/>
      <c r="D12" s="1"/>
      <c r="E12" s="7"/>
    </row>
    <row r="13" spans="1:5">
      <c r="A13" s="1" t="s">
        <v>58</v>
      </c>
      <c r="B13" s="11"/>
      <c r="C13" s="1"/>
      <c r="D13" s="1"/>
      <c r="E13" s="204">
        <f>ROUND(AVERAGE(E5:E11),2)</f>
        <v>0.46</v>
      </c>
    </row>
    <row r="14" spans="1:5">
      <c r="A14" s="2"/>
      <c r="B14" s="15"/>
      <c r="C14" s="2"/>
      <c r="D14" s="2"/>
      <c r="E14" s="39"/>
    </row>
    <row r="15" spans="1:5">
      <c r="C15" s="1"/>
      <c r="D15" s="1"/>
      <c r="E15" s="7"/>
    </row>
    <row r="16" spans="1:5" s="44" customFormat="1" ht="14.45" customHeight="1">
      <c r="A16"/>
      <c r="B16"/>
      <c r="C16"/>
      <c r="D16"/>
      <c r="E16"/>
    </row>
    <row r="17" spans="1:5">
      <c r="A17" s="211" t="s">
        <v>231</v>
      </c>
      <c r="B17" s="211"/>
      <c r="C17" s="211"/>
      <c r="D17" s="211"/>
      <c r="E17" s="211"/>
    </row>
  </sheetData>
  <mergeCells count="1">
    <mergeCell ref="A17:E17"/>
  </mergeCells>
  <printOptions horizontalCentered="1"/>
  <pageMargins left="0.7" right="0.7" top="0.75" bottom="0.75" header="0.3" footer="0.3"/>
  <pageSetup orientation="portrait" r:id="rId1"/>
  <headerFooter scaleWithDoc="0">
    <oddHeader>&amp;C&amp;"-,Bold"&amp;14Proxy Company Debt Ratios&amp;RExhibit DJG-14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377F5-672B-4FD6-A4C1-5EDD957476B1}">
  <sheetPr>
    <tabColor theme="8" tint="0.59999389629810485"/>
    <pageSetUpPr fitToPage="1"/>
  </sheetPr>
  <dimension ref="A1:O97"/>
  <sheetViews>
    <sheetView zoomScale="90" zoomScaleNormal="90" workbookViewId="0"/>
  </sheetViews>
  <sheetFormatPr defaultColWidth="9.140625" defaultRowHeight="15"/>
  <cols>
    <col min="1" max="1" width="36.140625" style="118" customWidth="1"/>
    <col min="2" max="2" width="2.7109375" style="118" customWidth="1"/>
    <col min="3" max="3" width="10.7109375" style="118" bestFit="1" customWidth="1"/>
    <col min="4" max="4" width="2.7109375" style="118" customWidth="1"/>
    <col min="5" max="5" width="13.28515625" style="131" customWidth="1"/>
    <col min="6" max="6" width="9.140625" style="118"/>
    <col min="7" max="7" width="36.140625" style="118" bestFit="1" customWidth="1"/>
    <col min="8" max="8" width="2.7109375" style="118" customWidth="1"/>
    <col min="9" max="9" width="10.28515625" style="118" bestFit="1" customWidth="1"/>
    <col min="10" max="10" width="2.7109375" style="118" customWidth="1"/>
    <col min="11" max="11" width="12.7109375" style="118" customWidth="1"/>
    <col min="12" max="12" width="9.140625" style="118"/>
    <col min="13" max="13" width="32.7109375" style="118" bestFit="1" customWidth="1"/>
    <col min="14" max="14" width="2.7109375" style="118" customWidth="1"/>
    <col min="15" max="15" width="11.42578125" style="118" bestFit="1" customWidth="1"/>
    <col min="16" max="16384" width="9.140625" style="118"/>
  </cols>
  <sheetData>
    <row r="1" spans="1:15">
      <c r="A1" s="116"/>
      <c r="B1" s="116"/>
      <c r="C1" s="116"/>
      <c r="D1" s="116"/>
      <c r="E1" s="117"/>
      <c r="G1" s="118" t="s">
        <v>94</v>
      </c>
      <c r="M1" s="208" t="s">
        <v>94</v>
      </c>
    </row>
    <row r="3" spans="1:15" ht="14.45" customHeight="1">
      <c r="A3" s="41" t="s">
        <v>59</v>
      </c>
      <c r="C3" s="41" t="s">
        <v>95</v>
      </c>
      <c r="E3" s="134" t="s">
        <v>96</v>
      </c>
      <c r="G3" s="41" t="s">
        <v>59</v>
      </c>
      <c r="I3" s="41" t="s">
        <v>95</v>
      </c>
      <c r="K3" s="134" t="s">
        <v>96</v>
      </c>
      <c r="M3" s="128" t="s">
        <v>12</v>
      </c>
      <c r="N3" s="13"/>
      <c r="O3" s="129" t="s">
        <v>96</v>
      </c>
    </row>
    <row r="4" spans="1:15" ht="14.45" customHeight="1">
      <c r="A4" s="118" t="s">
        <v>112</v>
      </c>
      <c r="C4" s="119">
        <v>21</v>
      </c>
      <c r="D4" s="120"/>
      <c r="E4" s="121">
        <v>0.83829991483322497</v>
      </c>
      <c r="G4" s="118" t="s">
        <v>112</v>
      </c>
      <c r="I4" s="119">
        <v>21</v>
      </c>
      <c r="J4" s="120"/>
      <c r="K4" s="121">
        <v>0.83829991483322497</v>
      </c>
      <c r="M4" s="137"/>
      <c r="N4" s="13"/>
      <c r="O4" s="138"/>
    </row>
    <row r="5" spans="1:15" ht="14.45" customHeight="1">
      <c r="A5" s="118" t="s">
        <v>105</v>
      </c>
      <c r="C5" s="119">
        <v>69</v>
      </c>
      <c r="D5" s="120"/>
      <c r="E5" s="121">
        <v>0.81803310603300294</v>
      </c>
      <c r="G5" s="118" t="s">
        <v>105</v>
      </c>
      <c r="I5" s="119">
        <v>69</v>
      </c>
      <c r="J5" s="120"/>
      <c r="K5" s="121">
        <v>0.81803310603300294</v>
      </c>
      <c r="M5" s="136" t="s">
        <v>117</v>
      </c>
      <c r="N5" s="136"/>
      <c r="O5" s="130">
        <v>0.68012584605027049</v>
      </c>
    </row>
    <row r="6" spans="1:15" ht="14.45" customHeight="1">
      <c r="A6" s="118" t="s">
        <v>97</v>
      </c>
      <c r="C6" s="119">
        <v>34</v>
      </c>
      <c r="D6" s="120"/>
      <c r="E6" s="121">
        <v>0.81791667571706228</v>
      </c>
      <c r="G6" s="118" t="s">
        <v>97</v>
      </c>
      <c r="I6" s="119">
        <v>34</v>
      </c>
      <c r="J6" s="120"/>
      <c r="K6" s="121">
        <v>0.81791667571706228</v>
      </c>
      <c r="M6" s="136"/>
      <c r="N6" s="136"/>
      <c r="O6" s="130"/>
    </row>
    <row r="7" spans="1:15" ht="14.45" customHeight="1">
      <c r="A7" s="118" t="s">
        <v>99</v>
      </c>
      <c r="C7" s="119">
        <v>30</v>
      </c>
      <c r="D7" s="120"/>
      <c r="E7" s="121">
        <v>0.77531495876780354</v>
      </c>
      <c r="G7" s="118" t="s">
        <v>99</v>
      </c>
      <c r="I7" s="119">
        <v>30</v>
      </c>
      <c r="J7" s="120"/>
      <c r="K7" s="121">
        <v>0.77531495876780354</v>
      </c>
      <c r="M7" s="136" t="s">
        <v>122</v>
      </c>
      <c r="N7" s="136"/>
      <c r="O7" s="130">
        <v>0.60322801214043908</v>
      </c>
    </row>
    <row r="8" spans="1:15" ht="14.45" customHeight="1">
      <c r="A8" s="118" t="s">
        <v>100</v>
      </c>
      <c r="C8" s="119">
        <v>30</v>
      </c>
      <c r="D8" s="120"/>
      <c r="E8" s="121">
        <v>0.76441466751999054</v>
      </c>
      <c r="G8" s="118" t="s">
        <v>100</v>
      </c>
      <c r="I8" s="119">
        <v>30</v>
      </c>
      <c r="J8" s="120"/>
      <c r="K8" s="121">
        <v>0.76441466751999054</v>
      </c>
      <c r="M8" s="136"/>
      <c r="N8" s="136"/>
      <c r="O8" s="130"/>
    </row>
    <row r="9" spans="1:15" ht="14.45" customHeight="1">
      <c r="A9" s="118" t="s">
        <v>114</v>
      </c>
      <c r="C9" s="119">
        <v>42</v>
      </c>
      <c r="D9" s="120"/>
      <c r="E9" s="121">
        <v>0.70990085581557316</v>
      </c>
      <c r="G9" t="s">
        <v>114</v>
      </c>
      <c r="H9"/>
      <c r="I9" s="122">
        <v>42</v>
      </c>
      <c r="J9" s="1"/>
      <c r="K9" s="121">
        <v>0.70990085581557316</v>
      </c>
      <c r="M9" s="136" t="s">
        <v>115</v>
      </c>
      <c r="N9" s="136"/>
      <c r="O9" s="130">
        <v>0.60139888881692838</v>
      </c>
    </row>
    <row r="10" spans="1:15" ht="14.45" customHeight="1">
      <c r="A10" s="118" t="s">
        <v>103</v>
      </c>
      <c r="C10" s="119">
        <v>7</v>
      </c>
      <c r="D10" s="120"/>
      <c r="E10" s="121">
        <v>0.68127624211346627</v>
      </c>
      <c r="G10" t="s">
        <v>103</v>
      </c>
      <c r="H10"/>
      <c r="I10" s="122">
        <v>7</v>
      </c>
      <c r="J10" s="1"/>
      <c r="K10" s="121">
        <v>0.68127624211346627</v>
      </c>
      <c r="M10" s="136"/>
      <c r="N10" s="136"/>
      <c r="O10" s="130"/>
    </row>
    <row r="11" spans="1:15" ht="14.45" customHeight="1">
      <c r="A11" s="118" t="s">
        <v>117</v>
      </c>
      <c r="C11" s="119">
        <v>10</v>
      </c>
      <c r="D11" s="120"/>
      <c r="E11" s="121">
        <v>0.68012584605027049</v>
      </c>
      <c r="G11" s="153" t="s">
        <v>117</v>
      </c>
      <c r="H11"/>
      <c r="I11" s="122">
        <v>10</v>
      </c>
      <c r="J11" s="1"/>
      <c r="K11" s="200">
        <v>0.68012584605027049</v>
      </c>
      <c r="M11" s="136" t="s">
        <v>233</v>
      </c>
      <c r="N11" s="136"/>
      <c r="O11" s="209">
        <v>0.52500000000000002</v>
      </c>
    </row>
    <row r="12" spans="1:15" ht="14.45" customHeight="1">
      <c r="A12" s="118" t="s">
        <v>102</v>
      </c>
      <c r="C12" s="119">
        <v>14</v>
      </c>
      <c r="D12" s="120"/>
      <c r="E12" s="121">
        <v>0.67407478853646163</v>
      </c>
      <c r="G12" t="s">
        <v>102</v>
      </c>
      <c r="H12"/>
      <c r="I12" s="122">
        <v>14</v>
      </c>
      <c r="J12" s="1"/>
      <c r="K12" s="121">
        <v>0.67407478853646163</v>
      </c>
      <c r="M12" s="136"/>
      <c r="N12" s="136"/>
      <c r="O12" s="130"/>
    </row>
    <row r="13" spans="1:15" ht="14.45" customHeight="1">
      <c r="A13" s="118" t="s">
        <v>98</v>
      </c>
      <c r="C13" s="119">
        <v>58</v>
      </c>
      <c r="D13" s="120"/>
      <c r="E13" s="121">
        <v>0.67308739426248521</v>
      </c>
      <c r="G13" t="s">
        <v>98</v>
      </c>
      <c r="H13"/>
      <c r="I13" s="122">
        <v>58</v>
      </c>
      <c r="J13" s="1"/>
      <c r="K13" s="124">
        <v>0.67308739426248521</v>
      </c>
      <c r="M13" s="136" t="s">
        <v>138</v>
      </c>
      <c r="N13" s="136"/>
      <c r="O13" s="210">
        <f>'14 Proxy Debt Ratios'!E13</f>
        <v>0.46</v>
      </c>
    </row>
    <row r="14" spans="1:15" ht="14.45" customHeight="1">
      <c r="A14" s="118" t="s">
        <v>127</v>
      </c>
      <c r="C14" s="119">
        <v>23</v>
      </c>
      <c r="D14" s="120"/>
      <c r="E14" s="121">
        <v>0.66017934899352504</v>
      </c>
      <c r="G14" t="s">
        <v>127</v>
      </c>
      <c r="H14"/>
      <c r="I14" s="122">
        <v>23</v>
      </c>
      <c r="J14" s="1"/>
      <c r="K14" s="124">
        <v>0.66017934899352504</v>
      </c>
      <c r="M14" s="136"/>
      <c r="N14" s="136"/>
      <c r="O14" s="130"/>
    </row>
    <row r="15" spans="1:15" ht="14.45" customHeight="1">
      <c r="A15" s="118" t="s">
        <v>133</v>
      </c>
      <c r="C15" s="119">
        <v>3</v>
      </c>
      <c r="D15" s="120"/>
      <c r="E15" s="121">
        <v>0.64566038038187745</v>
      </c>
      <c r="G15" t="s">
        <v>133</v>
      </c>
      <c r="H15"/>
      <c r="I15" s="122">
        <v>3</v>
      </c>
      <c r="J15" s="1"/>
      <c r="K15" s="124">
        <v>0.64566038038187745</v>
      </c>
      <c r="M15" s="136" t="s">
        <v>170</v>
      </c>
      <c r="N15" s="136"/>
      <c r="O15" s="158">
        <v>0.34</v>
      </c>
    </row>
    <row r="16" spans="1:15" ht="14.45" customHeight="1">
      <c r="A16" s="118" t="s">
        <v>134</v>
      </c>
      <c r="C16" s="119">
        <v>4</v>
      </c>
      <c r="D16" s="120"/>
      <c r="E16" s="121">
        <v>0.64529621673770066</v>
      </c>
      <c r="G16" t="s">
        <v>134</v>
      </c>
      <c r="H16"/>
      <c r="I16" s="122">
        <v>4</v>
      </c>
      <c r="J16" s="1"/>
      <c r="K16" s="124">
        <v>0.64529621673770066</v>
      </c>
    </row>
    <row r="17" spans="1:11" ht="14.45" customHeight="1">
      <c r="A17" s="118" t="s">
        <v>130</v>
      </c>
      <c r="C17" s="119">
        <v>60</v>
      </c>
      <c r="D17" s="120"/>
      <c r="E17" s="121">
        <v>0.6447933916936408</v>
      </c>
      <c r="G17" t="s">
        <v>130</v>
      </c>
      <c r="H17"/>
      <c r="I17" s="122">
        <v>60</v>
      </c>
      <c r="J17" s="1"/>
      <c r="K17" s="123">
        <v>0.6447933916936408</v>
      </c>
    </row>
    <row r="18" spans="1:11" ht="14.45" customHeight="1">
      <c r="A18" s="118" t="s">
        <v>107</v>
      </c>
      <c r="C18" s="119">
        <v>13</v>
      </c>
      <c r="D18" s="120"/>
      <c r="E18" s="121">
        <v>0.64140950761338578</v>
      </c>
      <c r="G18" t="s">
        <v>107</v>
      </c>
      <c r="H18"/>
      <c r="I18" s="122">
        <v>13</v>
      </c>
      <c r="J18" s="1"/>
      <c r="K18" s="123">
        <v>0.64140950761338578</v>
      </c>
    </row>
    <row r="19" spans="1:11" ht="14.45" customHeight="1">
      <c r="A19" s="118" t="s">
        <v>109</v>
      </c>
      <c r="C19" s="119">
        <v>78</v>
      </c>
      <c r="D19" s="120"/>
      <c r="E19" s="121">
        <v>0.64112148339647257</v>
      </c>
      <c r="G19" t="s">
        <v>109</v>
      </c>
      <c r="H19"/>
      <c r="I19" s="122">
        <v>78</v>
      </c>
      <c r="J19" s="1"/>
      <c r="K19" s="123">
        <v>0.64112148339647257</v>
      </c>
    </row>
    <row r="20" spans="1:11" ht="14.45" customHeight="1">
      <c r="A20" s="118" t="s">
        <v>111</v>
      </c>
      <c r="C20" s="119">
        <v>57</v>
      </c>
      <c r="D20" s="120"/>
      <c r="E20" s="121">
        <v>0.62411944296150712</v>
      </c>
      <c r="G20" t="s">
        <v>111</v>
      </c>
      <c r="H20"/>
      <c r="I20" s="122">
        <v>57</v>
      </c>
      <c r="J20" s="1"/>
      <c r="K20" s="123">
        <v>0.62411944296150712</v>
      </c>
    </row>
    <row r="21" spans="1:11" ht="14.45" customHeight="1">
      <c r="A21" s="118" t="s">
        <v>204</v>
      </c>
      <c r="C21" s="119">
        <v>27</v>
      </c>
      <c r="D21" s="120"/>
      <c r="E21" s="121">
        <v>0.61239300068677971</v>
      </c>
      <c r="G21" t="s">
        <v>204</v>
      </c>
      <c r="H21"/>
      <c r="I21" s="122">
        <v>27</v>
      </c>
      <c r="J21" s="1"/>
      <c r="K21" s="123">
        <v>0.61239300068677971</v>
      </c>
    </row>
    <row r="22" spans="1:11" ht="14.45" customHeight="1">
      <c r="A22" s="118" t="s">
        <v>121</v>
      </c>
      <c r="C22" s="119">
        <v>35</v>
      </c>
      <c r="D22" s="120"/>
      <c r="E22" s="121">
        <v>0.60735550804977134</v>
      </c>
      <c r="G22" t="s">
        <v>121</v>
      </c>
      <c r="H22"/>
      <c r="I22" s="122">
        <v>35</v>
      </c>
      <c r="J22" s="1"/>
      <c r="K22" s="123">
        <v>0.60735550804977134</v>
      </c>
    </row>
    <row r="23" spans="1:11" ht="14.45" customHeight="1">
      <c r="A23" s="118" t="s">
        <v>106</v>
      </c>
      <c r="C23" s="119">
        <v>25</v>
      </c>
      <c r="D23" s="120"/>
      <c r="E23" s="121">
        <v>0.60639183463245616</v>
      </c>
      <c r="G23" t="s">
        <v>106</v>
      </c>
      <c r="H23"/>
      <c r="I23" s="122">
        <v>25</v>
      </c>
      <c r="J23" s="1"/>
      <c r="K23" s="123">
        <v>0.60639183463245616</v>
      </c>
    </row>
    <row r="24" spans="1:11">
      <c r="A24" s="118" t="s">
        <v>122</v>
      </c>
      <c r="C24" s="119">
        <v>48</v>
      </c>
      <c r="D24" s="120"/>
      <c r="E24" s="121">
        <v>0.60322801214043908</v>
      </c>
      <c r="G24" s="153" t="s">
        <v>122</v>
      </c>
      <c r="H24"/>
      <c r="I24" s="122">
        <v>48</v>
      </c>
      <c r="J24" s="1"/>
      <c r="K24" s="154">
        <v>0.60322801214043908</v>
      </c>
    </row>
    <row r="25" spans="1:11">
      <c r="A25" s="118" t="s">
        <v>120</v>
      </c>
      <c r="C25" s="119">
        <v>49</v>
      </c>
      <c r="D25" s="120"/>
      <c r="E25" s="121">
        <v>0.601738672666848</v>
      </c>
      <c r="G25" t="s">
        <v>120</v>
      </c>
      <c r="H25"/>
      <c r="I25" s="122">
        <v>49</v>
      </c>
      <c r="J25" s="1"/>
      <c r="K25" s="123">
        <v>0.601738672666848</v>
      </c>
    </row>
    <row r="26" spans="1:11">
      <c r="A26" t="s">
        <v>115</v>
      </c>
      <c r="B26"/>
      <c r="C26" s="122">
        <v>16</v>
      </c>
      <c r="D26" s="1"/>
      <c r="E26" s="123">
        <v>0.60139888881692838</v>
      </c>
      <c r="G26" s="153" t="s">
        <v>115</v>
      </c>
      <c r="H26"/>
      <c r="I26" s="122">
        <v>16</v>
      </c>
      <c r="J26" s="1"/>
      <c r="K26" s="154">
        <v>0.60139888881692838</v>
      </c>
    </row>
    <row r="27" spans="1:11">
      <c r="A27" s="118" t="s">
        <v>108</v>
      </c>
      <c r="C27" s="119">
        <v>223</v>
      </c>
      <c r="D27" s="120"/>
      <c r="E27" s="121">
        <v>0.59659554755727284</v>
      </c>
      <c r="G27" t="s">
        <v>108</v>
      </c>
      <c r="H27"/>
      <c r="I27" s="122">
        <v>223</v>
      </c>
      <c r="J27" s="1"/>
      <c r="K27" s="123">
        <v>0.59659554755727284</v>
      </c>
    </row>
    <row r="28" spans="1:11">
      <c r="A28" s="118" t="s">
        <v>101</v>
      </c>
      <c r="C28" s="119">
        <v>31</v>
      </c>
      <c r="D28" s="120"/>
      <c r="E28" s="121">
        <v>0.59403980898571862</v>
      </c>
      <c r="G28" t="s">
        <v>101</v>
      </c>
      <c r="H28"/>
      <c r="I28" s="122">
        <v>31</v>
      </c>
      <c r="J28" s="1"/>
      <c r="K28" s="123">
        <v>0.59403980898571862</v>
      </c>
    </row>
    <row r="29" spans="1:11">
      <c r="A29" s="118" t="s">
        <v>205</v>
      </c>
      <c r="C29" s="119">
        <v>15</v>
      </c>
      <c r="D29" s="120"/>
      <c r="E29" s="121">
        <v>0.58590631165649187</v>
      </c>
      <c r="G29" t="s">
        <v>205</v>
      </c>
      <c r="I29" s="122">
        <v>15</v>
      </c>
      <c r="J29" s="1"/>
      <c r="K29" s="123">
        <v>0.58590631165649187</v>
      </c>
    </row>
    <row r="30" spans="1:11">
      <c r="A30" s="118" t="s">
        <v>131</v>
      </c>
      <c r="C30" s="119">
        <v>127</v>
      </c>
      <c r="D30" s="120"/>
      <c r="E30" s="121">
        <v>0.58318160929067164</v>
      </c>
      <c r="G30" t="s">
        <v>131</v>
      </c>
      <c r="H30"/>
      <c r="I30" s="122">
        <v>127</v>
      </c>
      <c r="J30" s="1"/>
      <c r="K30" s="123">
        <v>0.58318160929067164</v>
      </c>
    </row>
    <row r="31" spans="1:11">
      <c r="A31" s="118" t="s">
        <v>123</v>
      </c>
      <c r="C31" s="119">
        <v>16</v>
      </c>
      <c r="D31" s="120"/>
      <c r="E31" s="121">
        <v>0.57817892319596342</v>
      </c>
      <c r="G31" t="s">
        <v>123</v>
      </c>
      <c r="I31" s="122">
        <v>16</v>
      </c>
      <c r="J31" s="1"/>
      <c r="K31" s="123">
        <v>0.57817892319596342</v>
      </c>
    </row>
    <row r="32" spans="1:11">
      <c r="A32" s="118" t="s">
        <v>132</v>
      </c>
      <c r="C32" s="119">
        <v>62</v>
      </c>
      <c r="D32" s="120"/>
      <c r="E32" s="121">
        <v>0.57271514191792261</v>
      </c>
      <c r="G32" t="s">
        <v>132</v>
      </c>
      <c r="I32" s="122">
        <v>62</v>
      </c>
      <c r="J32" s="1"/>
      <c r="K32" s="123">
        <v>0.57271514191792261</v>
      </c>
    </row>
    <row r="33" spans="1:11">
      <c r="A33" s="118" t="s">
        <v>168</v>
      </c>
      <c r="C33" s="119">
        <v>16</v>
      </c>
      <c r="D33" s="120"/>
      <c r="E33" s="121">
        <v>0.57197539887530002</v>
      </c>
      <c r="G33" t="s">
        <v>168</v>
      </c>
      <c r="I33" s="122">
        <v>16</v>
      </c>
      <c r="J33" s="1"/>
      <c r="K33" s="123">
        <v>0.57197539887530002</v>
      </c>
    </row>
    <row r="34" spans="1:11">
      <c r="A34" s="118" t="s">
        <v>113</v>
      </c>
      <c r="C34" s="119">
        <v>69</v>
      </c>
      <c r="D34" s="120"/>
      <c r="E34" s="121">
        <v>0.57091895955045724</v>
      </c>
      <c r="G34" t="s">
        <v>113</v>
      </c>
      <c r="I34" s="119">
        <v>69</v>
      </c>
      <c r="J34" s="120"/>
      <c r="K34" s="124">
        <v>0.57091895955045724</v>
      </c>
    </row>
    <row r="35" spans="1:11">
      <c r="A35" s="118" t="s">
        <v>104</v>
      </c>
      <c r="C35" s="119">
        <v>18</v>
      </c>
      <c r="D35" s="120"/>
      <c r="E35" s="121">
        <v>0.56944825221299267</v>
      </c>
      <c r="G35" s="118" t="s">
        <v>104</v>
      </c>
      <c r="I35" s="119">
        <v>18</v>
      </c>
      <c r="J35" s="120"/>
      <c r="K35" s="121">
        <v>0.56944825221299267</v>
      </c>
    </row>
    <row r="36" spans="1:11">
      <c r="A36" s="118" t="s">
        <v>110</v>
      </c>
      <c r="C36" s="119">
        <v>19</v>
      </c>
      <c r="D36" s="120"/>
      <c r="E36" s="121">
        <v>0.56532105496644758</v>
      </c>
      <c r="G36" s="155" t="s">
        <v>110</v>
      </c>
      <c r="I36" s="125">
        <v>19</v>
      </c>
      <c r="J36" s="120"/>
      <c r="K36" s="156">
        <v>0.56532105496644758</v>
      </c>
    </row>
    <row r="37" spans="1:11">
      <c r="A37" s="118" t="s">
        <v>118</v>
      </c>
      <c r="C37" s="119">
        <v>80</v>
      </c>
      <c r="D37" s="120"/>
      <c r="E37" s="121">
        <v>0.56371218054021199</v>
      </c>
      <c r="F37" s="44"/>
      <c r="I37" s="120"/>
      <c r="J37" s="120"/>
      <c r="K37" s="121"/>
    </row>
    <row r="38" spans="1:11">
      <c r="A38" s="118" t="s">
        <v>60</v>
      </c>
      <c r="C38" s="119">
        <v>26</v>
      </c>
      <c r="D38" s="120"/>
      <c r="E38" s="201">
        <v>0.56267782599488469</v>
      </c>
      <c r="G38" s="13" t="s">
        <v>135</v>
      </c>
      <c r="I38" s="126">
        <f>SUM(I4:I36)</f>
        <v>1349</v>
      </c>
      <c r="J38" s="120"/>
      <c r="K38" s="127">
        <f>AVERAGE(K4:K36)</f>
        <v>0.64714579232211855</v>
      </c>
    </row>
    <row r="39" spans="1:11">
      <c r="A39" s="118" t="s">
        <v>125</v>
      </c>
      <c r="C39" s="119">
        <v>63</v>
      </c>
      <c r="D39" s="120"/>
      <c r="E39" s="201">
        <v>0.55748613146290671</v>
      </c>
    </row>
    <row r="40" spans="1:11">
      <c r="A40" s="118" t="s">
        <v>136</v>
      </c>
      <c r="C40" s="119">
        <v>39</v>
      </c>
      <c r="D40" s="120"/>
      <c r="E40" s="201">
        <v>0.55696690151775863</v>
      </c>
    </row>
    <row r="41" spans="1:11">
      <c r="A41" s="118" t="s">
        <v>126</v>
      </c>
      <c r="C41" s="119">
        <v>77</v>
      </c>
      <c r="D41" s="120"/>
      <c r="E41" s="201">
        <v>0.55641037444487496</v>
      </c>
    </row>
    <row r="42" spans="1:11">
      <c r="A42" s="118" t="s">
        <v>169</v>
      </c>
      <c r="C42" s="119">
        <v>7</v>
      </c>
      <c r="D42" s="120"/>
      <c r="E42" s="201">
        <v>0.55275945666512172</v>
      </c>
    </row>
    <row r="43" spans="1:11">
      <c r="A43" s="118" t="s">
        <v>119</v>
      </c>
      <c r="C43" s="119">
        <v>31</v>
      </c>
      <c r="D43" s="120"/>
      <c r="E43" s="201">
        <v>0.5491043497801904</v>
      </c>
    </row>
    <row r="44" spans="1:11" ht="15.75">
      <c r="A44" s="118" t="s">
        <v>116</v>
      </c>
      <c r="C44" s="119">
        <v>39</v>
      </c>
      <c r="D44" s="120"/>
      <c r="E44" s="201">
        <v>0.54082476178297811</v>
      </c>
      <c r="G44" s="137"/>
      <c r="H44" s="13"/>
      <c r="I44" s="138"/>
    </row>
    <row r="45" spans="1:11">
      <c r="A45" s="118" t="s">
        <v>206</v>
      </c>
      <c r="C45" s="119">
        <v>1</v>
      </c>
      <c r="D45" s="120"/>
      <c r="E45" s="201">
        <v>0.52918238993710687</v>
      </c>
      <c r="G45" s="13"/>
      <c r="H45" s="13"/>
      <c r="I45" s="11"/>
    </row>
    <row r="46" spans="1:11">
      <c r="A46" s="118" t="s">
        <v>124</v>
      </c>
      <c r="C46" s="119">
        <v>4</v>
      </c>
      <c r="D46" s="120"/>
      <c r="E46" s="201">
        <v>0.52404028925365365</v>
      </c>
      <c r="G46" s="136"/>
      <c r="H46" s="136"/>
      <c r="I46" s="139"/>
    </row>
    <row r="47" spans="1:11">
      <c r="A47" s="118" t="s">
        <v>129</v>
      </c>
      <c r="C47" s="119">
        <v>49</v>
      </c>
      <c r="D47" s="120"/>
      <c r="E47" s="201">
        <v>0.52183696636606203</v>
      </c>
      <c r="G47" s="136"/>
      <c r="H47" s="136"/>
      <c r="I47" s="139"/>
    </row>
    <row r="48" spans="1:11">
      <c r="A48" s="118" t="s">
        <v>207</v>
      </c>
      <c r="C48" s="119">
        <v>15</v>
      </c>
      <c r="D48" s="120"/>
      <c r="E48" s="201">
        <v>0.51766853477485242</v>
      </c>
      <c r="G48" s="136"/>
      <c r="H48" s="136"/>
      <c r="I48" s="139"/>
    </row>
    <row r="49" spans="1:9">
      <c r="A49" s="118" t="s">
        <v>128</v>
      </c>
      <c r="C49" s="119">
        <v>164</v>
      </c>
      <c r="D49" s="120"/>
      <c r="E49" s="201">
        <v>0.51622191522875427</v>
      </c>
      <c r="G49" s="136"/>
      <c r="H49" s="136"/>
      <c r="I49" s="139"/>
    </row>
    <row r="50" spans="1:9">
      <c r="A50" s="118" t="s">
        <v>137</v>
      </c>
      <c r="C50" s="119">
        <v>18</v>
      </c>
      <c r="D50" s="120"/>
      <c r="E50" s="201">
        <v>0.50673561103327991</v>
      </c>
      <c r="G50" s="136"/>
      <c r="H50" s="136"/>
      <c r="I50" s="139"/>
    </row>
    <row r="51" spans="1:9">
      <c r="A51" s="118" t="s">
        <v>208</v>
      </c>
      <c r="C51" s="125">
        <v>32</v>
      </c>
      <c r="D51" s="120"/>
      <c r="E51" s="157">
        <v>0.5050494382499946</v>
      </c>
      <c r="G51" s="136"/>
      <c r="H51" s="136"/>
      <c r="I51" s="139"/>
    </row>
    <row r="52" spans="1:9">
      <c r="C52" s="119"/>
      <c r="D52" s="120"/>
      <c r="E52" s="201"/>
      <c r="G52" s="136"/>
      <c r="H52" s="136"/>
      <c r="I52" s="139"/>
    </row>
    <row r="53" spans="1:9">
      <c r="A53" s="13" t="s">
        <v>135</v>
      </c>
      <c r="C53" s="126">
        <f>SUM(C4:C51)</f>
        <v>1994</v>
      </c>
      <c r="D53" s="120"/>
      <c r="E53" s="127">
        <f>AVERAGE(E4:E51)</f>
        <v>0.61284350570130297</v>
      </c>
      <c r="G53" s="136"/>
      <c r="H53" s="136"/>
      <c r="I53" s="139"/>
    </row>
    <row r="54" spans="1:9">
      <c r="A54" s="116"/>
      <c r="B54" s="116"/>
      <c r="C54" s="116"/>
      <c r="D54" s="116"/>
      <c r="E54" s="117"/>
      <c r="G54" s="136"/>
      <c r="H54" s="136"/>
      <c r="I54" s="140"/>
    </row>
    <row r="57" spans="1:9">
      <c r="A57" s="211" t="s">
        <v>139</v>
      </c>
      <c r="B57" s="211"/>
      <c r="C57" s="211"/>
      <c r="D57" s="211"/>
      <c r="E57" s="211"/>
    </row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</sheetData>
  <mergeCells count="1">
    <mergeCell ref="A57:E57"/>
  </mergeCells>
  <printOptions horizontalCentered="1"/>
  <pageMargins left="0.7" right="0.7" top="0.75" bottom="0.75" header="0.3" footer="0.3"/>
  <pageSetup scale="84" orientation="portrait" r:id="rId1"/>
  <headerFooter scaleWithDoc="0">
    <oddHeader>&amp;C&amp;"-,Bold"&amp;14Competitive Industry Debt Ratios&amp;RExhibit DJG-15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30688-D460-4E21-8C2B-8B728AE1E782}">
  <sheetPr>
    <tabColor theme="7" tint="0.59999389629810485"/>
    <pageSetUpPr fitToPage="1"/>
  </sheetPr>
  <dimension ref="A1:G42"/>
  <sheetViews>
    <sheetView zoomScaleNormal="100" workbookViewId="0"/>
  </sheetViews>
  <sheetFormatPr defaultColWidth="9.140625" defaultRowHeight="15"/>
  <cols>
    <col min="1" max="1" width="9.28515625" customWidth="1"/>
    <col min="2" max="2" width="1.7109375" customWidth="1"/>
    <col min="3" max="3" width="11.5703125" customWidth="1"/>
    <col min="4" max="4" width="1.7109375" customWidth="1"/>
    <col min="5" max="5" width="10.140625" bestFit="1" customWidth="1"/>
    <col min="6" max="6" width="1.7109375" customWidth="1"/>
    <col min="7" max="7" width="9.28515625" customWidth="1"/>
  </cols>
  <sheetData>
    <row r="1" spans="1:7">
      <c r="A1" s="15"/>
      <c r="B1" s="15"/>
      <c r="C1" s="15"/>
      <c r="D1" s="15"/>
      <c r="E1" s="15"/>
      <c r="F1" s="15"/>
      <c r="G1" s="15"/>
    </row>
    <row r="3" spans="1:7">
      <c r="A3" s="218" t="s">
        <v>150</v>
      </c>
      <c r="B3" s="218"/>
      <c r="C3" s="218"/>
      <c r="D3" s="218"/>
      <c r="E3" s="218"/>
      <c r="F3" s="218"/>
      <c r="G3" s="218"/>
    </row>
    <row r="5" spans="1:7">
      <c r="A5" s="213" t="s">
        <v>197</v>
      </c>
      <c r="B5" s="213"/>
      <c r="C5" s="213"/>
      <c r="E5" s="135">
        <f>'14 Proxy Debt Ratios'!E13</f>
        <v>0.46</v>
      </c>
      <c r="F5" s="145"/>
      <c r="G5" s="146" t="s">
        <v>3</v>
      </c>
    </row>
    <row r="6" spans="1:7">
      <c r="A6" s="213" t="s">
        <v>198</v>
      </c>
      <c r="B6" s="213"/>
      <c r="C6" s="213"/>
      <c r="E6" s="135">
        <f>1-E5</f>
        <v>0.54</v>
      </c>
      <c r="F6" s="145"/>
      <c r="G6" s="146" t="s">
        <v>4</v>
      </c>
    </row>
    <row r="7" spans="1:7">
      <c r="A7" s="213" t="s">
        <v>199</v>
      </c>
      <c r="B7" s="213"/>
      <c r="C7" s="213"/>
      <c r="E7" s="178">
        <f>E5/E6</f>
        <v>0.85185185185185186</v>
      </c>
      <c r="F7" s="135"/>
      <c r="G7" s="146" t="s">
        <v>5</v>
      </c>
    </row>
    <row r="8" spans="1:7">
      <c r="A8" s="213" t="s">
        <v>151</v>
      </c>
      <c r="B8" s="213"/>
      <c r="C8" s="213"/>
      <c r="E8" s="147">
        <v>0.21</v>
      </c>
      <c r="F8" s="135"/>
      <c r="G8" s="146" t="s">
        <v>6</v>
      </c>
    </row>
    <row r="9" spans="1:7">
      <c r="A9" t="s">
        <v>152</v>
      </c>
      <c r="E9" s="148">
        <f>'12 CAPM Result'!E20</f>
        <v>5.0423263344477484E-2</v>
      </c>
      <c r="F9" s="135"/>
      <c r="G9" s="146" t="s">
        <v>7</v>
      </c>
    </row>
    <row r="10" spans="1:7">
      <c r="A10" t="s">
        <v>30</v>
      </c>
      <c r="E10" s="148">
        <f>'12 CAPM Result'!E18</f>
        <v>4.3623333333333333E-2</v>
      </c>
      <c r="F10" s="135"/>
      <c r="G10" s="146" t="s">
        <v>13</v>
      </c>
    </row>
    <row r="11" spans="1:7">
      <c r="A11" t="s">
        <v>153</v>
      </c>
      <c r="E11" s="149">
        <f>'9 Beta'!E13</f>
        <v>0.83571428571428563</v>
      </c>
      <c r="F11" s="135"/>
      <c r="G11" s="146" t="s">
        <v>14</v>
      </c>
    </row>
    <row r="12" spans="1:7">
      <c r="A12" s="213" t="s">
        <v>154</v>
      </c>
      <c r="B12" s="213"/>
      <c r="C12" s="213"/>
      <c r="E12" s="10">
        <f>E11/(1+(1-E8)*(E7))</f>
        <v>0.49954141497201043</v>
      </c>
      <c r="F12" s="63"/>
      <c r="G12" s="146" t="s">
        <v>15</v>
      </c>
    </row>
    <row r="13" spans="1:7">
      <c r="A13" s="15"/>
      <c r="B13" s="15"/>
      <c r="C13" s="15"/>
      <c r="D13" s="15"/>
      <c r="E13" s="15"/>
      <c r="F13" s="15"/>
      <c r="G13" s="15"/>
    </row>
    <row r="15" spans="1:7">
      <c r="A15" s="1" t="s">
        <v>18</v>
      </c>
      <c r="B15" s="1"/>
      <c r="C15" s="1" t="s">
        <v>29</v>
      </c>
      <c r="D15" s="1"/>
      <c r="E15" s="22" t="s">
        <v>31</v>
      </c>
      <c r="F15" s="22"/>
      <c r="G15" s="26" t="s">
        <v>37</v>
      </c>
    </row>
    <row r="16" spans="1:7">
      <c r="A16" s="1"/>
      <c r="B16" s="1"/>
      <c r="C16" s="23"/>
      <c r="D16" s="23"/>
      <c r="E16" s="25"/>
      <c r="F16" s="25"/>
      <c r="G16" s="12"/>
    </row>
    <row r="17" spans="1:7">
      <c r="A17" s="218" t="s">
        <v>155</v>
      </c>
      <c r="B17" s="218"/>
      <c r="C17" s="218"/>
      <c r="D17" s="218"/>
      <c r="E17" s="218"/>
      <c r="F17" s="218"/>
      <c r="G17" s="218"/>
    </row>
    <row r="19" spans="1:7">
      <c r="A19" s="1" t="s">
        <v>148</v>
      </c>
      <c r="B19" s="1"/>
      <c r="C19" s="1" t="s">
        <v>156</v>
      </c>
      <c r="D19" s="1"/>
      <c r="E19" s="1" t="s">
        <v>157</v>
      </c>
      <c r="F19" s="1"/>
      <c r="G19" s="1" t="s">
        <v>145</v>
      </c>
    </row>
    <row r="20" spans="1:7">
      <c r="A20" s="2" t="s">
        <v>144</v>
      </c>
      <c r="B20" s="2"/>
      <c r="C20" s="2" t="s">
        <v>144</v>
      </c>
      <c r="D20" s="2"/>
      <c r="E20" s="2" t="s">
        <v>51</v>
      </c>
      <c r="F20" s="2"/>
      <c r="G20" s="2" t="s">
        <v>158</v>
      </c>
    </row>
    <row r="21" spans="1:7">
      <c r="A21" s="150">
        <v>0</v>
      </c>
      <c r="B21" s="150"/>
      <c r="C21" s="184">
        <f>A21/(1-A21)</f>
        <v>0</v>
      </c>
      <c r="D21" s="135"/>
      <c r="E21" s="3">
        <f>$E$12</f>
        <v>0.49954141497201043</v>
      </c>
      <c r="F21" s="63"/>
      <c r="G21" s="62">
        <f>$E$10+E21*$E$9</f>
        <v>6.8811841651939931E-2</v>
      </c>
    </row>
    <row r="22" spans="1:7">
      <c r="A22" s="150">
        <v>0.2</v>
      </c>
      <c r="B22" s="150"/>
      <c r="C22" s="184">
        <f t="shared" ref="C22:C27" si="0">A22/(1-A22)</f>
        <v>0.25</v>
      </c>
      <c r="D22" s="135"/>
      <c r="E22" s="3">
        <f>$E$12*(1+(1-$E$8)*C22)</f>
        <v>0.59820084442898247</v>
      </c>
      <c r="F22" s="63"/>
      <c r="G22" s="62">
        <f t="shared" ref="G22:G27" si="1">$E$10+E22*$E$9</f>
        <v>7.3786572044864718E-2</v>
      </c>
    </row>
    <row r="23" spans="1:7">
      <c r="A23" s="150">
        <v>0.25</v>
      </c>
      <c r="B23" s="150"/>
      <c r="C23" s="184">
        <f t="shared" si="0"/>
        <v>0.33333333333333331</v>
      </c>
      <c r="D23" s="135"/>
      <c r="E23" s="3">
        <f>$E$12*(1+(1-$E$8)*C23)</f>
        <v>0.63108732091463982</v>
      </c>
      <c r="F23" s="63"/>
      <c r="G23" s="62">
        <f t="shared" si="1"/>
        <v>7.544481550917298E-2</v>
      </c>
    </row>
    <row r="24" spans="1:7">
      <c r="A24" s="151">
        <v>0.3</v>
      </c>
      <c r="B24" s="150"/>
      <c r="C24" s="184">
        <f t="shared" si="0"/>
        <v>0.4285714285714286</v>
      </c>
      <c r="D24" s="135"/>
      <c r="E24" s="3">
        <f t="shared" ref="E24:E27" si="2">$E$12*(1+(1-$E$8)*C24)</f>
        <v>0.66867186546967683</v>
      </c>
      <c r="F24" s="63"/>
      <c r="G24" s="62">
        <f t="shared" si="1"/>
        <v>7.7339950896953863E-2</v>
      </c>
    </row>
    <row r="25" spans="1:7">
      <c r="A25" s="185">
        <f>'15 Competitive Debt Ratios'!O15</f>
        <v>0.34</v>
      </c>
      <c r="B25" s="185"/>
      <c r="C25" s="186">
        <f t="shared" si="0"/>
        <v>0.51515151515151525</v>
      </c>
      <c r="D25" s="187"/>
      <c r="E25" s="188">
        <f t="shared" si="2"/>
        <v>0.70283963324698329</v>
      </c>
      <c r="F25" s="189"/>
      <c r="G25" s="190">
        <f t="shared" si="1"/>
        <v>7.9062801249481951E-2</v>
      </c>
    </row>
    <row r="26" spans="1:7">
      <c r="A26" s="191">
        <f>E5</f>
        <v>0.46</v>
      </c>
      <c r="B26" s="191"/>
      <c r="C26" s="192">
        <f t="shared" si="0"/>
        <v>0.85185185185185186</v>
      </c>
      <c r="D26" s="193"/>
      <c r="E26" s="194">
        <f t="shared" si="2"/>
        <v>0.83571428571428563</v>
      </c>
      <c r="F26" s="195"/>
      <c r="G26" s="196">
        <f t="shared" si="1"/>
        <v>8.5762774842646661E-2</v>
      </c>
    </row>
    <row r="27" spans="1:7">
      <c r="A27" s="150">
        <v>0.6</v>
      </c>
      <c r="B27" s="150"/>
      <c r="C27" s="184">
        <f t="shared" si="0"/>
        <v>1.4999999999999998</v>
      </c>
      <c r="D27" s="135"/>
      <c r="E27" s="3">
        <f t="shared" si="2"/>
        <v>1.0914979917138425</v>
      </c>
      <c r="F27" s="63"/>
      <c r="G27" s="62">
        <f t="shared" si="1"/>
        <v>9.866022400948872E-2</v>
      </c>
    </row>
    <row r="28" spans="1:7">
      <c r="A28" s="15"/>
      <c r="B28" s="15"/>
      <c r="C28" s="15"/>
      <c r="D28" s="15"/>
      <c r="E28" s="15"/>
      <c r="F28" s="15"/>
      <c r="G28" s="15"/>
    </row>
    <row r="31" spans="1:7">
      <c r="A31" s="211" t="s">
        <v>212</v>
      </c>
      <c r="B31" s="211"/>
      <c r="C31" s="211"/>
      <c r="D31" s="211"/>
      <c r="E31" s="211"/>
      <c r="F31" s="211"/>
      <c r="G31" s="211"/>
    </row>
    <row r="32" spans="1:7">
      <c r="A32" s="211" t="s">
        <v>213</v>
      </c>
      <c r="B32" s="211"/>
      <c r="C32" s="211"/>
      <c r="D32" s="211"/>
      <c r="E32" s="211"/>
      <c r="F32" s="211"/>
      <c r="G32" s="211"/>
    </row>
    <row r="33" spans="1:7">
      <c r="A33" s="211" t="s">
        <v>159</v>
      </c>
      <c r="B33" s="211"/>
      <c r="C33" s="211"/>
      <c r="D33" s="211"/>
      <c r="E33" s="211"/>
      <c r="F33" s="211"/>
      <c r="G33" s="211"/>
    </row>
    <row r="34" spans="1:7">
      <c r="A34" s="211" t="s">
        <v>173</v>
      </c>
      <c r="B34" s="211"/>
      <c r="C34" s="211"/>
      <c r="D34" s="211"/>
      <c r="E34" s="211"/>
      <c r="F34" s="211"/>
      <c r="G34" s="211"/>
    </row>
    <row r="35" spans="1:7">
      <c r="A35" s="211" t="s">
        <v>160</v>
      </c>
      <c r="B35" s="211"/>
      <c r="C35" s="211"/>
      <c r="D35" s="211"/>
      <c r="E35" s="211"/>
      <c r="F35" s="211"/>
      <c r="G35" s="211"/>
    </row>
    <row r="36" spans="1:7">
      <c r="A36" s="211" t="s">
        <v>161</v>
      </c>
      <c r="B36" s="211"/>
      <c r="C36" s="211"/>
      <c r="D36" s="211"/>
      <c r="E36" s="211"/>
      <c r="F36" s="211"/>
      <c r="G36" s="211"/>
    </row>
    <row r="37" spans="1:7">
      <c r="A37" s="211" t="s">
        <v>162</v>
      </c>
      <c r="B37" s="211"/>
      <c r="C37" s="211"/>
      <c r="D37" s="211"/>
      <c r="E37" s="211"/>
      <c r="F37" s="211"/>
      <c r="G37" s="211"/>
    </row>
    <row r="38" spans="1:7">
      <c r="A38" s="211" t="s">
        <v>163</v>
      </c>
      <c r="B38" s="211"/>
      <c r="C38" s="211"/>
      <c r="D38" s="211"/>
      <c r="E38" s="211"/>
      <c r="F38" s="211"/>
      <c r="G38" s="211"/>
    </row>
    <row r="39" spans="1:7">
      <c r="A39" s="215" t="s">
        <v>167</v>
      </c>
      <c r="B39" s="215"/>
      <c r="C39" s="215"/>
      <c r="D39" s="215"/>
      <c r="E39" s="215"/>
      <c r="F39" s="215"/>
      <c r="G39" s="215"/>
    </row>
    <row r="40" spans="1:7">
      <c r="A40" s="215" t="s">
        <v>164</v>
      </c>
      <c r="B40" s="215"/>
      <c r="C40" s="215"/>
      <c r="D40" s="215"/>
      <c r="E40" s="215"/>
      <c r="F40" s="215"/>
      <c r="G40" s="215"/>
    </row>
    <row r="41" spans="1:7">
      <c r="A41" s="215" t="s">
        <v>165</v>
      </c>
      <c r="B41" s="215"/>
      <c r="C41" s="215"/>
      <c r="D41" s="215"/>
      <c r="E41" s="215"/>
      <c r="F41" s="215"/>
      <c r="G41" s="215"/>
    </row>
    <row r="42" spans="1:7">
      <c r="A42" s="215" t="s">
        <v>166</v>
      </c>
      <c r="B42" s="215"/>
      <c r="C42" s="215"/>
      <c r="D42" s="215"/>
      <c r="E42" s="215"/>
      <c r="F42" s="215"/>
      <c r="G42" s="215"/>
    </row>
  </sheetData>
  <mergeCells count="19">
    <mergeCell ref="A35:G35"/>
    <mergeCell ref="A3:G3"/>
    <mergeCell ref="A5:C5"/>
    <mergeCell ref="A6:C6"/>
    <mergeCell ref="A7:C7"/>
    <mergeCell ref="A8:C8"/>
    <mergeCell ref="A12:C12"/>
    <mergeCell ref="A17:G17"/>
    <mergeCell ref="A31:G31"/>
    <mergeCell ref="A32:G32"/>
    <mergeCell ref="A33:G33"/>
    <mergeCell ref="A34:G34"/>
    <mergeCell ref="A42:G42"/>
    <mergeCell ref="A36:G36"/>
    <mergeCell ref="A37:G37"/>
    <mergeCell ref="A38:G38"/>
    <mergeCell ref="A39:G39"/>
    <mergeCell ref="A40:G40"/>
    <mergeCell ref="A41:G41"/>
  </mergeCells>
  <printOptions horizontalCentered="1"/>
  <pageMargins left="0.7" right="0.7" top="0.75" bottom="0.75" header="0.3" footer="0.3"/>
  <pageSetup orientation="portrait" r:id="rId1"/>
  <headerFooter scaleWithDoc="0">
    <oddHeader>&amp;C&amp;"-,Bold"&amp;14Hamada Model Results&amp;RExhibit DJG-16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816E-18C8-405D-A88E-31AA9F2A7B70}">
  <sheetPr>
    <tabColor theme="2" tint="-0.249977111117893"/>
  </sheetPr>
  <dimension ref="A4:B13"/>
  <sheetViews>
    <sheetView zoomScale="80" zoomScaleNormal="80" workbookViewId="0"/>
  </sheetViews>
  <sheetFormatPr defaultColWidth="8.85546875" defaultRowHeight="15"/>
  <cols>
    <col min="1" max="1" width="38" bestFit="1" customWidth="1"/>
    <col min="2" max="2" width="5.85546875" bestFit="1" customWidth="1"/>
  </cols>
  <sheetData>
    <row r="4" spans="1:2">
      <c r="A4" s="99" t="s">
        <v>59</v>
      </c>
      <c r="B4" s="100" t="s">
        <v>77</v>
      </c>
    </row>
    <row r="5" spans="1:2" ht="15.75">
      <c r="A5" s="101" t="s">
        <v>93</v>
      </c>
      <c r="B5" s="102">
        <v>0.63513941960164833</v>
      </c>
    </row>
    <row r="6" spans="1:2" ht="15.75">
      <c r="A6" s="101" t="s">
        <v>209</v>
      </c>
      <c r="B6" s="102">
        <v>1.03</v>
      </c>
    </row>
    <row r="7" spans="1:2" ht="15.75">
      <c r="A7" s="101" t="s">
        <v>117</v>
      </c>
      <c r="B7" s="102">
        <v>1.26</v>
      </c>
    </row>
    <row r="8" spans="1:2" ht="15.75">
      <c r="A8" s="101" t="s">
        <v>210</v>
      </c>
      <c r="B8" s="102">
        <v>1.45</v>
      </c>
    </row>
    <row r="9" spans="1:2" ht="15.75">
      <c r="A9" s="101" t="s">
        <v>172</v>
      </c>
      <c r="B9" s="102">
        <v>1.6</v>
      </c>
    </row>
    <row r="10" spans="1:2" ht="15.75">
      <c r="A10" s="101"/>
    </row>
    <row r="11" spans="1:2" ht="15.75">
      <c r="A11" s="101"/>
    </row>
    <row r="13" spans="1:2" ht="15.75">
      <c r="A13" s="103" t="s">
        <v>78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5B6C-D16C-4C67-916C-02757FA9D5D8}">
  <sheetPr>
    <tabColor theme="2" tint="-0.249977111117893"/>
  </sheetPr>
  <dimension ref="A4:E512"/>
  <sheetViews>
    <sheetView workbookViewId="0"/>
  </sheetViews>
  <sheetFormatPr defaultRowHeight="15"/>
  <cols>
    <col min="1" max="2" width="9.7109375" customWidth="1"/>
  </cols>
  <sheetData>
    <row r="4" spans="1:5">
      <c r="A4" t="s">
        <v>30</v>
      </c>
      <c r="C4" s="12">
        <f>'12 CAPM Result'!E18</f>
        <v>4.3623333333333333E-2</v>
      </c>
    </row>
    <row r="5" spans="1:5">
      <c r="A5" t="s">
        <v>79</v>
      </c>
      <c r="C5" s="12">
        <f>'12 CAPM Result'!E20</f>
        <v>5.0423263344477484E-2</v>
      </c>
    </row>
    <row r="6" spans="1:5">
      <c r="A6" t="s">
        <v>51</v>
      </c>
      <c r="C6" s="63">
        <f>'9 Beta'!E13</f>
        <v>0.83571428571428563</v>
      </c>
    </row>
    <row r="7" spans="1:5">
      <c r="A7" t="s">
        <v>90</v>
      </c>
      <c r="C7" s="63">
        <f>'12 CAPM Result'!G15</f>
        <v>8.5762774842646647E-2</v>
      </c>
    </row>
    <row r="9" spans="1:5">
      <c r="A9" s="1" t="s">
        <v>80</v>
      </c>
      <c r="B9" s="1" t="s">
        <v>81</v>
      </c>
      <c r="C9" s="1" t="s">
        <v>82</v>
      </c>
    </row>
    <row r="10" spans="1:5">
      <c r="A10" s="10">
        <v>0</v>
      </c>
      <c r="B10" s="104">
        <f>A10*$C$5+$C$4</f>
        <v>4.3623333333333333E-2</v>
      </c>
      <c r="C10" s="104">
        <f>$B$12</f>
        <v>8.5762774842646661E-2</v>
      </c>
      <c r="D10" s="104">
        <f>$A$12</f>
        <v>0.83571428571428563</v>
      </c>
      <c r="E10" s="104">
        <v>0</v>
      </c>
    </row>
    <row r="11" spans="1:5">
      <c r="A11" s="10">
        <v>0.5</v>
      </c>
      <c r="B11" s="104">
        <f t="shared" ref="B11:B13" si="0">A11*$C$5+$C$4</f>
        <v>6.8834965005572069E-2</v>
      </c>
      <c r="C11" s="104">
        <f t="shared" ref="C11:C12" si="1">$B$12</f>
        <v>8.5762774842646661E-2</v>
      </c>
      <c r="D11" s="104">
        <f>$A$12</f>
        <v>0.83571428571428563</v>
      </c>
      <c r="E11" s="104">
        <f>$C$10</f>
        <v>8.5762774842646661E-2</v>
      </c>
    </row>
    <row r="12" spans="1:5">
      <c r="A12" s="105">
        <f>C6</f>
        <v>0.83571428571428563</v>
      </c>
      <c r="B12" s="106">
        <f t="shared" si="0"/>
        <v>8.5762774842646661E-2</v>
      </c>
      <c r="C12" s="104">
        <f t="shared" si="1"/>
        <v>8.5762774842646661E-2</v>
      </c>
    </row>
    <row r="13" spans="1:5">
      <c r="A13" s="10">
        <v>1</v>
      </c>
      <c r="B13" s="104">
        <f t="shared" si="0"/>
        <v>9.4046596677810818E-2</v>
      </c>
      <c r="C13" s="104"/>
    </row>
    <row r="14" spans="1:5">
      <c r="A14" s="10"/>
      <c r="B14" s="104"/>
      <c r="C14" s="104"/>
    </row>
    <row r="15" spans="1:5">
      <c r="A15" s="104"/>
      <c r="B15" s="104"/>
    </row>
    <row r="16" spans="1:5">
      <c r="A16" s="104"/>
      <c r="B16" s="104"/>
    </row>
    <row r="20" spans="1:2">
      <c r="A20" s="104"/>
      <c r="B20" s="104"/>
    </row>
    <row r="21" spans="1:2">
      <c r="A21" s="104"/>
      <c r="B21" s="104"/>
    </row>
    <row r="22" spans="1:2">
      <c r="A22" s="104"/>
      <c r="B22" s="104"/>
    </row>
    <row r="23" spans="1:2">
      <c r="A23" s="104"/>
      <c r="B23" s="104"/>
    </row>
    <row r="24" spans="1:2">
      <c r="A24" s="104"/>
      <c r="B24" s="104"/>
    </row>
    <row r="25" spans="1:2">
      <c r="A25" s="104"/>
      <c r="B25" s="104"/>
    </row>
    <row r="26" spans="1:2">
      <c r="A26" s="104"/>
      <c r="B26" s="104"/>
    </row>
    <row r="27" spans="1:2">
      <c r="A27" s="104"/>
      <c r="B27" s="104"/>
    </row>
    <row r="28" spans="1:2">
      <c r="A28" s="104"/>
      <c r="B28" s="104"/>
    </row>
    <row r="29" spans="1:2">
      <c r="A29" s="104"/>
      <c r="B29" s="104"/>
    </row>
    <row r="30" spans="1:2">
      <c r="A30" s="104"/>
      <c r="B30" s="104"/>
    </row>
    <row r="31" spans="1:2">
      <c r="A31" s="104"/>
      <c r="B31" s="104"/>
    </row>
    <row r="32" spans="1:2">
      <c r="A32" s="104"/>
      <c r="B32" s="104"/>
    </row>
    <row r="33" spans="1:2">
      <c r="A33" s="104"/>
      <c r="B33" s="104"/>
    </row>
    <row r="34" spans="1:2">
      <c r="A34" s="104"/>
      <c r="B34" s="104"/>
    </row>
    <row r="35" spans="1:2">
      <c r="A35" s="104"/>
      <c r="B35" s="104"/>
    </row>
    <row r="36" spans="1:2">
      <c r="A36" s="104"/>
      <c r="B36" s="104"/>
    </row>
    <row r="37" spans="1:2">
      <c r="A37" s="104"/>
      <c r="B37" s="104"/>
    </row>
    <row r="38" spans="1:2">
      <c r="A38" s="104"/>
      <c r="B38" s="104"/>
    </row>
    <row r="39" spans="1:2">
      <c r="A39" s="104"/>
      <c r="B39" s="104"/>
    </row>
    <row r="40" spans="1:2">
      <c r="A40" s="104"/>
      <c r="B40" s="104"/>
    </row>
    <row r="41" spans="1:2">
      <c r="A41" s="104"/>
      <c r="B41" s="104"/>
    </row>
    <row r="42" spans="1:2">
      <c r="A42" s="104"/>
      <c r="B42" s="104"/>
    </row>
    <row r="43" spans="1:2">
      <c r="A43" s="104"/>
      <c r="B43" s="104"/>
    </row>
    <row r="44" spans="1:2">
      <c r="A44" s="104"/>
      <c r="B44" s="104"/>
    </row>
    <row r="45" spans="1:2">
      <c r="A45" s="104"/>
      <c r="B45" s="104"/>
    </row>
    <row r="46" spans="1:2">
      <c r="A46" s="104"/>
      <c r="B46" s="104"/>
    </row>
    <row r="47" spans="1:2">
      <c r="A47" s="104"/>
      <c r="B47" s="104"/>
    </row>
    <row r="48" spans="1:2">
      <c r="A48" s="104"/>
      <c r="B48" s="104"/>
    </row>
    <row r="49" spans="1:2">
      <c r="A49" s="104"/>
      <c r="B49" s="104"/>
    </row>
    <row r="50" spans="1:2">
      <c r="A50" s="104"/>
      <c r="B50" s="104"/>
    </row>
    <row r="51" spans="1:2">
      <c r="A51" s="104"/>
      <c r="B51" s="104"/>
    </row>
    <row r="52" spans="1:2">
      <c r="A52" s="104"/>
      <c r="B52" s="104"/>
    </row>
    <row r="53" spans="1:2">
      <c r="A53" s="104"/>
      <c r="B53" s="104"/>
    </row>
    <row r="54" spans="1:2">
      <c r="A54" s="104"/>
      <c r="B54" s="104"/>
    </row>
    <row r="55" spans="1:2">
      <c r="A55" s="104"/>
      <c r="B55" s="104"/>
    </row>
    <row r="56" spans="1:2">
      <c r="A56" s="104"/>
      <c r="B56" s="104"/>
    </row>
    <row r="57" spans="1:2">
      <c r="A57" s="104"/>
      <c r="B57" s="104"/>
    </row>
    <row r="58" spans="1:2">
      <c r="A58" s="104"/>
      <c r="B58" s="104"/>
    </row>
    <row r="59" spans="1:2">
      <c r="A59" s="104"/>
      <c r="B59" s="104"/>
    </row>
    <row r="60" spans="1:2">
      <c r="A60" s="104"/>
      <c r="B60" s="104"/>
    </row>
    <row r="61" spans="1:2">
      <c r="A61" s="104"/>
      <c r="B61" s="104"/>
    </row>
    <row r="62" spans="1:2">
      <c r="A62" s="104"/>
      <c r="B62" s="104"/>
    </row>
    <row r="63" spans="1:2">
      <c r="A63" s="104"/>
      <c r="B63" s="104"/>
    </row>
    <row r="64" spans="1:2">
      <c r="A64" s="104"/>
      <c r="B64" s="104"/>
    </row>
    <row r="65" spans="1:2">
      <c r="A65" s="104"/>
      <c r="B65" s="104"/>
    </row>
    <row r="66" spans="1:2">
      <c r="A66" s="104"/>
      <c r="B66" s="104"/>
    </row>
    <row r="67" spans="1:2">
      <c r="A67" s="104"/>
      <c r="B67" s="104"/>
    </row>
    <row r="68" spans="1:2">
      <c r="A68" s="104"/>
      <c r="B68" s="104"/>
    </row>
    <row r="69" spans="1:2">
      <c r="A69" s="104"/>
      <c r="B69" s="104"/>
    </row>
    <row r="70" spans="1:2">
      <c r="A70" s="104"/>
      <c r="B70" s="104"/>
    </row>
    <row r="71" spans="1:2">
      <c r="A71" s="104"/>
      <c r="B71" s="104"/>
    </row>
    <row r="72" spans="1:2">
      <c r="A72" s="104"/>
      <c r="B72" s="104"/>
    </row>
    <row r="73" spans="1:2">
      <c r="A73" s="104"/>
      <c r="B73" s="104"/>
    </row>
    <row r="74" spans="1:2">
      <c r="A74" s="104"/>
      <c r="B74" s="104"/>
    </row>
    <row r="75" spans="1:2">
      <c r="A75" s="104"/>
      <c r="B75" s="104"/>
    </row>
    <row r="76" spans="1:2">
      <c r="A76" s="104"/>
      <c r="B76" s="104"/>
    </row>
    <row r="77" spans="1:2">
      <c r="A77" s="104"/>
      <c r="B77" s="104"/>
    </row>
    <row r="78" spans="1:2">
      <c r="A78" s="104"/>
      <c r="B78" s="104"/>
    </row>
    <row r="79" spans="1:2">
      <c r="A79" s="104"/>
      <c r="B79" s="104"/>
    </row>
    <row r="80" spans="1:2">
      <c r="A80" s="104"/>
      <c r="B80" s="104"/>
    </row>
    <row r="81" spans="1:2">
      <c r="A81" s="104"/>
      <c r="B81" s="104"/>
    </row>
    <row r="82" spans="1:2">
      <c r="A82" s="104"/>
      <c r="B82" s="104"/>
    </row>
    <row r="83" spans="1:2">
      <c r="A83" s="104"/>
      <c r="B83" s="104"/>
    </row>
    <row r="84" spans="1:2">
      <c r="A84" s="104"/>
      <c r="B84" s="104"/>
    </row>
    <row r="85" spans="1:2">
      <c r="A85" s="104"/>
      <c r="B85" s="104"/>
    </row>
    <row r="86" spans="1:2">
      <c r="A86" s="104"/>
      <c r="B86" s="104"/>
    </row>
    <row r="87" spans="1:2">
      <c r="A87" s="104"/>
      <c r="B87" s="104"/>
    </row>
    <row r="88" spans="1:2">
      <c r="A88" s="104"/>
      <c r="B88" s="104"/>
    </row>
    <row r="89" spans="1:2">
      <c r="A89" s="104"/>
      <c r="B89" s="104"/>
    </row>
    <row r="90" spans="1:2">
      <c r="A90" s="104"/>
      <c r="B90" s="104"/>
    </row>
    <row r="91" spans="1:2">
      <c r="A91" s="104"/>
      <c r="B91" s="104"/>
    </row>
    <row r="92" spans="1:2">
      <c r="A92" s="104"/>
      <c r="B92" s="104"/>
    </row>
    <row r="93" spans="1:2">
      <c r="A93" s="104"/>
      <c r="B93" s="104"/>
    </row>
    <row r="94" spans="1:2">
      <c r="A94" s="104"/>
      <c r="B94" s="104"/>
    </row>
    <row r="95" spans="1:2">
      <c r="A95" s="104"/>
      <c r="B95" s="104"/>
    </row>
    <row r="96" spans="1:2">
      <c r="A96" s="104"/>
      <c r="B96" s="104"/>
    </row>
    <row r="97" spans="1:2">
      <c r="A97" s="104"/>
      <c r="B97" s="104"/>
    </row>
    <row r="98" spans="1:2">
      <c r="A98" s="104"/>
      <c r="B98" s="104"/>
    </row>
    <row r="99" spans="1:2">
      <c r="A99" s="104"/>
      <c r="B99" s="104"/>
    </row>
    <row r="100" spans="1:2">
      <c r="A100" s="104"/>
      <c r="B100" s="104"/>
    </row>
    <row r="101" spans="1:2">
      <c r="A101" s="104"/>
      <c r="B101" s="104"/>
    </row>
    <row r="102" spans="1:2">
      <c r="A102" s="104"/>
      <c r="B102" s="104"/>
    </row>
    <row r="103" spans="1:2">
      <c r="A103" s="104"/>
      <c r="B103" s="104"/>
    </row>
    <row r="104" spans="1:2">
      <c r="A104" s="104"/>
      <c r="B104" s="104"/>
    </row>
    <row r="105" spans="1:2">
      <c r="A105" s="104"/>
      <c r="B105" s="104"/>
    </row>
    <row r="106" spans="1:2">
      <c r="A106" s="104"/>
      <c r="B106" s="104"/>
    </row>
    <row r="107" spans="1:2">
      <c r="A107" s="104"/>
      <c r="B107" s="104"/>
    </row>
    <row r="108" spans="1:2">
      <c r="A108" s="104"/>
      <c r="B108" s="104"/>
    </row>
    <row r="109" spans="1:2">
      <c r="A109" s="104"/>
      <c r="B109" s="104"/>
    </row>
    <row r="110" spans="1:2">
      <c r="A110" s="104"/>
      <c r="B110" s="104"/>
    </row>
    <row r="111" spans="1:2">
      <c r="A111" s="104"/>
      <c r="B111" s="104"/>
    </row>
    <row r="112" spans="1:2">
      <c r="A112" s="104"/>
      <c r="B112" s="104"/>
    </row>
    <row r="113" spans="1:2">
      <c r="A113" s="104"/>
      <c r="B113" s="104"/>
    </row>
    <row r="114" spans="1:2">
      <c r="A114" s="104"/>
      <c r="B114" s="104"/>
    </row>
    <row r="115" spans="1:2">
      <c r="A115" s="104"/>
      <c r="B115" s="104"/>
    </row>
    <row r="116" spans="1:2">
      <c r="A116" s="104"/>
      <c r="B116" s="104"/>
    </row>
    <row r="117" spans="1:2">
      <c r="A117" s="104"/>
      <c r="B117" s="104"/>
    </row>
    <row r="118" spans="1:2">
      <c r="A118" s="104"/>
      <c r="B118" s="104"/>
    </row>
    <row r="119" spans="1:2">
      <c r="A119" s="104"/>
      <c r="B119" s="104"/>
    </row>
    <row r="120" spans="1:2">
      <c r="A120" s="104"/>
      <c r="B120" s="104"/>
    </row>
    <row r="121" spans="1:2">
      <c r="A121" s="104"/>
      <c r="B121" s="104"/>
    </row>
    <row r="122" spans="1:2">
      <c r="A122" s="104"/>
      <c r="B122" s="104"/>
    </row>
    <row r="123" spans="1:2">
      <c r="A123" s="104"/>
      <c r="B123" s="104"/>
    </row>
    <row r="124" spans="1:2">
      <c r="A124" s="104"/>
      <c r="B124" s="104"/>
    </row>
    <row r="125" spans="1:2">
      <c r="A125" s="104"/>
      <c r="B125" s="104"/>
    </row>
    <row r="126" spans="1:2">
      <c r="A126" s="104"/>
      <c r="B126" s="104"/>
    </row>
    <row r="127" spans="1:2">
      <c r="A127" s="104"/>
      <c r="B127" s="104"/>
    </row>
    <row r="128" spans="1:2">
      <c r="A128" s="104"/>
      <c r="B128" s="104"/>
    </row>
    <row r="129" spans="1:2">
      <c r="A129" s="104"/>
      <c r="B129" s="104"/>
    </row>
    <row r="130" spans="1:2">
      <c r="A130" s="104"/>
      <c r="B130" s="104"/>
    </row>
    <row r="131" spans="1:2">
      <c r="A131" s="104"/>
      <c r="B131" s="104"/>
    </row>
    <row r="132" spans="1:2">
      <c r="A132" s="104"/>
      <c r="B132" s="104"/>
    </row>
    <row r="133" spans="1:2">
      <c r="A133" s="104"/>
      <c r="B133" s="104"/>
    </row>
    <row r="134" spans="1:2">
      <c r="A134" s="104"/>
      <c r="B134" s="104"/>
    </row>
    <row r="135" spans="1:2">
      <c r="A135" s="104"/>
      <c r="B135" s="104"/>
    </row>
    <row r="136" spans="1:2">
      <c r="A136" s="104"/>
      <c r="B136" s="104"/>
    </row>
    <row r="137" spans="1:2">
      <c r="A137" s="104"/>
      <c r="B137" s="104"/>
    </row>
    <row r="138" spans="1:2">
      <c r="A138" s="104"/>
      <c r="B138" s="104"/>
    </row>
    <row r="139" spans="1:2">
      <c r="A139" s="104"/>
      <c r="B139" s="104"/>
    </row>
    <row r="140" spans="1:2">
      <c r="A140" s="104"/>
      <c r="B140" s="104"/>
    </row>
    <row r="141" spans="1:2">
      <c r="A141" s="104"/>
      <c r="B141" s="104"/>
    </row>
    <row r="142" spans="1:2">
      <c r="A142" s="104"/>
      <c r="B142" s="104"/>
    </row>
    <row r="143" spans="1:2">
      <c r="A143" s="104"/>
      <c r="B143" s="104"/>
    </row>
    <row r="144" spans="1:2">
      <c r="A144" s="104"/>
      <c r="B144" s="104"/>
    </row>
    <row r="145" spans="1:2">
      <c r="A145" s="104"/>
      <c r="B145" s="104"/>
    </row>
    <row r="146" spans="1:2">
      <c r="A146" s="104"/>
      <c r="B146" s="104"/>
    </row>
    <row r="147" spans="1:2">
      <c r="A147" s="104"/>
      <c r="B147" s="104"/>
    </row>
    <row r="148" spans="1:2">
      <c r="A148" s="104"/>
      <c r="B148" s="104"/>
    </row>
    <row r="149" spans="1:2">
      <c r="A149" s="104"/>
      <c r="B149" s="104"/>
    </row>
    <row r="150" spans="1:2">
      <c r="A150" s="104"/>
      <c r="B150" s="104"/>
    </row>
    <row r="151" spans="1:2">
      <c r="A151" s="104"/>
      <c r="B151" s="104"/>
    </row>
    <row r="152" spans="1:2">
      <c r="A152" s="104"/>
      <c r="B152" s="104"/>
    </row>
    <row r="153" spans="1:2">
      <c r="A153" s="104"/>
      <c r="B153" s="104"/>
    </row>
    <row r="154" spans="1:2">
      <c r="A154" s="104"/>
      <c r="B154" s="104"/>
    </row>
    <row r="155" spans="1:2">
      <c r="A155" s="104"/>
      <c r="B155" s="104"/>
    </row>
    <row r="156" spans="1:2">
      <c r="A156" s="104"/>
      <c r="B156" s="104"/>
    </row>
    <row r="157" spans="1:2">
      <c r="A157" s="104"/>
      <c r="B157" s="104"/>
    </row>
    <row r="158" spans="1:2">
      <c r="A158" s="104"/>
      <c r="B158" s="104"/>
    </row>
    <row r="159" spans="1:2">
      <c r="A159" s="104"/>
      <c r="B159" s="104"/>
    </row>
    <row r="160" spans="1:2">
      <c r="A160" s="104"/>
      <c r="B160" s="104"/>
    </row>
    <row r="161" spans="1:2">
      <c r="A161" s="104"/>
      <c r="B161" s="104"/>
    </row>
    <row r="162" spans="1:2">
      <c r="A162" s="104"/>
      <c r="B162" s="104"/>
    </row>
    <row r="163" spans="1:2">
      <c r="A163" s="104"/>
      <c r="B163" s="104"/>
    </row>
    <row r="164" spans="1:2">
      <c r="A164" s="104"/>
      <c r="B164" s="104"/>
    </row>
    <row r="165" spans="1:2">
      <c r="A165" s="104"/>
      <c r="B165" s="104"/>
    </row>
    <row r="166" spans="1:2">
      <c r="A166" s="104"/>
      <c r="B166" s="104"/>
    </row>
    <row r="167" spans="1:2">
      <c r="A167" s="104"/>
      <c r="B167" s="104"/>
    </row>
    <row r="168" spans="1:2">
      <c r="A168" s="104"/>
      <c r="B168" s="104"/>
    </row>
    <row r="169" spans="1:2">
      <c r="A169" s="104"/>
      <c r="B169" s="104"/>
    </row>
    <row r="170" spans="1:2">
      <c r="A170" s="104"/>
      <c r="B170" s="104"/>
    </row>
    <row r="171" spans="1:2">
      <c r="A171" s="104"/>
      <c r="B171" s="104"/>
    </row>
    <row r="172" spans="1:2">
      <c r="A172" s="104"/>
      <c r="B172" s="104"/>
    </row>
    <row r="173" spans="1:2">
      <c r="A173" s="104"/>
      <c r="B173" s="104"/>
    </row>
    <row r="174" spans="1:2">
      <c r="A174" s="104"/>
      <c r="B174" s="104"/>
    </row>
    <row r="175" spans="1:2">
      <c r="A175" s="104"/>
      <c r="B175" s="104"/>
    </row>
    <row r="176" spans="1:2">
      <c r="A176" s="104"/>
      <c r="B176" s="104"/>
    </row>
    <row r="177" spans="1:2">
      <c r="A177" s="104"/>
      <c r="B177" s="104"/>
    </row>
    <row r="178" spans="1:2">
      <c r="A178" s="104"/>
      <c r="B178" s="104"/>
    </row>
    <row r="179" spans="1:2">
      <c r="A179" s="104"/>
      <c r="B179" s="104"/>
    </row>
    <row r="180" spans="1:2">
      <c r="A180" s="104"/>
      <c r="B180" s="104"/>
    </row>
    <row r="181" spans="1:2">
      <c r="A181" s="104"/>
      <c r="B181" s="104"/>
    </row>
    <row r="182" spans="1:2">
      <c r="A182" s="104"/>
      <c r="B182" s="104"/>
    </row>
    <row r="183" spans="1:2">
      <c r="A183" s="104"/>
      <c r="B183" s="104"/>
    </row>
    <row r="184" spans="1:2">
      <c r="A184" s="104"/>
      <c r="B184" s="104"/>
    </row>
    <row r="185" spans="1:2">
      <c r="A185" s="104"/>
      <c r="B185" s="104"/>
    </row>
    <row r="186" spans="1:2">
      <c r="A186" s="104"/>
      <c r="B186" s="104"/>
    </row>
    <row r="187" spans="1:2">
      <c r="A187" s="104"/>
      <c r="B187" s="104"/>
    </row>
    <row r="188" spans="1:2">
      <c r="A188" s="104"/>
      <c r="B188" s="104"/>
    </row>
    <row r="189" spans="1:2">
      <c r="A189" s="104"/>
      <c r="B189" s="104"/>
    </row>
    <row r="190" spans="1:2">
      <c r="A190" s="104"/>
      <c r="B190" s="104"/>
    </row>
    <row r="191" spans="1:2">
      <c r="A191" s="104"/>
      <c r="B191" s="104"/>
    </row>
    <row r="192" spans="1:2">
      <c r="A192" s="104"/>
      <c r="B192" s="104"/>
    </row>
    <row r="193" spans="1:2">
      <c r="A193" s="104"/>
      <c r="B193" s="104"/>
    </row>
    <row r="194" spans="1:2">
      <c r="A194" s="104"/>
      <c r="B194" s="104"/>
    </row>
    <row r="195" spans="1:2">
      <c r="A195" s="104"/>
      <c r="B195" s="104"/>
    </row>
    <row r="196" spans="1:2">
      <c r="A196" s="104"/>
      <c r="B196" s="104"/>
    </row>
    <row r="197" spans="1:2">
      <c r="A197" s="104"/>
      <c r="B197" s="104"/>
    </row>
    <row r="198" spans="1:2">
      <c r="A198" s="104"/>
      <c r="B198" s="104"/>
    </row>
    <row r="199" spans="1:2">
      <c r="A199" s="104"/>
      <c r="B199" s="104"/>
    </row>
    <row r="200" spans="1:2">
      <c r="A200" s="104"/>
      <c r="B200" s="104"/>
    </row>
    <row r="201" spans="1:2">
      <c r="A201" s="104"/>
      <c r="B201" s="104"/>
    </row>
    <row r="202" spans="1:2">
      <c r="A202" s="104"/>
      <c r="B202" s="104"/>
    </row>
    <row r="203" spans="1:2">
      <c r="A203" s="104"/>
      <c r="B203" s="104"/>
    </row>
    <row r="204" spans="1:2">
      <c r="A204" s="104"/>
      <c r="B204" s="104"/>
    </row>
    <row r="205" spans="1:2">
      <c r="A205" s="104"/>
      <c r="B205" s="104"/>
    </row>
    <row r="206" spans="1:2">
      <c r="A206" s="104"/>
      <c r="B206" s="104"/>
    </row>
    <row r="207" spans="1:2">
      <c r="A207" s="104"/>
      <c r="B207" s="104"/>
    </row>
    <row r="208" spans="1:2">
      <c r="A208" s="104"/>
      <c r="B208" s="104"/>
    </row>
    <row r="209" spans="1:2">
      <c r="A209" s="104"/>
      <c r="B209" s="104"/>
    </row>
    <row r="210" spans="1:2">
      <c r="A210" s="104"/>
      <c r="B210" s="104"/>
    </row>
    <row r="211" spans="1:2">
      <c r="A211" s="104"/>
      <c r="B211" s="104"/>
    </row>
    <row r="212" spans="1:2">
      <c r="A212" s="104"/>
      <c r="B212" s="104"/>
    </row>
    <row r="213" spans="1:2">
      <c r="A213" s="104"/>
      <c r="B213" s="104"/>
    </row>
    <row r="214" spans="1:2">
      <c r="A214" s="104"/>
      <c r="B214" s="104"/>
    </row>
    <row r="215" spans="1:2">
      <c r="A215" s="104"/>
      <c r="B215" s="104"/>
    </row>
    <row r="216" spans="1:2">
      <c r="A216" s="104"/>
      <c r="B216" s="104"/>
    </row>
    <row r="217" spans="1:2">
      <c r="A217" s="104"/>
      <c r="B217" s="104"/>
    </row>
    <row r="218" spans="1:2">
      <c r="A218" s="104"/>
      <c r="B218" s="104"/>
    </row>
    <row r="219" spans="1:2">
      <c r="A219" s="104"/>
      <c r="B219" s="104"/>
    </row>
    <row r="220" spans="1:2">
      <c r="A220" s="104"/>
      <c r="B220" s="104"/>
    </row>
    <row r="221" spans="1:2">
      <c r="A221" s="104"/>
      <c r="B221" s="104"/>
    </row>
    <row r="222" spans="1:2">
      <c r="A222" s="104"/>
      <c r="B222" s="104"/>
    </row>
    <row r="223" spans="1:2">
      <c r="A223" s="104"/>
      <c r="B223" s="104"/>
    </row>
    <row r="224" spans="1:2">
      <c r="A224" s="104"/>
      <c r="B224" s="104"/>
    </row>
    <row r="225" spans="1:2">
      <c r="A225" s="104"/>
      <c r="B225" s="104"/>
    </row>
    <row r="226" spans="1:2">
      <c r="A226" s="104"/>
      <c r="B226" s="104"/>
    </row>
    <row r="227" spans="1:2">
      <c r="A227" s="104"/>
      <c r="B227" s="104"/>
    </row>
    <row r="228" spans="1:2">
      <c r="A228" s="104"/>
      <c r="B228" s="104"/>
    </row>
    <row r="229" spans="1:2">
      <c r="A229" s="104"/>
      <c r="B229" s="104"/>
    </row>
    <row r="230" spans="1:2">
      <c r="A230" s="104"/>
      <c r="B230" s="104"/>
    </row>
    <row r="231" spans="1:2">
      <c r="A231" s="104"/>
      <c r="B231" s="104"/>
    </row>
    <row r="232" spans="1:2">
      <c r="A232" s="104"/>
      <c r="B232" s="104"/>
    </row>
    <row r="233" spans="1:2">
      <c r="A233" s="104"/>
      <c r="B233" s="104"/>
    </row>
    <row r="234" spans="1:2">
      <c r="A234" s="104"/>
      <c r="B234" s="104"/>
    </row>
    <row r="235" spans="1:2">
      <c r="A235" s="104"/>
      <c r="B235" s="104"/>
    </row>
    <row r="236" spans="1:2">
      <c r="A236" s="104"/>
      <c r="B236" s="104"/>
    </row>
    <row r="237" spans="1:2">
      <c r="A237" s="104"/>
      <c r="B237" s="104"/>
    </row>
    <row r="238" spans="1:2">
      <c r="A238" s="104"/>
      <c r="B238" s="104"/>
    </row>
    <row r="239" spans="1:2">
      <c r="A239" s="104"/>
      <c r="B239" s="104"/>
    </row>
    <row r="240" spans="1:2">
      <c r="A240" s="104"/>
      <c r="B240" s="104"/>
    </row>
    <row r="241" spans="1:2">
      <c r="A241" s="104"/>
      <c r="B241" s="104"/>
    </row>
    <row r="242" spans="1:2">
      <c r="A242" s="104"/>
      <c r="B242" s="104"/>
    </row>
    <row r="243" spans="1:2">
      <c r="A243" s="104"/>
      <c r="B243" s="104"/>
    </row>
    <row r="244" spans="1:2">
      <c r="A244" s="104"/>
      <c r="B244" s="104"/>
    </row>
    <row r="245" spans="1:2">
      <c r="A245" s="104"/>
      <c r="B245" s="104"/>
    </row>
    <row r="246" spans="1:2">
      <c r="A246" s="104"/>
      <c r="B246" s="104"/>
    </row>
    <row r="247" spans="1:2">
      <c r="A247" s="104"/>
      <c r="B247" s="104"/>
    </row>
    <row r="248" spans="1:2">
      <c r="A248" s="104"/>
      <c r="B248" s="104"/>
    </row>
    <row r="249" spans="1:2">
      <c r="A249" s="104"/>
      <c r="B249" s="104"/>
    </row>
    <row r="250" spans="1:2">
      <c r="A250" s="104"/>
      <c r="B250" s="104"/>
    </row>
    <row r="251" spans="1:2">
      <c r="A251" s="104"/>
      <c r="B251" s="104"/>
    </row>
    <row r="252" spans="1:2">
      <c r="A252" s="104"/>
      <c r="B252" s="104"/>
    </row>
    <row r="253" spans="1:2">
      <c r="A253" s="104"/>
      <c r="B253" s="104"/>
    </row>
    <row r="254" spans="1:2">
      <c r="A254" s="104"/>
      <c r="B254" s="104"/>
    </row>
    <row r="255" spans="1:2">
      <c r="A255" s="104"/>
      <c r="B255" s="104"/>
    </row>
    <row r="256" spans="1:2">
      <c r="A256" s="104"/>
      <c r="B256" s="104"/>
    </row>
    <row r="257" spans="1:2">
      <c r="A257" s="104"/>
      <c r="B257" s="104"/>
    </row>
    <row r="258" spans="1:2">
      <c r="A258" s="104"/>
      <c r="B258" s="104"/>
    </row>
    <row r="259" spans="1:2">
      <c r="A259" s="104"/>
    </row>
    <row r="260" spans="1:2">
      <c r="A260" s="104"/>
    </row>
    <row r="261" spans="1:2">
      <c r="A261" s="104"/>
    </row>
    <row r="262" spans="1:2">
      <c r="A262" s="104"/>
    </row>
    <row r="263" spans="1:2">
      <c r="A263" s="104"/>
    </row>
    <row r="264" spans="1:2">
      <c r="A264" s="104"/>
    </row>
    <row r="265" spans="1:2">
      <c r="A265" s="104"/>
    </row>
    <row r="266" spans="1:2">
      <c r="A266" s="104"/>
    </row>
    <row r="267" spans="1:2">
      <c r="A267" s="104"/>
    </row>
    <row r="268" spans="1:2">
      <c r="A268" s="104"/>
    </row>
    <row r="269" spans="1:2">
      <c r="A269" s="104"/>
    </row>
    <row r="270" spans="1:2">
      <c r="A270" s="104"/>
    </row>
    <row r="271" spans="1:2">
      <c r="A271" s="104"/>
    </row>
    <row r="272" spans="1:2">
      <c r="A272" s="104"/>
    </row>
    <row r="273" spans="1:1">
      <c r="A273" s="104"/>
    </row>
    <row r="274" spans="1:1">
      <c r="A274" s="104"/>
    </row>
    <row r="275" spans="1:1">
      <c r="A275" s="104"/>
    </row>
    <row r="276" spans="1:1">
      <c r="A276" s="104"/>
    </row>
    <row r="277" spans="1:1">
      <c r="A277" s="104"/>
    </row>
    <row r="278" spans="1:1">
      <c r="A278" s="104"/>
    </row>
    <row r="279" spans="1:1">
      <c r="A279" s="104"/>
    </row>
    <row r="280" spans="1:1">
      <c r="A280" s="104"/>
    </row>
    <row r="281" spans="1:1">
      <c r="A281" s="104"/>
    </row>
    <row r="282" spans="1:1">
      <c r="A282" s="104"/>
    </row>
    <row r="283" spans="1:1">
      <c r="A283" s="104"/>
    </row>
    <row r="284" spans="1:1">
      <c r="A284" s="104"/>
    </row>
    <row r="285" spans="1:1">
      <c r="A285" s="104"/>
    </row>
    <row r="286" spans="1:1">
      <c r="A286" s="104"/>
    </row>
    <row r="287" spans="1:1">
      <c r="A287" s="104"/>
    </row>
    <row r="288" spans="1:1">
      <c r="A288" s="104"/>
    </row>
    <row r="289" spans="1:1">
      <c r="A289" s="104"/>
    </row>
    <row r="290" spans="1:1">
      <c r="A290" s="104"/>
    </row>
    <row r="291" spans="1:1">
      <c r="A291" s="104"/>
    </row>
    <row r="292" spans="1:1">
      <c r="A292" s="104"/>
    </row>
    <row r="293" spans="1:1">
      <c r="A293" s="104"/>
    </row>
    <row r="294" spans="1:1">
      <c r="A294" s="104"/>
    </row>
    <row r="295" spans="1:1">
      <c r="A295" s="104"/>
    </row>
    <row r="296" spans="1:1">
      <c r="A296" s="104"/>
    </row>
    <row r="297" spans="1:1">
      <c r="A297" s="104"/>
    </row>
    <row r="298" spans="1:1">
      <c r="A298" s="104"/>
    </row>
    <row r="299" spans="1:1">
      <c r="A299" s="104"/>
    </row>
    <row r="300" spans="1:1">
      <c r="A300" s="104"/>
    </row>
    <row r="301" spans="1:1">
      <c r="A301" s="104"/>
    </row>
    <row r="302" spans="1:1">
      <c r="A302" s="104"/>
    </row>
    <row r="303" spans="1:1">
      <c r="A303" s="104"/>
    </row>
    <row r="304" spans="1:1">
      <c r="A304" s="104"/>
    </row>
    <row r="305" spans="1:1">
      <c r="A305" s="104"/>
    </row>
    <row r="306" spans="1:1">
      <c r="A306" s="104"/>
    </row>
    <row r="307" spans="1:1">
      <c r="A307" s="104"/>
    </row>
    <row r="308" spans="1:1">
      <c r="A308" s="104"/>
    </row>
    <row r="309" spans="1:1">
      <c r="A309" s="104"/>
    </row>
    <row r="310" spans="1:1">
      <c r="A310" s="104"/>
    </row>
    <row r="311" spans="1:1">
      <c r="A311" s="104"/>
    </row>
    <row r="312" spans="1:1">
      <c r="A312" s="104"/>
    </row>
    <row r="313" spans="1:1">
      <c r="A313" s="104"/>
    </row>
    <row r="314" spans="1:1">
      <c r="A314" s="104"/>
    </row>
    <row r="315" spans="1:1">
      <c r="A315" s="104"/>
    </row>
    <row r="316" spans="1:1">
      <c r="A316" s="104"/>
    </row>
    <row r="317" spans="1:1">
      <c r="A317" s="104"/>
    </row>
    <row r="318" spans="1:1">
      <c r="A318" s="104"/>
    </row>
    <row r="319" spans="1:1">
      <c r="A319" s="104"/>
    </row>
    <row r="320" spans="1:1">
      <c r="A320" s="104"/>
    </row>
    <row r="321" spans="1:1">
      <c r="A321" s="104"/>
    </row>
    <row r="322" spans="1:1">
      <c r="A322" s="104"/>
    </row>
    <row r="323" spans="1:1">
      <c r="A323" s="104"/>
    </row>
    <row r="324" spans="1:1">
      <c r="A324" s="104"/>
    </row>
    <row r="325" spans="1:1">
      <c r="A325" s="104"/>
    </row>
    <row r="326" spans="1:1">
      <c r="A326" s="104"/>
    </row>
    <row r="327" spans="1:1">
      <c r="A327" s="104"/>
    </row>
    <row r="328" spans="1:1">
      <c r="A328" s="104"/>
    </row>
    <row r="329" spans="1:1">
      <c r="A329" s="104"/>
    </row>
    <row r="330" spans="1:1">
      <c r="A330" s="104"/>
    </row>
    <row r="331" spans="1:1">
      <c r="A331" s="104"/>
    </row>
    <row r="332" spans="1:1">
      <c r="A332" s="104"/>
    </row>
    <row r="333" spans="1:1">
      <c r="A333" s="104"/>
    </row>
    <row r="334" spans="1:1">
      <c r="A334" s="104"/>
    </row>
    <row r="335" spans="1:1">
      <c r="A335" s="104"/>
    </row>
    <row r="336" spans="1:1">
      <c r="A336" s="104"/>
    </row>
    <row r="337" spans="1:1">
      <c r="A337" s="104"/>
    </row>
    <row r="338" spans="1:1">
      <c r="A338" s="104"/>
    </row>
    <row r="339" spans="1:1">
      <c r="A339" s="104"/>
    </row>
    <row r="340" spans="1:1">
      <c r="A340" s="104"/>
    </row>
    <row r="341" spans="1:1">
      <c r="A341" s="104"/>
    </row>
    <row r="342" spans="1:1">
      <c r="A342" s="104"/>
    </row>
    <row r="343" spans="1:1">
      <c r="A343" s="104"/>
    </row>
    <row r="344" spans="1:1">
      <c r="A344" s="104"/>
    </row>
    <row r="345" spans="1:1">
      <c r="A345" s="104"/>
    </row>
    <row r="346" spans="1:1">
      <c r="A346" s="104"/>
    </row>
    <row r="347" spans="1:1">
      <c r="A347" s="104"/>
    </row>
    <row r="348" spans="1:1">
      <c r="A348" s="104"/>
    </row>
    <row r="349" spans="1:1">
      <c r="A349" s="104"/>
    </row>
    <row r="350" spans="1:1">
      <c r="A350" s="104"/>
    </row>
    <row r="351" spans="1:1">
      <c r="A351" s="104"/>
    </row>
    <row r="352" spans="1:1">
      <c r="A352" s="104"/>
    </row>
    <row r="353" spans="1:1">
      <c r="A353" s="104"/>
    </row>
    <row r="354" spans="1:1">
      <c r="A354" s="104"/>
    </row>
    <row r="355" spans="1:1">
      <c r="A355" s="104"/>
    </row>
    <row r="356" spans="1:1">
      <c r="A356" s="104"/>
    </row>
    <row r="357" spans="1:1">
      <c r="A357" s="104"/>
    </row>
    <row r="358" spans="1:1">
      <c r="A358" s="104"/>
    </row>
    <row r="359" spans="1:1">
      <c r="A359" s="104"/>
    </row>
    <row r="360" spans="1:1">
      <c r="A360" s="104"/>
    </row>
    <row r="361" spans="1:1">
      <c r="A361" s="104"/>
    </row>
    <row r="362" spans="1:1">
      <c r="A362" s="104"/>
    </row>
    <row r="363" spans="1:1">
      <c r="A363" s="104"/>
    </row>
    <row r="364" spans="1:1">
      <c r="A364" s="104"/>
    </row>
    <row r="365" spans="1:1">
      <c r="A365" s="104"/>
    </row>
    <row r="366" spans="1:1">
      <c r="A366" s="104"/>
    </row>
    <row r="367" spans="1:1">
      <c r="A367" s="104"/>
    </row>
    <row r="368" spans="1:1">
      <c r="A368" s="104"/>
    </row>
    <row r="369" spans="1:1">
      <c r="A369" s="104"/>
    </row>
    <row r="370" spans="1:1">
      <c r="A370" s="104"/>
    </row>
    <row r="371" spans="1:1">
      <c r="A371" s="104"/>
    </row>
    <row r="372" spans="1:1">
      <c r="A372" s="104"/>
    </row>
    <row r="373" spans="1:1">
      <c r="A373" s="104"/>
    </row>
    <row r="374" spans="1:1">
      <c r="A374" s="104"/>
    </row>
    <row r="375" spans="1:1">
      <c r="A375" s="104"/>
    </row>
    <row r="376" spans="1:1">
      <c r="A376" s="104"/>
    </row>
    <row r="377" spans="1:1">
      <c r="A377" s="104"/>
    </row>
    <row r="378" spans="1:1">
      <c r="A378" s="104"/>
    </row>
    <row r="379" spans="1:1">
      <c r="A379" s="104"/>
    </row>
    <row r="380" spans="1:1">
      <c r="A380" s="104"/>
    </row>
    <row r="381" spans="1:1">
      <c r="A381" s="104"/>
    </row>
    <row r="382" spans="1:1">
      <c r="A382" s="104"/>
    </row>
    <row r="383" spans="1:1">
      <c r="A383" s="104"/>
    </row>
    <row r="384" spans="1:1">
      <c r="A384" s="104"/>
    </row>
    <row r="385" spans="1:1">
      <c r="A385" s="104"/>
    </row>
    <row r="386" spans="1:1">
      <c r="A386" s="104"/>
    </row>
    <row r="387" spans="1:1">
      <c r="A387" s="104"/>
    </row>
    <row r="388" spans="1:1">
      <c r="A388" s="104"/>
    </row>
    <row r="389" spans="1:1">
      <c r="A389" s="104"/>
    </row>
    <row r="390" spans="1:1">
      <c r="A390" s="104"/>
    </row>
    <row r="391" spans="1:1">
      <c r="A391" s="104"/>
    </row>
    <row r="392" spans="1:1">
      <c r="A392" s="104"/>
    </row>
    <row r="393" spans="1:1">
      <c r="A393" s="104"/>
    </row>
    <row r="394" spans="1:1">
      <c r="A394" s="104"/>
    </row>
    <row r="395" spans="1:1">
      <c r="A395" s="104"/>
    </row>
    <row r="396" spans="1:1">
      <c r="A396" s="104"/>
    </row>
    <row r="397" spans="1:1">
      <c r="A397" s="104"/>
    </row>
    <row r="398" spans="1:1">
      <c r="A398" s="104"/>
    </row>
    <row r="399" spans="1:1">
      <c r="A399" s="104"/>
    </row>
    <row r="400" spans="1:1">
      <c r="A400" s="104"/>
    </row>
    <row r="401" spans="1:1">
      <c r="A401" s="104"/>
    </row>
    <row r="402" spans="1:1">
      <c r="A402" s="104"/>
    </row>
    <row r="403" spans="1:1">
      <c r="A403" s="104"/>
    </row>
    <row r="404" spans="1:1">
      <c r="A404" s="104"/>
    </row>
    <row r="405" spans="1:1">
      <c r="A405" s="104"/>
    </row>
    <row r="406" spans="1:1">
      <c r="A406" s="104"/>
    </row>
    <row r="407" spans="1:1">
      <c r="A407" s="104"/>
    </row>
    <row r="408" spans="1:1">
      <c r="A408" s="104"/>
    </row>
    <row r="409" spans="1:1">
      <c r="A409" s="104"/>
    </row>
    <row r="410" spans="1:1">
      <c r="A410" s="104"/>
    </row>
    <row r="411" spans="1:1">
      <c r="A411" s="104"/>
    </row>
    <row r="412" spans="1:1">
      <c r="A412" s="104"/>
    </row>
    <row r="413" spans="1:1">
      <c r="A413" s="104"/>
    </row>
    <row r="414" spans="1:1">
      <c r="A414" s="104"/>
    </row>
    <row r="415" spans="1:1">
      <c r="A415" s="104"/>
    </row>
    <row r="416" spans="1:1">
      <c r="A416" s="104"/>
    </row>
    <row r="417" spans="1:1">
      <c r="A417" s="104"/>
    </row>
    <row r="418" spans="1:1">
      <c r="A418" s="104"/>
    </row>
    <row r="419" spans="1:1">
      <c r="A419" s="104"/>
    </row>
    <row r="420" spans="1:1">
      <c r="A420" s="104"/>
    </row>
    <row r="421" spans="1:1">
      <c r="A421" s="104"/>
    </row>
    <row r="422" spans="1:1">
      <c r="A422" s="104"/>
    </row>
    <row r="423" spans="1:1">
      <c r="A423" s="104"/>
    </row>
    <row r="424" spans="1:1">
      <c r="A424" s="104"/>
    </row>
    <row r="425" spans="1:1">
      <c r="A425" s="104"/>
    </row>
    <row r="426" spans="1:1">
      <c r="A426" s="104"/>
    </row>
    <row r="427" spans="1:1">
      <c r="A427" s="104"/>
    </row>
    <row r="428" spans="1:1">
      <c r="A428" s="104"/>
    </row>
    <row r="429" spans="1:1">
      <c r="A429" s="104"/>
    </row>
    <row r="430" spans="1:1">
      <c r="A430" s="104"/>
    </row>
    <row r="431" spans="1:1">
      <c r="A431" s="104"/>
    </row>
    <row r="432" spans="1:1">
      <c r="A432" s="104"/>
    </row>
    <row r="433" spans="1:1">
      <c r="A433" s="104"/>
    </row>
    <row r="434" spans="1:1">
      <c r="A434" s="104"/>
    </row>
    <row r="435" spans="1:1">
      <c r="A435" s="104"/>
    </row>
    <row r="436" spans="1:1">
      <c r="A436" s="104"/>
    </row>
    <row r="437" spans="1:1">
      <c r="A437" s="104"/>
    </row>
    <row r="438" spans="1:1">
      <c r="A438" s="104"/>
    </row>
    <row r="439" spans="1:1">
      <c r="A439" s="104"/>
    </row>
    <row r="440" spans="1:1">
      <c r="A440" s="104"/>
    </row>
    <row r="441" spans="1:1">
      <c r="A441" s="104"/>
    </row>
    <row r="442" spans="1:1">
      <c r="A442" s="104"/>
    </row>
    <row r="443" spans="1:1">
      <c r="A443" s="104"/>
    </row>
    <row r="444" spans="1:1">
      <c r="A444" s="104"/>
    </row>
    <row r="445" spans="1:1">
      <c r="A445" s="104"/>
    </row>
    <row r="446" spans="1:1">
      <c r="A446" s="104"/>
    </row>
    <row r="447" spans="1:1">
      <c r="A447" s="104"/>
    </row>
    <row r="448" spans="1:1">
      <c r="A448" s="104"/>
    </row>
    <row r="449" spans="1:1">
      <c r="A449" s="104"/>
    </row>
    <row r="450" spans="1:1">
      <c r="A450" s="104"/>
    </row>
    <row r="451" spans="1:1">
      <c r="A451" s="104"/>
    </row>
    <row r="452" spans="1:1">
      <c r="A452" s="104"/>
    </row>
    <row r="453" spans="1:1">
      <c r="A453" s="104"/>
    </row>
    <row r="454" spans="1:1">
      <c r="A454" s="104"/>
    </row>
    <row r="455" spans="1:1">
      <c r="A455" s="104"/>
    </row>
    <row r="456" spans="1:1">
      <c r="A456" s="104"/>
    </row>
    <row r="457" spans="1:1">
      <c r="A457" s="104"/>
    </row>
    <row r="458" spans="1:1">
      <c r="A458" s="104"/>
    </row>
    <row r="459" spans="1:1">
      <c r="A459" s="104"/>
    </row>
    <row r="460" spans="1:1">
      <c r="A460" s="104"/>
    </row>
    <row r="461" spans="1:1">
      <c r="A461" s="104"/>
    </row>
    <row r="462" spans="1:1">
      <c r="A462" s="104"/>
    </row>
    <row r="463" spans="1:1">
      <c r="A463" s="104"/>
    </row>
    <row r="464" spans="1:1">
      <c r="A464" s="104"/>
    </row>
    <row r="465" spans="1:1">
      <c r="A465" s="104"/>
    </row>
    <row r="466" spans="1:1">
      <c r="A466" s="104"/>
    </row>
    <row r="467" spans="1:1">
      <c r="A467" s="104"/>
    </row>
    <row r="468" spans="1:1">
      <c r="A468" s="104"/>
    </row>
    <row r="469" spans="1:1">
      <c r="A469" s="104"/>
    </row>
    <row r="470" spans="1:1">
      <c r="A470" s="104"/>
    </row>
    <row r="471" spans="1:1">
      <c r="A471" s="104"/>
    </row>
    <row r="472" spans="1:1">
      <c r="A472" s="104"/>
    </row>
    <row r="473" spans="1:1">
      <c r="A473" s="104"/>
    </row>
    <row r="474" spans="1:1">
      <c r="A474" s="104"/>
    </row>
    <row r="475" spans="1:1">
      <c r="A475" s="104"/>
    </row>
    <row r="476" spans="1:1">
      <c r="A476" s="104"/>
    </row>
    <row r="477" spans="1:1">
      <c r="A477" s="104"/>
    </row>
    <row r="478" spans="1:1">
      <c r="A478" s="104"/>
    </row>
    <row r="479" spans="1:1">
      <c r="A479" s="104"/>
    </row>
    <row r="480" spans="1:1">
      <c r="A480" s="104"/>
    </row>
    <row r="481" spans="1:1">
      <c r="A481" s="104"/>
    </row>
    <row r="482" spans="1:1">
      <c r="A482" s="104"/>
    </row>
    <row r="483" spans="1:1">
      <c r="A483" s="104"/>
    </row>
    <row r="484" spans="1:1">
      <c r="A484" s="104"/>
    </row>
    <row r="485" spans="1:1">
      <c r="A485" s="104"/>
    </row>
    <row r="486" spans="1:1">
      <c r="A486" s="104"/>
    </row>
    <row r="487" spans="1:1">
      <c r="A487" s="104"/>
    </row>
    <row r="488" spans="1:1">
      <c r="A488" s="104"/>
    </row>
    <row r="489" spans="1:1">
      <c r="A489" s="104"/>
    </row>
    <row r="490" spans="1:1">
      <c r="A490" s="104"/>
    </row>
    <row r="491" spans="1:1">
      <c r="A491" s="104"/>
    </row>
    <row r="492" spans="1:1">
      <c r="A492" s="104"/>
    </row>
    <row r="493" spans="1:1">
      <c r="A493" s="104"/>
    </row>
    <row r="494" spans="1:1">
      <c r="A494" s="104"/>
    </row>
    <row r="495" spans="1:1">
      <c r="A495" s="104"/>
    </row>
    <row r="496" spans="1:1">
      <c r="A496" s="104"/>
    </row>
    <row r="497" spans="1:1">
      <c r="A497" s="104"/>
    </row>
    <row r="498" spans="1:1">
      <c r="A498" s="104"/>
    </row>
    <row r="499" spans="1:1">
      <c r="A499" s="104"/>
    </row>
    <row r="500" spans="1:1">
      <c r="A500" s="104"/>
    </row>
    <row r="501" spans="1:1">
      <c r="A501" s="104"/>
    </row>
    <row r="502" spans="1:1">
      <c r="A502" s="104"/>
    </row>
    <row r="503" spans="1:1">
      <c r="A503" s="104"/>
    </row>
    <row r="504" spans="1:1">
      <c r="A504" s="104"/>
    </row>
    <row r="505" spans="1:1">
      <c r="A505" s="104"/>
    </row>
    <row r="506" spans="1:1">
      <c r="A506" s="104"/>
    </row>
    <row r="507" spans="1:1">
      <c r="A507" s="104"/>
    </row>
    <row r="508" spans="1:1">
      <c r="A508" s="104"/>
    </row>
    <row r="509" spans="1:1">
      <c r="A509" s="104"/>
    </row>
    <row r="510" spans="1:1">
      <c r="A510" s="104"/>
    </row>
    <row r="511" spans="1:1">
      <c r="A511" s="104"/>
    </row>
    <row r="512" spans="1:1">
      <c r="A512" s="104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D0A8-764D-4C68-9074-02C3F484D56D}">
  <sheetPr>
    <tabColor theme="2" tint="-0.249977111117893"/>
  </sheetPr>
  <dimension ref="A1:M119"/>
  <sheetViews>
    <sheetView workbookViewId="0"/>
  </sheetViews>
  <sheetFormatPr defaultColWidth="9.140625" defaultRowHeight="12.75"/>
  <cols>
    <col min="1" max="1" width="9.140625" style="108"/>
    <col min="2" max="2" width="1.7109375" style="108" customWidth="1"/>
    <col min="3" max="4" width="9.140625" style="108"/>
    <col min="5" max="5" width="1.7109375" style="108" customWidth="1"/>
    <col min="6" max="7" width="9.140625" style="108"/>
    <col min="8" max="8" width="1.7109375" style="108" customWidth="1"/>
    <col min="9" max="10" width="9.140625" style="108"/>
    <col min="11" max="11" width="1.7109375" style="108" customWidth="1"/>
    <col min="12" max="16384" width="9.140625" style="108"/>
  </cols>
  <sheetData>
    <row r="1" spans="1:13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3" spans="1:13">
      <c r="A3" s="108" t="s">
        <v>83</v>
      </c>
      <c r="C3" s="109" t="s">
        <v>80</v>
      </c>
      <c r="D3" s="109" t="s">
        <v>81</v>
      </c>
      <c r="E3" s="110"/>
      <c r="F3" s="109" t="s">
        <v>80</v>
      </c>
      <c r="G3" s="109" t="s">
        <v>81</v>
      </c>
      <c r="H3" s="110"/>
      <c r="I3" s="109" t="s">
        <v>80</v>
      </c>
      <c r="J3" s="109" t="s">
        <v>81</v>
      </c>
      <c r="K3" s="110"/>
      <c r="L3" s="109" t="s">
        <v>80</v>
      </c>
      <c r="M3" s="109" t="s">
        <v>81</v>
      </c>
    </row>
    <row r="4" spans="1:13">
      <c r="A4" s="108">
        <v>-0.04</v>
      </c>
      <c r="C4" s="108">
        <v>0</v>
      </c>
      <c r="D4" s="111">
        <f t="shared" ref="D4:D67" si="0">$A$4*C4^3+$A$6*C4^2</f>
        <v>0</v>
      </c>
      <c r="F4" s="108">
        <v>20</v>
      </c>
      <c r="G4" s="108">
        <v>0</v>
      </c>
      <c r="I4" s="108">
        <v>60</v>
      </c>
      <c r="J4" s="108">
        <v>0</v>
      </c>
      <c r="L4" s="108">
        <v>100</v>
      </c>
      <c r="M4" s="108">
        <v>0</v>
      </c>
    </row>
    <row r="5" spans="1:13">
      <c r="A5" s="108" t="s">
        <v>84</v>
      </c>
      <c r="C5" s="108">
        <v>1</v>
      </c>
      <c r="D5" s="111">
        <f t="shared" si="0"/>
        <v>5.46</v>
      </c>
      <c r="F5" s="108">
        <v>20</v>
      </c>
      <c r="G5" s="108">
        <f>D24</f>
        <v>1880</v>
      </c>
      <c r="I5" s="108">
        <v>60</v>
      </c>
      <c r="J5" s="108">
        <f>D64</f>
        <v>11160</v>
      </c>
      <c r="L5" s="108">
        <v>100</v>
      </c>
      <c r="M5" s="111">
        <f>D104</f>
        <v>15000</v>
      </c>
    </row>
    <row r="6" spans="1:13">
      <c r="A6" s="108">
        <v>5.5</v>
      </c>
      <c r="C6" s="108">
        <v>2</v>
      </c>
      <c r="D6" s="111">
        <f t="shared" si="0"/>
        <v>21.68</v>
      </c>
    </row>
    <row r="7" spans="1:13">
      <c r="C7" s="108">
        <v>3</v>
      </c>
      <c r="D7" s="111">
        <f t="shared" si="0"/>
        <v>48.42</v>
      </c>
    </row>
    <row r="8" spans="1:13">
      <c r="C8" s="108">
        <v>4</v>
      </c>
      <c r="D8" s="111">
        <f t="shared" si="0"/>
        <v>85.44</v>
      </c>
    </row>
    <row r="9" spans="1:13">
      <c r="C9" s="108">
        <v>5</v>
      </c>
      <c r="D9" s="111">
        <f t="shared" si="0"/>
        <v>132.5</v>
      </c>
    </row>
    <row r="10" spans="1:13">
      <c r="C10" s="108">
        <v>6</v>
      </c>
      <c r="D10" s="111">
        <f t="shared" si="0"/>
        <v>189.36</v>
      </c>
    </row>
    <row r="11" spans="1:13">
      <c r="C11" s="108">
        <v>7</v>
      </c>
      <c r="D11" s="111">
        <f t="shared" si="0"/>
        <v>255.78</v>
      </c>
    </row>
    <row r="12" spans="1:13">
      <c r="C12" s="108">
        <v>8</v>
      </c>
      <c r="D12" s="111">
        <f t="shared" si="0"/>
        <v>331.52</v>
      </c>
    </row>
    <row r="13" spans="1:13">
      <c r="C13" s="108">
        <v>9</v>
      </c>
      <c r="D13" s="111">
        <f t="shared" si="0"/>
        <v>416.34</v>
      </c>
    </row>
    <row r="14" spans="1:13">
      <c r="C14" s="108">
        <v>10</v>
      </c>
      <c r="D14" s="111">
        <f t="shared" si="0"/>
        <v>510</v>
      </c>
    </row>
    <row r="15" spans="1:13">
      <c r="C15" s="108">
        <v>11</v>
      </c>
      <c r="D15" s="111">
        <f t="shared" si="0"/>
        <v>612.26</v>
      </c>
    </row>
    <row r="16" spans="1:13">
      <c r="C16" s="108">
        <v>12</v>
      </c>
      <c r="D16" s="111">
        <f t="shared" si="0"/>
        <v>722.88</v>
      </c>
    </row>
    <row r="17" spans="3:4">
      <c r="C17" s="108">
        <v>13</v>
      </c>
      <c r="D17" s="111">
        <f t="shared" si="0"/>
        <v>841.62</v>
      </c>
    </row>
    <row r="18" spans="3:4">
      <c r="C18" s="108">
        <v>14</v>
      </c>
      <c r="D18" s="111">
        <f t="shared" si="0"/>
        <v>968.24</v>
      </c>
    </row>
    <row r="19" spans="3:4">
      <c r="C19" s="108">
        <v>15</v>
      </c>
      <c r="D19" s="111">
        <f t="shared" si="0"/>
        <v>1102.5</v>
      </c>
    </row>
    <row r="20" spans="3:4">
      <c r="C20" s="108">
        <v>16</v>
      </c>
      <c r="D20" s="111">
        <f t="shared" si="0"/>
        <v>1244.1600000000001</v>
      </c>
    </row>
    <row r="21" spans="3:4">
      <c r="C21" s="108">
        <v>17</v>
      </c>
      <c r="D21" s="111">
        <f t="shared" si="0"/>
        <v>1392.98</v>
      </c>
    </row>
    <row r="22" spans="3:4">
      <c r="C22" s="108">
        <v>18</v>
      </c>
      <c r="D22" s="111">
        <f t="shared" si="0"/>
        <v>1548.72</v>
      </c>
    </row>
    <row r="23" spans="3:4">
      <c r="C23" s="108">
        <v>19</v>
      </c>
      <c r="D23" s="111">
        <f t="shared" si="0"/>
        <v>1711.1399999999999</v>
      </c>
    </row>
    <row r="24" spans="3:4">
      <c r="C24" s="108">
        <v>20</v>
      </c>
      <c r="D24" s="111">
        <f t="shared" si="0"/>
        <v>1880</v>
      </c>
    </row>
    <row r="25" spans="3:4">
      <c r="C25" s="108">
        <v>21</v>
      </c>
      <c r="D25" s="111">
        <f t="shared" si="0"/>
        <v>2055.06</v>
      </c>
    </row>
    <row r="26" spans="3:4">
      <c r="C26" s="108">
        <v>22</v>
      </c>
      <c r="D26" s="111">
        <f t="shared" si="0"/>
        <v>2236.08</v>
      </c>
    </row>
    <row r="27" spans="3:4">
      <c r="C27" s="108">
        <v>23</v>
      </c>
      <c r="D27" s="111">
        <f t="shared" si="0"/>
        <v>2422.8200000000002</v>
      </c>
    </row>
    <row r="28" spans="3:4">
      <c r="C28" s="108">
        <v>24</v>
      </c>
      <c r="D28" s="111">
        <f t="shared" si="0"/>
        <v>2615.04</v>
      </c>
    </row>
    <row r="29" spans="3:4">
      <c r="C29" s="108">
        <v>25</v>
      </c>
      <c r="D29" s="111">
        <f t="shared" si="0"/>
        <v>2812.5</v>
      </c>
    </row>
    <row r="30" spans="3:4">
      <c r="C30" s="108">
        <v>26</v>
      </c>
      <c r="D30" s="111">
        <f t="shared" si="0"/>
        <v>3014.96</v>
      </c>
    </row>
    <row r="31" spans="3:4">
      <c r="C31" s="108">
        <v>27</v>
      </c>
      <c r="D31" s="111">
        <f t="shared" si="0"/>
        <v>3222.18</v>
      </c>
    </row>
    <row r="32" spans="3:4">
      <c r="C32" s="108">
        <v>28</v>
      </c>
      <c r="D32" s="111">
        <f t="shared" si="0"/>
        <v>3433.92</v>
      </c>
    </row>
    <row r="33" spans="3:4">
      <c r="C33" s="108">
        <v>29</v>
      </c>
      <c r="D33" s="111">
        <f t="shared" si="0"/>
        <v>3649.94</v>
      </c>
    </row>
    <row r="34" spans="3:4">
      <c r="C34" s="108">
        <v>30</v>
      </c>
      <c r="D34" s="111">
        <f t="shared" si="0"/>
        <v>3870</v>
      </c>
    </row>
    <row r="35" spans="3:4">
      <c r="C35" s="108">
        <v>31</v>
      </c>
      <c r="D35" s="111">
        <f t="shared" si="0"/>
        <v>4093.8599999999997</v>
      </c>
    </row>
    <row r="36" spans="3:4">
      <c r="C36" s="108">
        <v>32</v>
      </c>
      <c r="D36" s="111">
        <f t="shared" si="0"/>
        <v>4321.28</v>
      </c>
    </row>
    <row r="37" spans="3:4">
      <c r="C37" s="108">
        <v>33</v>
      </c>
      <c r="D37" s="111">
        <f t="shared" si="0"/>
        <v>4552.0200000000004</v>
      </c>
    </row>
    <row r="38" spans="3:4">
      <c r="C38" s="108">
        <v>34</v>
      </c>
      <c r="D38" s="111">
        <f t="shared" si="0"/>
        <v>4785.84</v>
      </c>
    </row>
    <row r="39" spans="3:4">
      <c r="C39" s="108">
        <v>35</v>
      </c>
      <c r="D39" s="111">
        <f t="shared" si="0"/>
        <v>5022.5</v>
      </c>
    </row>
    <row r="40" spans="3:4">
      <c r="C40" s="108">
        <v>36</v>
      </c>
      <c r="D40" s="111">
        <f t="shared" si="0"/>
        <v>5261.76</v>
      </c>
    </row>
    <row r="41" spans="3:4">
      <c r="C41" s="108">
        <v>37</v>
      </c>
      <c r="D41" s="111">
        <f t="shared" si="0"/>
        <v>5503.38</v>
      </c>
    </row>
    <row r="42" spans="3:4">
      <c r="C42" s="108">
        <v>38</v>
      </c>
      <c r="D42" s="111">
        <f t="shared" si="0"/>
        <v>5747.12</v>
      </c>
    </row>
    <row r="43" spans="3:4">
      <c r="C43" s="108">
        <v>39</v>
      </c>
      <c r="D43" s="111">
        <f t="shared" si="0"/>
        <v>5992.74</v>
      </c>
    </row>
    <row r="44" spans="3:4">
      <c r="C44" s="108">
        <v>40</v>
      </c>
      <c r="D44" s="111">
        <f t="shared" si="0"/>
        <v>6240</v>
      </c>
    </row>
    <row r="45" spans="3:4">
      <c r="C45" s="108">
        <v>41</v>
      </c>
      <c r="D45" s="111">
        <f t="shared" si="0"/>
        <v>6488.66</v>
      </c>
    </row>
    <row r="46" spans="3:4">
      <c r="C46" s="108">
        <v>42</v>
      </c>
      <c r="D46" s="111">
        <f t="shared" si="0"/>
        <v>6738.48</v>
      </c>
    </row>
    <row r="47" spans="3:4">
      <c r="C47" s="108">
        <v>43</v>
      </c>
      <c r="D47" s="111">
        <f t="shared" si="0"/>
        <v>6989.2199999999993</v>
      </c>
    </row>
    <row r="48" spans="3:4">
      <c r="C48" s="108">
        <v>44</v>
      </c>
      <c r="D48" s="111">
        <f t="shared" si="0"/>
        <v>7240.6399999999994</v>
      </c>
    </row>
    <row r="49" spans="3:4">
      <c r="C49" s="108">
        <v>45</v>
      </c>
      <c r="D49" s="111">
        <f t="shared" si="0"/>
        <v>7492.5</v>
      </c>
    </row>
    <row r="50" spans="3:4">
      <c r="C50" s="108">
        <v>46</v>
      </c>
      <c r="D50" s="111">
        <f t="shared" si="0"/>
        <v>7744.5599999999995</v>
      </c>
    </row>
    <row r="51" spans="3:4">
      <c r="C51" s="108">
        <v>47</v>
      </c>
      <c r="D51" s="111">
        <f t="shared" si="0"/>
        <v>7996.58</v>
      </c>
    </row>
    <row r="52" spans="3:4">
      <c r="C52" s="108">
        <v>48</v>
      </c>
      <c r="D52" s="111">
        <f t="shared" si="0"/>
        <v>8248.32</v>
      </c>
    </row>
    <row r="53" spans="3:4">
      <c r="C53" s="108">
        <v>49</v>
      </c>
      <c r="D53" s="111">
        <f t="shared" si="0"/>
        <v>8499.5400000000009</v>
      </c>
    </row>
    <row r="54" spans="3:4">
      <c r="C54" s="108">
        <v>50</v>
      </c>
      <c r="D54" s="111">
        <f t="shared" si="0"/>
        <v>8750</v>
      </c>
    </row>
    <row r="55" spans="3:4">
      <c r="C55" s="108">
        <v>51</v>
      </c>
      <c r="D55" s="111">
        <f t="shared" si="0"/>
        <v>8999.4599999999991</v>
      </c>
    </row>
    <row r="56" spans="3:4">
      <c r="C56" s="108">
        <v>52</v>
      </c>
      <c r="D56" s="111">
        <f t="shared" si="0"/>
        <v>9247.68</v>
      </c>
    </row>
    <row r="57" spans="3:4">
      <c r="C57" s="108">
        <v>53</v>
      </c>
      <c r="D57" s="111">
        <f t="shared" si="0"/>
        <v>9494.42</v>
      </c>
    </row>
    <row r="58" spans="3:4">
      <c r="C58" s="108">
        <v>54</v>
      </c>
      <c r="D58" s="111">
        <f t="shared" si="0"/>
        <v>9739.4399999999987</v>
      </c>
    </row>
    <row r="59" spans="3:4">
      <c r="C59" s="108">
        <v>55</v>
      </c>
      <c r="D59" s="111">
        <f t="shared" si="0"/>
        <v>9982.5</v>
      </c>
    </row>
    <row r="60" spans="3:4">
      <c r="C60" s="108">
        <v>56</v>
      </c>
      <c r="D60" s="111">
        <f t="shared" si="0"/>
        <v>10223.36</v>
      </c>
    </row>
    <row r="61" spans="3:4">
      <c r="C61" s="108">
        <v>57</v>
      </c>
      <c r="D61" s="111">
        <f t="shared" si="0"/>
        <v>10461.779999999999</v>
      </c>
    </row>
    <row r="62" spans="3:4">
      <c r="C62" s="108">
        <v>58</v>
      </c>
      <c r="D62" s="111">
        <f t="shared" si="0"/>
        <v>10697.52</v>
      </c>
    </row>
    <row r="63" spans="3:4">
      <c r="C63" s="108">
        <v>59</v>
      </c>
      <c r="D63" s="111">
        <f t="shared" si="0"/>
        <v>10930.34</v>
      </c>
    </row>
    <row r="64" spans="3:4">
      <c r="C64" s="108">
        <v>60</v>
      </c>
      <c r="D64" s="111">
        <f t="shared" si="0"/>
        <v>11160</v>
      </c>
    </row>
    <row r="65" spans="3:4">
      <c r="C65" s="108">
        <v>61</v>
      </c>
      <c r="D65" s="111">
        <f t="shared" si="0"/>
        <v>11386.26</v>
      </c>
    </row>
    <row r="66" spans="3:4">
      <c r="C66" s="108">
        <v>62</v>
      </c>
      <c r="D66" s="111">
        <f t="shared" si="0"/>
        <v>11608.88</v>
      </c>
    </row>
    <row r="67" spans="3:4">
      <c r="C67" s="108">
        <v>63</v>
      </c>
      <c r="D67" s="111">
        <f t="shared" si="0"/>
        <v>11827.619999999999</v>
      </c>
    </row>
    <row r="68" spans="3:4">
      <c r="C68" s="108">
        <v>64</v>
      </c>
      <c r="D68" s="111">
        <f t="shared" ref="D68:D99" si="1">$A$4*C68^3+$A$6*C68^2</f>
        <v>12042.24</v>
      </c>
    </row>
    <row r="69" spans="3:4">
      <c r="C69" s="108">
        <v>65</v>
      </c>
      <c r="D69" s="111">
        <f t="shared" si="1"/>
        <v>12252.5</v>
      </c>
    </row>
    <row r="70" spans="3:4">
      <c r="C70" s="108">
        <v>66</v>
      </c>
      <c r="D70" s="111">
        <f t="shared" si="1"/>
        <v>12458.16</v>
      </c>
    </row>
    <row r="71" spans="3:4">
      <c r="C71" s="108">
        <v>67</v>
      </c>
      <c r="D71" s="111">
        <f t="shared" si="1"/>
        <v>12658.98</v>
      </c>
    </row>
    <row r="72" spans="3:4">
      <c r="C72" s="108">
        <v>68</v>
      </c>
      <c r="D72" s="111">
        <f t="shared" si="1"/>
        <v>12854.72</v>
      </c>
    </row>
    <row r="73" spans="3:4">
      <c r="C73" s="108">
        <v>69</v>
      </c>
      <c r="D73" s="111">
        <f t="shared" si="1"/>
        <v>13045.14</v>
      </c>
    </row>
    <row r="74" spans="3:4">
      <c r="C74" s="108">
        <v>70</v>
      </c>
      <c r="D74" s="111">
        <f t="shared" si="1"/>
        <v>13230</v>
      </c>
    </row>
    <row r="75" spans="3:4">
      <c r="C75" s="108">
        <v>71</v>
      </c>
      <c r="D75" s="111">
        <f t="shared" si="1"/>
        <v>13409.06</v>
      </c>
    </row>
    <row r="76" spans="3:4">
      <c r="C76" s="108">
        <v>72</v>
      </c>
      <c r="D76" s="111">
        <f t="shared" si="1"/>
        <v>13582.08</v>
      </c>
    </row>
    <row r="77" spans="3:4">
      <c r="C77" s="108">
        <v>73</v>
      </c>
      <c r="D77" s="111">
        <f t="shared" si="1"/>
        <v>13748.82</v>
      </c>
    </row>
    <row r="78" spans="3:4">
      <c r="C78" s="108">
        <v>74</v>
      </c>
      <c r="D78" s="111">
        <f t="shared" si="1"/>
        <v>13909.039999999999</v>
      </c>
    </row>
    <row r="79" spans="3:4">
      <c r="C79" s="108">
        <v>75</v>
      </c>
      <c r="D79" s="111">
        <f t="shared" si="1"/>
        <v>14062.5</v>
      </c>
    </row>
    <row r="80" spans="3:4">
      <c r="C80" s="108">
        <v>76</v>
      </c>
      <c r="D80" s="111">
        <f t="shared" si="1"/>
        <v>14208.96</v>
      </c>
    </row>
    <row r="81" spans="3:4">
      <c r="C81" s="108">
        <v>77</v>
      </c>
      <c r="D81" s="111">
        <f t="shared" si="1"/>
        <v>14348.18</v>
      </c>
    </row>
    <row r="82" spans="3:4">
      <c r="C82" s="108">
        <v>78</v>
      </c>
      <c r="D82" s="111">
        <f t="shared" si="1"/>
        <v>14479.919999999998</v>
      </c>
    </row>
    <row r="83" spans="3:4">
      <c r="C83" s="108">
        <v>79</v>
      </c>
      <c r="D83" s="111">
        <f t="shared" si="1"/>
        <v>14603.939999999999</v>
      </c>
    </row>
    <row r="84" spans="3:4">
      <c r="C84" s="108">
        <v>80</v>
      </c>
      <c r="D84" s="111">
        <f t="shared" si="1"/>
        <v>14720</v>
      </c>
    </row>
    <row r="85" spans="3:4">
      <c r="C85" s="108">
        <v>81</v>
      </c>
      <c r="D85" s="111">
        <f t="shared" si="1"/>
        <v>14827.86</v>
      </c>
    </row>
    <row r="86" spans="3:4">
      <c r="C86" s="108">
        <v>82</v>
      </c>
      <c r="D86" s="111">
        <f t="shared" si="1"/>
        <v>14927.279999999999</v>
      </c>
    </row>
    <row r="87" spans="3:4">
      <c r="C87" s="108">
        <v>83</v>
      </c>
      <c r="D87" s="111">
        <f t="shared" si="1"/>
        <v>15018.02</v>
      </c>
    </row>
    <row r="88" spans="3:4">
      <c r="C88" s="108">
        <v>84</v>
      </c>
      <c r="D88" s="111">
        <f t="shared" si="1"/>
        <v>15099.84</v>
      </c>
    </row>
    <row r="89" spans="3:4">
      <c r="C89" s="108">
        <v>85</v>
      </c>
      <c r="D89" s="111">
        <f t="shared" si="1"/>
        <v>15172.5</v>
      </c>
    </row>
    <row r="90" spans="3:4">
      <c r="C90" s="108">
        <v>86</v>
      </c>
      <c r="D90" s="111">
        <f t="shared" si="1"/>
        <v>15235.759999999998</v>
      </c>
    </row>
    <row r="91" spans="3:4">
      <c r="C91" s="108">
        <v>87</v>
      </c>
      <c r="D91" s="111">
        <f t="shared" si="1"/>
        <v>15289.380000000001</v>
      </c>
    </row>
    <row r="92" spans="3:4">
      <c r="C92" s="108">
        <v>88</v>
      </c>
      <c r="D92" s="111">
        <f t="shared" si="1"/>
        <v>15333.119999999999</v>
      </c>
    </row>
    <row r="93" spans="3:4">
      <c r="C93" s="108">
        <v>89</v>
      </c>
      <c r="D93" s="111">
        <f t="shared" si="1"/>
        <v>15366.739999999998</v>
      </c>
    </row>
    <row r="94" spans="3:4">
      <c r="C94" s="108">
        <v>90</v>
      </c>
      <c r="D94" s="111">
        <f t="shared" si="1"/>
        <v>15390</v>
      </c>
    </row>
    <row r="95" spans="3:4">
      <c r="C95" s="108">
        <v>91</v>
      </c>
      <c r="D95" s="111">
        <f t="shared" si="1"/>
        <v>15402.66</v>
      </c>
    </row>
    <row r="96" spans="3:4">
      <c r="C96" s="108">
        <v>92</v>
      </c>
      <c r="D96" s="111">
        <f t="shared" si="1"/>
        <v>15404.48</v>
      </c>
    </row>
    <row r="97" spans="3:4">
      <c r="C97" s="108">
        <v>93</v>
      </c>
      <c r="D97" s="111">
        <f t="shared" si="1"/>
        <v>15395.219999999998</v>
      </c>
    </row>
    <row r="98" spans="3:4">
      <c r="C98" s="108">
        <v>94</v>
      </c>
      <c r="D98" s="111">
        <f t="shared" si="1"/>
        <v>15374.64</v>
      </c>
    </row>
    <row r="99" spans="3:4">
      <c r="C99" s="108">
        <v>95</v>
      </c>
      <c r="D99" s="111">
        <f t="shared" si="1"/>
        <v>15342.5</v>
      </c>
    </row>
    <row r="100" spans="3:4">
      <c r="C100" s="108">
        <v>96</v>
      </c>
      <c r="D100" s="111">
        <f>$A$4*C100^3+$A$6*C100^2</f>
        <v>15298.559999999998</v>
      </c>
    </row>
    <row r="101" spans="3:4">
      <c r="C101" s="108">
        <v>97</v>
      </c>
      <c r="D101" s="111">
        <f>$A$4*C101^3+$A$6*C101^2</f>
        <v>15242.580000000002</v>
      </c>
    </row>
    <row r="102" spans="3:4">
      <c r="C102" s="108">
        <v>98</v>
      </c>
      <c r="D102" s="111">
        <f>$A$4*C102^3+$A$6*C102^2</f>
        <v>15174.32</v>
      </c>
    </row>
    <row r="103" spans="3:4">
      <c r="C103" s="108">
        <v>99</v>
      </c>
      <c r="D103" s="111">
        <f>$A$4*C103^3+$A$6*C103^2</f>
        <v>15093.54</v>
      </c>
    </row>
    <row r="104" spans="3:4">
      <c r="C104" s="108">
        <v>100</v>
      </c>
      <c r="D104" s="111">
        <f>$A$4*C104^3+$A$6*C104^2</f>
        <v>15000</v>
      </c>
    </row>
    <row r="105" spans="3:4">
      <c r="C105" s="108">
        <v>101</v>
      </c>
      <c r="D105" s="111">
        <f t="shared" ref="D105:D119" si="2">$A$4*C105^3+$A$6*C105^2</f>
        <v>14893.46</v>
      </c>
    </row>
    <row r="106" spans="3:4">
      <c r="C106" s="108">
        <v>102</v>
      </c>
      <c r="D106" s="111">
        <f t="shared" si="2"/>
        <v>14773.68</v>
      </c>
    </row>
    <row r="107" spans="3:4">
      <c r="C107" s="108">
        <v>103</v>
      </c>
      <c r="D107" s="111">
        <f t="shared" si="2"/>
        <v>14640.419999999998</v>
      </c>
    </row>
    <row r="108" spans="3:4">
      <c r="C108" s="108">
        <v>104</v>
      </c>
      <c r="D108" s="111">
        <f t="shared" si="2"/>
        <v>14493.440000000002</v>
      </c>
    </row>
    <row r="109" spans="3:4">
      <c r="C109" s="108">
        <v>105</v>
      </c>
      <c r="D109" s="111">
        <f t="shared" si="2"/>
        <v>14332.5</v>
      </c>
    </row>
    <row r="110" spans="3:4">
      <c r="C110" s="108">
        <v>106</v>
      </c>
      <c r="D110" s="111">
        <f t="shared" si="2"/>
        <v>14157.36</v>
      </c>
    </row>
    <row r="111" spans="3:4">
      <c r="C111" s="108">
        <v>107</v>
      </c>
      <c r="D111" s="111">
        <f t="shared" si="2"/>
        <v>13967.779999999999</v>
      </c>
    </row>
    <row r="112" spans="3:4">
      <c r="C112" s="108">
        <v>108</v>
      </c>
      <c r="D112" s="111">
        <f>$A$4*C112^3+$A$6*C112^2</f>
        <v>13763.519999999997</v>
      </c>
    </row>
    <row r="113" spans="3:4">
      <c r="C113" s="108">
        <v>109</v>
      </c>
      <c r="D113" s="111">
        <f t="shared" si="2"/>
        <v>13544.339999999997</v>
      </c>
    </row>
    <row r="114" spans="3:4">
      <c r="C114" s="108">
        <v>110</v>
      </c>
      <c r="D114" s="111">
        <f t="shared" si="2"/>
        <v>13310</v>
      </c>
    </row>
    <row r="115" spans="3:4">
      <c r="C115" s="108">
        <v>111</v>
      </c>
      <c r="D115" s="111">
        <f t="shared" si="2"/>
        <v>13060.260000000002</v>
      </c>
    </row>
    <row r="116" spans="3:4">
      <c r="C116" s="108">
        <v>112</v>
      </c>
      <c r="D116" s="111">
        <f t="shared" si="2"/>
        <v>12794.879999999997</v>
      </c>
    </row>
    <row r="117" spans="3:4">
      <c r="C117" s="108">
        <v>113</v>
      </c>
      <c r="D117" s="111">
        <f t="shared" si="2"/>
        <v>12513.619999999995</v>
      </c>
    </row>
    <row r="118" spans="3:4">
      <c r="C118" s="108">
        <v>114</v>
      </c>
      <c r="D118" s="111">
        <f t="shared" si="2"/>
        <v>12216.239999999998</v>
      </c>
    </row>
    <row r="119" spans="3:4">
      <c r="C119" s="108">
        <v>115</v>
      </c>
      <c r="D119" s="111">
        <f t="shared" si="2"/>
        <v>11902.5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76C5-FE4A-47F0-AC7A-60DE529F23EB}">
  <sheetPr>
    <tabColor theme="2" tint="-0.249977111117893"/>
  </sheetPr>
  <dimension ref="A1:J22"/>
  <sheetViews>
    <sheetView workbookViewId="0"/>
  </sheetViews>
  <sheetFormatPr defaultRowHeight="15"/>
  <cols>
    <col min="1" max="1" width="4.5703125" customWidth="1"/>
    <col min="2" max="2" width="4.7109375" customWidth="1"/>
    <col min="3" max="3" width="3.85546875" customWidth="1"/>
    <col min="4" max="4" width="5.7109375" customWidth="1"/>
    <col min="5" max="5" width="8.140625" customWidth="1"/>
    <col min="6" max="6" width="8.7109375" customWidth="1"/>
    <col min="7" max="7" width="5.85546875" customWidth="1"/>
    <col min="8" max="8" width="6.140625" customWidth="1"/>
    <col min="9" max="9" width="6.28515625" customWidth="1"/>
    <col min="10" max="10" width="6" customWidth="1"/>
  </cols>
  <sheetData>
    <row r="1" spans="1:10">
      <c r="A1" t="s">
        <v>80</v>
      </c>
      <c r="B1" t="s">
        <v>81</v>
      </c>
      <c r="C1" s="219" t="s">
        <v>85</v>
      </c>
      <c r="D1" s="219"/>
      <c r="E1" t="s">
        <v>86</v>
      </c>
      <c r="F1" t="s">
        <v>87</v>
      </c>
      <c r="G1" s="219" t="s">
        <v>88</v>
      </c>
      <c r="H1" s="219"/>
      <c r="I1" s="219" t="s">
        <v>89</v>
      </c>
      <c r="J1" s="219"/>
    </row>
    <row r="2" spans="1:10">
      <c r="A2" s="23">
        <v>1</v>
      </c>
      <c r="B2" s="23">
        <v>100</v>
      </c>
      <c r="C2" s="23">
        <v>0</v>
      </c>
      <c r="D2" s="23">
        <v>100</v>
      </c>
      <c r="E2" s="23">
        <v>0</v>
      </c>
      <c r="F2" s="23">
        <v>-40</v>
      </c>
      <c r="G2" s="23">
        <v>22</v>
      </c>
      <c r="H2" s="23">
        <v>10</v>
      </c>
      <c r="I2" s="23">
        <v>22</v>
      </c>
      <c r="J2" s="23">
        <v>-5</v>
      </c>
    </row>
    <row r="3" spans="1:10">
      <c r="A3" s="23">
        <v>2</v>
      </c>
      <c r="B3" s="23">
        <v>75</v>
      </c>
      <c r="C3" s="23">
        <v>1</v>
      </c>
      <c r="D3" s="23">
        <v>100</v>
      </c>
      <c r="E3" s="23">
        <v>0</v>
      </c>
      <c r="F3" s="23">
        <v>-40</v>
      </c>
      <c r="G3" s="23">
        <v>22</v>
      </c>
      <c r="H3" s="23">
        <v>90</v>
      </c>
      <c r="I3" s="23">
        <v>22</v>
      </c>
      <c r="J3" s="23">
        <v>-35</v>
      </c>
    </row>
    <row r="4" spans="1:10">
      <c r="A4" s="23">
        <v>3</v>
      </c>
      <c r="B4" s="23">
        <v>55</v>
      </c>
      <c r="C4" s="23">
        <v>2</v>
      </c>
      <c r="D4" s="23">
        <v>100</v>
      </c>
      <c r="E4" s="23">
        <v>0</v>
      </c>
      <c r="F4" s="23">
        <v>-40</v>
      </c>
      <c r="G4" s="23"/>
      <c r="H4" s="23"/>
      <c r="I4" s="23"/>
    </row>
    <row r="5" spans="1:10">
      <c r="A5" s="23">
        <v>4</v>
      </c>
      <c r="B5" s="23">
        <v>37</v>
      </c>
      <c r="C5" s="23">
        <v>3</v>
      </c>
      <c r="D5" s="23">
        <v>100</v>
      </c>
      <c r="E5" s="23">
        <v>0</v>
      </c>
      <c r="F5" s="23">
        <v>-40</v>
      </c>
      <c r="G5" s="23"/>
      <c r="H5" s="23"/>
      <c r="I5" s="23"/>
    </row>
    <row r="6" spans="1:10">
      <c r="A6" s="23">
        <v>5</v>
      </c>
      <c r="B6" s="23">
        <v>25</v>
      </c>
      <c r="C6" s="23">
        <v>4</v>
      </c>
      <c r="D6" s="23">
        <v>100</v>
      </c>
      <c r="E6" s="23">
        <v>0</v>
      </c>
      <c r="F6" s="23">
        <v>-40</v>
      </c>
      <c r="G6" s="23"/>
      <c r="H6" s="23"/>
      <c r="I6" s="23"/>
    </row>
    <row r="7" spans="1:10">
      <c r="A7" s="23">
        <v>6</v>
      </c>
      <c r="B7" s="23">
        <v>17</v>
      </c>
      <c r="C7" s="23">
        <v>5</v>
      </c>
      <c r="D7" s="23">
        <v>100</v>
      </c>
      <c r="E7" s="23">
        <v>0</v>
      </c>
      <c r="F7" s="23">
        <v>-40</v>
      </c>
      <c r="G7" s="23"/>
      <c r="H7" s="23"/>
      <c r="I7" s="23"/>
    </row>
    <row r="8" spans="1:10">
      <c r="A8" s="23">
        <v>7</v>
      </c>
      <c r="B8" s="23">
        <v>12</v>
      </c>
      <c r="C8" s="23">
        <v>6</v>
      </c>
      <c r="D8" s="23">
        <v>100</v>
      </c>
      <c r="E8" s="23">
        <v>0</v>
      </c>
      <c r="F8" s="23">
        <v>-40</v>
      </c>
      <c r="G8" s="23"/>
      <c r="H8" s="23"/>
      <c r="I8" s="23"/>
    </row>
    <row r="9" spans="1:10">
      <c r="A9" s="23">
        <v>8</v>
      </c>
      <c r="B9" s="23">
        <v>8.25</v>
      </c>
      <c r="C9" s="23">
        <v>7</v>
      </c>
      <c r="D9" s="23">
        <v>100</v>
      </c>
      <c r="E9" s="23">
        <v>0</v>
      </c>
      <c r="F9" s="23">
        <v>-40</v>
      </c>
      <c r="G9" s="23"/>
      <c r="H9" s="23"/>
      <c r="I9" s="23"/>
    </row>
    <row r="10" spans="1:10">
      <c r="A10" s="23">
        <v>9</v>
      </c>
      <c r="B10" s="23">
        <v>5.5</v>
      </c>
      <c r="C10" s="23">
        <v>8</v>
      </c>
      <c r="D10" s="23">
        <v>100</v>
      </c>
      <c r="E10" s="23">
        <v>0</v>
      </c>
      <c r="F10" s="23">
        <v>-40</v>
      </c>
      <c r="G10" s="23"/>
      <c r="H10" s="23"/>
      <c r="I10" s="23"/>
    </row>
    <row r="11" spans="1:10">
      <c r="A11" s="23">
        <v>10</v>
      </c>
      <c r="B11" s="23">
        <v>4</v>
      </c>
      <c r="C11" s="23">
        <v>9</v>
      </c>
      <c r="D11" s="23">
        <v>100</v>
      </c>
      <c r="E11" s="23">
        <v>0</v>
      </c>
      <c r="F11" s="23">
        <v>-40</v>
      </c>
      <c r="G11" s="23"/>
      <c r="H11" s="23"/>
      <c r="I11" s="23"/>
    </row>
    <row r="12" spans="1:10">
      <c r="A12" s="23">
        <v>11</v>
      </c>
      <c r="B12" s="23">
        <v>3.2</v>
      </c>
      <c r="C12" s="23">
        <v>10</v>
      </c>
      <c r="D12" s="23">
        <v>100</v>
      </c>
      <c r="E12" s="23">
        <v>0</v>
      </c>
      <c r="F12" s="23">
        <v>-40</v>
      </c>
      <c r="G12" s="23"/>
      <c r="H12" s="23"/>
      <c r="I12" s="23"/>
    </row>
    <row r="13" spans="1:10">
      <c r="A13" s="23">
        <v>12</v>
      </c>
      <c r="B13" s="23">
        <v>2.7</v>
      </c>
      <c r="C13" s="23">
        <v>11</v>
      </c>
      <c r="D13" s="23">
        <v>100</v>
      </c>
      <c r="E13" s="23">
        <v>0</v>
      </c>
      <c r="F13" s="23">
        <v>-40</v>
      </c>
      <c r="G13" s="23"/>
      <c r="H13" s="23"/>
      <c r="I13" s="23"/>
    </row>
    <row r="14" spans="1:10">
      <c r="A14" s="23">
        <v>13</v>
      </c>
      <c r="B14" s="23">
        <v>2.2999999999999998</v>
      </c>
      <c r="C14" s="23">
        <v>12</v>
      </c>
      <c r="D14" s="23">
        <v>100</v>
      </c>
      <c r="E14" s="23">
        <v>0</v>
      </c>
      <c r="F14" s="23">
        <v>-40</v>
      </c>
      <c r="G14" s="23"/>
      <c r="H14" s="23"/>
      <c r="I14" s="23"/>
    </row>
    <row r="15" spans="1:10">
      <c r="A15" s="23">
        <v>14</v>
      </c>
      <c r="B15" s="23">
        <v>1.9</v>
      </c>
      <c r="C15" s="23">
        <v>13</v>
      </c>
      <c r="D15" s="23">
        <v>100</v>
      </c>
      <c r="E15" s="23">
        <v>0</v>
      </c>
      <c r="F15" s="23">
        <v>-40</v>
      </c>
      <c r="G15" s="23"/>
      <c r="H15" s="23"/>
      <c r="I15" s="23"/>
    </row>
    <row r="16" spans="1:10">
      <c r="A16" s="23">
        <v>15</v>
      </c>
      <c r="B16" s="23">
        <v>1.7</v>
      </c>
      <c r="C16" s="23">
        <v>14</v>
      </c>
      <c r="D16" s="23">
        <v>100</v>
      </c>
      <c r="E16" s="23">
        <v>0</v>
      </c>
      <c r="F16" s="23">
        <v>-40</v>
      </c>
      <c r="G16" s="23"/>
      <c r="H16" s="23"/>
      <c r="I16" s="23"/>
    </row>
    <row r="17" spans="1:9">
      <c r="A17" s="23">
        <v>16</v>
      </c>
      <c r="B17" s="23">
        <v>1.5</v>
      </c>
      <c r="C17" s="23">
        <v>15</v>
      </c>
      <c r="D17" s="23">
        <v>100</v>
      </c>
      <c r="E17" s="23">
        <v>0</v>
      </c>
      <c r="F17" s="23">
        <v>-40</v>
      </c>
      <c r="G17" s="23"/>
      <c r="H17" s="23"/>
      <c r="I17" s="23"/>
    </row>
    <row r="18" spans="1:9">
      <c r="A18" s="23">
        <v>17</v>
      </c>
      <c r="B18" s="23">
        <v>1.3</v>
      </c>
      <c r="C18" s="23">
        <v>16</v>
      </c>
      <c r="D18" s="23">
        <v>100</v>
      </c>
      <c r="E18" s="23">
        <v>0</v>
      </c>
      <c r="F18" s="23">
        <v>-40</v>
      </c>
      <c r="G18" s="23"/>
      <c r="H18" s="23"/>
      <c r="I18" s="23"/>
    </row>
    <row r="19" spans="1:9">
      <c r="A19" s="23">
        <v>18</v>
      </c>
      <c r="B19" s="23">
        <v>1.2</v>
      </c>
      <c r="C19" s="23">
        <v>17</v>
      </c>
      <c r="D19" s="23">
        <v>100</v>
      </c>
      <c r="E19" s="23">
        <v>0</v>
      </c>
      <c r="F19" s="23">
        <v>-40</v>
      </c>
      <c r="G19" s="23"/>
      <c r="H19" s="23"/>
      <c r="I19" s="23"/>
    </row>
    <row r="20" spans="1:9">
      <c r="A20" s="23">
        <v>19</v>
      </c>
      <c r="B20" s="23">
        <v>1.1000000000000001</v>
      </c>
      <c r="C20" s="23">
        <v>18</v>
      </c>
      <c r="D20" s="23">
        <v>100</v>
      </c>
      <c r="E20" s="23">
        <v>0</v>
      </c>
      <c r="F20" s="23">
        <v>-40</v>
      </c>
      <c r="G20" s="23"/>
      <c r="H20" s="23"/>
      <c r="I20" s="23"/>
    </row>
    <row r="21" spans="1:9">
      <c r="A21" s="23">
        <v>20</v>
      </c>
      <c r="B21" s="23">
        <v>1</v>
      </c>
      <c r="C21" s="23">
        <v>19</v>
      </c>
      <c r="D21" s="23">
        <v>100</v>
      </c>
      <c r="E21" s="23">
        <v>0</v>
      </c>
      <c r="F21" s="23">
        <v>-40</v>
      </c>
      <c r="G21" s="23"/>
      <c r="H21" s="23"/>
      <c r="I21" s="23"/>
    </row>
    <row r="22" spans="1:9">
      <c r="A22" s="23"/>
      <c r="B22" s="23"/>
      <c r="C22" s="23">
        <v>20</v>
      </c>
      <c r="D22" s="23">
        <v>100</v>
      </c>
      <c r="E22" s="23">
        <v>0</v>
      </c>
      <c r="F22" s="23">
        <v>-40</v>
      </c>
      <c r="G22" s="23"/>
      <c r="H22" s="23"/>
      <c r="I22" s="23"/>
    </row>
  </sheetData>
  <mergeCells count="3">
    <mergeCell ref="C1:D1"/>
    <mergeCell ref="G1:H1"/>
    <mergeCell ref="I1: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I49"/>
  <sheetViews>
    <sheetView zoomScale="80" zoomScaleNormal="80" workbookViewId="0"/>
  </sheetViews>
  <sheetFormatPr defaultRowHeight="15"/>
  <cols>
    <col min="1" max="1" width="20.28515625" customWidth="1"/>
    <col min="2" max="2" width="8.140625" bestFit="1" customWidth="1"/>
    <col min="3" max="9" width="7.7109375" customWidth="1"/>
  </cols>
  <sheetData>
    <row r="1" spans="1:9" ht="18.75">
      <c r="A1" s="40"/>
      <c r="B1" s="40"/>
      <c r="C1" s="40"/>
      <c r="D1" s="40"/>
      <c r="E1" s="40"/>
      <c r="F1" s="40"/>
      <c r="G1" s="40"/>
      <c r="H1" s="40"/>
      <c r="I1" s="40"/>
    </row>
    <row r="2" spans="1:9">
      <c r="B2" s="5"/>
      <c r="C2" s="5"/>
      <c r="D2" s="5"/>
      <c r="E2" s="5"/>
      <c r="F2" s="5"/>
      <c r="G2" s="5"/>
      <c r="H2" s="5"/>
      <c r="I2" s="5"/>
    </row>
    <row r="3" spans="1:9" ht="19.899999999999999" customHeight="1">
      <c r="A3" s="1" t="s">
        <v>1</v>
      </c>
      <c r="B3" s="1" t="s">
        <v>11</v>
      </c>
      <c r="C3" s="1" t="str">
        <f>'3 Proxy Sum'!C5</f>
        <v>AWR</v>
      </c>
      <c r="D3" s="1" t="str">
        <f>'3 Proxy Sum'!C6</f>
        <v>AWK</v>
      </c>
      <c r="E3" s="1" t="str">
        <f>'3 Proxy Sum'!C7</f>
        <v>WTRG</v>
      </c>
      <c r="F3" s="1" t="str">
        <f>'3 Proxy Sum'!C8</f>
        <v>ARTNA</v>
      </c>
      <c r="G3" s="1" t="str">
        <f>'3 Proxy Sum'!C9</f>
        <v>CWT</v>
      </c>
      <c r="H3" s="1" t="str">
        <f>'3 Proxy Sum'!C10</f>
        <v>MSEX</v>
      </c>
      <c r="I3" s="1" t="str">
        <f>'3 Proxy Sum'!C11</f>
        <v>YORW</v>
      </c>
    </row>
    <row r="4" spans="1:9" ht="19.899999999999999" customHeight="1">
      <c r="C4" s="1"/>
      <c r="D4" s="1"/>
      <c r="E4" s="1"/>
      <c r="F4" s="1"/>
      <c r="G4" s="1"/>
      <c r="H4" s="1"/>
    </row>
    <row r="5" spans="1:9" ht="19.899999999999999" customHeight="1">
      <c r="A5" s="2" t="s">
        <v>9</v>
      </c>
      <c r="B5" s="20">
        <f>AVERAGE(B8:B37)</f>
        <v>5787.4220000000014</v>
      </c>
      <c r="C5" s="19">
        <f t="shared" ref="C5:H5" si="0">AVERAGE(C8:C37)</f>
        <v>83.674333333333323</v>
      </c>
      <c r="D5" s="19">
        <f t="shared" ref="D5" si="1">AVERAGE(D8:D37)</f>
        <v>139.92266666666666</v>
      </c>
      <c r="E5" s="19">
        <f t="shared" si="0"/>
        <v>39.164999999999999</v>
      </c>
      <c r="F5" s="19">
        <f t="shared" si="0"/>
        <v>35.360999999999997</v>
      </c>
      <c r="G5" s="19">
        <f t="shared" si="0"/>
        <v>52.479000000000013</v>
      </c>
      <c r="H5" s="19">
        <f t="shared" si="0"/>
        <v>64.312333333333328</v>
      </c>
      <c r="I5" s="19">
        <f t="shared" ref="I5" si="2">AVERAGE(I8:I37)</f>
        <v>36.570000000000007</v>
      </c>
    </row>
    <row r="6" spans="1:9" ht="19.899999999999999" customHeight="1">
      <c r="A6" s="35" t="s">
        <v>8</v>
      </c>
      <c r="B6" s="36">
        <f>STDEV(B8:B37)</f>
        <v>59.86158081717393</v>
      </c>
      <c r="C6" s="37">
        <f t="shared" ref="C6:H6" si="3">STDEV(C8:C37)</f>
        <v>1.4471629399320043</v>
      </c>
      <c r="D6" s="37">
        <f t="shared" ref="D6" si="4">STDEV(D8:D37)</f>
        <v>3.5736409843543964</v>
      </c>
      <c r="E6" s="37">
        <f t="shared" si="3"/>
        <v>0.87145043580743309</v>
      </c>
      <c r="F6" s="37">
        <f t="shared" si="3"/>
        <v>1.1508088609681277</v>
      </c>
      <c r="G6" s="37">
        <f t="shared" si="3"/>
        <v>1.1783985333698768</v>
      </c>
      <c r="H6" s="37">
        <f t="shared" si="3"/>
        <v>1.5845388393262347</v>
      </c>
      <c r="I6" s="37">
        <f t="shared" ref="I6" si="5">STDEV(I8:I37)</f>
        <v>0.91780848426733541</v>
      </c>
    </row>
    <row r="7" spans="1:9" ht="19.899999999999999" customHeight="1">
      <c r="A7" s="18"/>
      <c r="C7" s="1"/>
      <c r="D7" s="1"/>
      <c r="E7" s="1"/>
      <c r="F7" s="1"/>
      <c r="G7" s="1"/>
      <c r="H7" s="1"/>
    </row>
    <row r="8" spans="1:9" ht="19.899999999999999" customHeight="1">
      <c r="A8" s="33">
        <v>45602</v>
      </c>
      <c r="B8" s="21">
        <v>5929.04</v>
      </c>
      <c r="C8" s="3">
        <v>85.63</v>
      </c>
      <c r="D8" s="3">
        <v>133.58000000000001</v>
      </c>
      <c r="E8" s="3">
        <v>40.35</v>
      </c>
      <c r="F8" s="3">
        <v>36.380000000000003</v>
      </c>
      <c r="G8" s="3">
        <v>52.31</v>
      </c>
      <c r="H8" s="3">
        <v>68.61</v>
      </c>
      <c r="I8" s="3">
        <v>38.15</v>
      </c>
    </row>
    <row r="9" spans="1:9" ht="19.899999999999999" customHeight="1">
      <c r="A9" s="33">
        <v>45601</v>
      </c>
      <c r="B9" s="21">
        <v>5782.76</v>
      </c>
      <c r="C9" s="3">
        <v>84.76</v>
      </c>
      <c r="D9" s="3">
        <v>137.11000000000001</v>
      </c>
      <c r="E9" s="3">
        <v>40.119999999999997</v>
      </c>
      <c r="F9" s="3">
        <v>36.08</v>
      </c>
      <c r="G9" s="3">
        <v>51.09</v>
      </c>
      <c r="H9" s="3">
        <v>66.849999999999994</v>
      </c>
      <c r="I9" s="3">
        <v>36.74</v>
      </c>
    </row>
    <row r="10" spans="1:9" ht="19.899999999999999" customHeight="1">
      <c r="A10" s="33">
        <v>45600</v>
      </c>
      <c r="B10" s="21">
        <v>5712.69</v>
      </c>
      <c r="C10" s="3">
        <v>82.48</v>
      </c>
      <c r="D10" s="3">
        <v>135.30000000000001</v>
      </c>
      <c r="E10" s="3">
        <v>38.630000000000003</v>
      </c>
      <c r="F10" s="3">
        <v>33.28</v>
      </c>
      <c r="G10" s="3">
        <v>49.73</v>
      </c>
      <c r="H10" s="3">
        <v>64.27</v>
      </c>
      <c r="I10" s="3">
        <v>35.44</v>
      </c>
    </row>
    <row r="11" spans="1:9" ht="19.899999999999999" customHeight="1">
      <c r="A11" s="33">
        <v>45597</v>
      </c>
      <c r="B11" s="21">
        <v>5728.8</v>
      </c>
      <c r="C11" s="3">
        <v>81.59</v>
      </c>
      <c r="D11" s="3">
        <v>136</v>
      </c>
      <c r="E11" s="3">
        <v>38.24</v>
      </c>
      <c r="F11" s="3">
        <v>33.18</v>
      </c>
      <c r="G11" s="3">
        <v>50.14</v>
      </c>
      <c r="H11" s="3">
        <v>65.27</v>
      </c>
      <c r="I11" s="3">
        <v>35.28</v>
      </c>
    </row>
    <row r="12" spans="1:9" ht="19.899999999999999" customHeight="1">
      <c r="A12" s="33">
        <v>45596</v>
      </c>
      <c r="B12" s="21">
        <v>5705.45</v>
      </c>
      <c r="C12" s="3">
        <v>82.46</v>
      </c>
      <c r="D12" s="3">
        <v>138.11000000000001</v>
      </c>
      <c r="E12" s="3">
        <v>38.6</v>
      </c>
      <c r="F12" s="3">
        <v>33.51</v>
      </c>
      <c r="G12" s="3">
        <v>51.96</v>
      </c>
      <c r="H12" s="3">
        <v>61.19</v>
      </c>
      <c r="I12" s="3">
        <v>35.17</v>
      </c>
    </row>
    <row r="13" spans="1:9" ht="19.899999999999999" customHeight="1">
      <c r="A13" s="33">
        <v>45595</v>
      </c>
      <c r="B13" s="21">
        <v>5813.67</v>
      </c>
      <c r="C13" s="3">
        <v>82.38</v>
      </c>
      <c r="D13" s="3">
        <v>135.69</v>
      </c>
      <c r="E13" s="3">
        <v>38.74</v>
      </c>
      <c r="F13" s="3">
        <v>33.54</v>
      </c>
      <c r="G13" s="3">
        <v>51.29</v>
      </c>
      <c r="H13" s="3">
        <v>62.48</v>
      </c>
      <c r="I13" s="3">
        <v>35.51</v>
      </c>
    </row>
    <row r="14" spans="1:9" ht="19.899999999999999" customHeight="1">
      <c r="A14" s="33">
        <v>45594</v>
      </c>
      <c r="B14" s="21">
        <v>5832.92</v>
      </c>
      <c r="C14" s="3">
        <v>82.54</v>
      </c>
      <c r="D14" s="3">
        <v>135.80000000000001</v>
      </c>
      <c r="E14" s="3">
        <v>38.5</v>
      </c>
      <c r="F14" s="3">
        <v>33.78</v>
      </c>
      <c r="G14" s="3">
        <v>51.3</v>
      </c>
      <c r="H14" s="3">
        <v>63.51</v>
      </c>
      <c r="I14" s="3">
        <v>35.57</v>
      </c>
    </row>
    <row r="15" spans="1:9" ht="19.899999999999999" customHeight="1">
      <c r="A15" s="33">
        <v>45593</v>
      </c>
      <c r="B15" s="21">
        <v>5823.52</v>
      </c>
      <c r="C15" s="3">
        <v>83.27</v>
      </c>
      <c r="D15" s="3">
        <v>138.79</v>
      </c>
      <c r="E15" s="3">
        <v>39.159999999999997</v>
      </c>
      <c r="F15" s="3">
        <v>34.31</v>
      </c>
      <c r="G15" s="3">
        <v>51.62</v>
      </c>
      <c r="H15" s="3">
        <v>64.45</v>
      </c>
      <c r="I15" s="3">
        <v>35.86</v>
      </c>
    </row>
    <row r="16" spans="1:9" ht="19.899999999999999" customHeight="1">
      <c r="A16" s="33">
        <v>45590</v>
      </c>
      <c r="B16" s="21">
        <v>5808.12</v>
      </c>
      <c r="C16" s="3">
        <v>82.34</v>
      </c>
      <c r="D16" s="3">
        <v>137.66</v>
      </c>
      <c r="E16" s="3">
        <v>38.840000000000003</v>
      </c>
      <c r="F16" s="3">
        <v>33.9</v>
      </c>
      <c r="G16" s="3">
        <v>51.62</v>
      </c>
      <c r="H16" s="3">
        <v>63.35</v>
      </c>
      <c r="I16" s="3">
        <v>35.549999999999997</v>
      </c>
    </row>
    <row r="17" spans="1:9" ht="19.899999999999999" customHeight="1">
      <c r="A17" s="33">
        <v>45589</v>
      </c>
      <c r="B17" s="21">
        <v>5809.86</v>
      </c>
      <c r="C17" s="3">
        <v>83.34</v>
      </c>
      <c r="D17" s="3">
        <v>139.80000000000001</v>
      </c>
      <c r="E17" s="3">
        <v>39.43</v>
      </c>
      <c r="F17" s="3">
        <v>34.549999999999997</v>
      </c>
      <c r="G17" s="3">
        <v>52.14</v>
      </c>
      <c r="H17" s="3">
        <v>63.44</v>
      </c>
      <c r="I17" s="3">
        <v>36.06</v>
      </c>
    </row>
    <row r="18" spans="1:9" ht="19.899999999999999" customHeight="1">
      <c r="A18" s="33">
        <v>45588</v>
      </c>
      <c r="B18" s="21">
        <v>5797.42</v>
      </c>
      <c r="C18" s="3">
        <v>84.42</v>
      </c>
      <c r="D18" s="3">
        <v>142.12</v>
      </c>
      <c r="E18" s="3">
        <v>40.29</v>
      </c>
      <c r="F18" s="3">
        <v>34.65</v>
      </c>
      <c r="G18" s="3">
        <v>52.98</v>
      </c>
      <c r="H18" s="3">
        <v>64.959999999999994</v>
      </c>
      <c r="I18" s="3">
        <v>36.97</v>
      </c>
    </row>
    <row r="19" spans="1:9" ht="19.899999999999999" customHeight="1">
      <c r="A19" s="33">
        <v>45587</v>
      </c>
      <c r="B19" s="21">
        <v>5851.2</v>
      </c>
      <c r="C19" s="3">
        <v>83.64</v>
      </c>
      <c r="D19" s="3">
        <v>140.75</v>
      </c>
      <c r="E19" s="3">
        <v>40.49</v>
      </c>
      <c r="F19" s="3">
        <v>34.92</v>
      </c>
      <c r="G19" s="3">
        <v>52.85</v>
      </c>
      <c r="H19" s="3">
        <v>64.66</v>
      </c>
      <c r="I19" s="3">
        <v>37.21</v>
      </c>
    </row>
    <row r="20" spans="1:9" ht="19.899999999999999" customHeight="1">
      <c r="A20" s="33">
        <v>45586</v>
      </c>
      <c r="B20" s="21">
        <v>5853.98</v>
      </c>
      <c r="C20" s="3">
        <v>84.72</v>
      </c>
      <c r="D20" s="3">
        <v>141.05000000000001</v>
      </c>
      <c r="E20" s="3">
        <v>40.380000000000003</v>
      </c>
      <c r="F20" s="3">
        <v>35.4</v>
      </c>
      <c r="G20" s="3">
        <v>53.33</v>
      </c>
      <c r="H20" s="3">
        <v>64.930000000000007</v>
      </c>
      <c r="I20" s="3">
        <v>37.44</v>
      </c>
    </row>
    <row r="21" spans="1:9" ht="19.899999999999999" customHeight="1">
      <c r="A21" s="33">
        <v>45583</v>
      </c>
      <c r="B21" s="21">
        <v>5864.67</v>
      </c>
      <c r="C21" s="3">
        <v>85.63</v>
      </c>
      <c r="D21" s="3">
        <v>141.96</v>
      </c>
      <c r="E21" s="3">
        <v>40.549999999999997</v>
      </c>
      <c r="F21" s="3">
        <v>35.49</v>
      </c>
      <c r="G21" s="3">
        <v>53.63</v>
      </c>
      <c r="H21" s="3">
        <v>65.63</v>
      </c>
      <c r="I21" s="3">
        <v>37.92</v>
      </c>
    </row>
    <row r="22" spans="1:9" ht="19.899999999999999" customHeight="1">
      <c r="A22" s="33">
        <v>45582</v>
      </c>
      <c r="B22" s="21">
        <v>5841.47</v>
      </c>
      <c r="C22" s="3">
        <v>85.87</v>
      </c>
      <c r="D22" s="3">
        <v>140.79</v>
      </c>
      <c r="E22" s="3">
        <v>40.08</v>
      </c>
      <c r="F22" s="3">
        <v>35.89</v>
      </c>
      <c r="G22" s="3">
        <v>53.68</v>
      </c>
      <c r="H22" s="3">
        <v>65.930000000000007</v>
      </c>
      <c r="I22" s="3">
        <v>37.799999999999997</v>
      </c>
    </row>
    <row r="23" spans="1:9" ht="19.899999999999999" customHeight="1">
      <c r="A23" s="33">
        <v>45581</v>
      </c>
      <c r="B23" s="21">
        <v>5842.47</v>
      </c>
      <c r="C23" s="3">
        <v>87.24</v>
      </c>
      <c r="D23" s="3">
        <v>142.58000000000001</v>
      </c>
      <c r="E23" s="3">
        <v>40.479999999999997</v>
      </c>
      <c r="F23" s="3">
        <v>36.340000000000003</v>
      </c>
      <c r="G23" s="3">
        <v>54.62</v>
      </c>
      <c r="H23" s="3">
        <v>67.209999999999994</v>
      </c>
      <c r="I23" s="3">
        <v>38.04</v>
      </c>
    </row>
    <row r="24" spans="1:9" ht="19.899999999999999" customHeight="1">
      <c r="A24" s="33">
        <v>45580</v>
      </c>
      <c r="B24" s="21">
        <v>5815.26</v>
      </c>
      <c r="C24" s="3">
        <v>86.01</v>
      </c>
      <c r="D24" s="3">
        <v>141.19999999999999</v>
      </c>
      <c r="E24" s="3">
        <v>40.369999999999997</v>
      </c>
      <c r="F24" s="3">
        <v>35.99</v>
      </c>
      <c r="G24" s="3">
        <v>53.78</v>
      </c>
      <c r="H24" s="3">
        <v>65.22</v>
      </c>
      <c r="I24" s="3">
        <v>37.270000000000003</v>
      </c>
    </row>
    <row r="25" spans="1:9" ht="19.899999999999999" customHeight="1">
      <c r="A25" s="33">
        <v>45579</v>
      </c>
      <c r="B25" s="21">
        <v>5859.85</v>
      </c>
      <c r="C25" s="3">
        <v>85.38</v>
      </c>
      <c r="D25" s="3">
        <v>140.37</v>
      </c>
      <c r="E25" s="3">
        <v>39.9</v>
      </c>
      <c r="F25" s="3">
        <v>36.020000000000003</v>
      </c>
      <c r="G25" s="3">
        <v>53.22</v>
      </c>
      <c r="H25" s="3">
        <v>64.59</v>
      </c>
      <c r="I25" s="3">
        <v>36.61</v>
      </c>
    </row>
    <row r="26" spans="1:9" ht="19.899999999999999" customHeight="1">
      <c r="A26" s="33">
        <v>45576</v>
      </c>
      <c r="B26" s="21">
        <v>5815.03</v>
      </c>
      <c r="C26" s="3">
        <v>83.11</v>
      </c>
      <c r="D26" s="3">
        <v>138.87</v>
      </c>
      <c r="E26" s="3">
        <v>39.159999999999997</v>
      </c>
      <c r="F26" s="3">
        <v>35.729999999999997</v>
      </c>
      <c r="G26" s="3">
        <v>52.38</v>
      </c>
      <c r="H26" s="3">
        <v>63.22</v>
      </c>
      <c r="I26" s="3">
        <v>36.26</v>
      </c>
    </row>
    <row r="27" spans="1:9" ht="19.899999999999999" customHeight="1">
      <c r="A27" s="33">
        <v>45575</v>
      </c>
      <c r="B27" s="21">
        <v>5780.05</v>
      </c>
      <c r="C27" s="3">
        <v>82.26</v>
      </c>
      <c r="D27" s="3">
        <v>136.22</v>
      </c>
      <c r="E27" s="3">
        <v>38.450000000000003</v>
      </c>
      <c r="F27" s="3">
        <v>35.409999999999997</v>
      </c>
      <c r="G27" s="3">
        <v>51.42</v>
      </c>
      <c r="H27" s="3">
        <v>62.12</v>
      </c>
      <c r="I27" s="3">
        <v>35.68</v>
      </c>
    </row>
    <row r="28" spans="1:9" ht="19.899999999999999" customHeight="1">
      <c r="A28" s="33">
        <v>45574</v>
      </c>
      <c r="B28" s="21">
        <v>5792.04</v>
      </c>
      <c r="C28" s="3">
        <v>82.75</v>
      </c>
      <c r="D28" s="3">
        <v>136.18</v>
      </c>
      <c r="E28" s="3">
        <v>38.6</v>
      </c>
      <c r="F28" s="3">
        <v>35.68</v>
      </c>
      <c r="G28" s="3">
        <v>51.91</v>
      </c>
      <c r="H28" s="3">
        <v>63.12</v>
      </c>
      <c r="I28" s="3">
        <v>35.78</v>
      </c>
    </row>
    <row r="29" spans="1:9" ht="19.899999999999999" customHeight="1">
      <c r="A29" s="33">
        <v>45573</v>
      </c>
      <c r="B29" s="21">
        <v>5751.13</v>
      </c>
      <c r="C29" s="3">
        <v>82.56</v>
      </c>
      <c r="D29" s="3">
        <v>137.38999999999999</v>
      </c>
      <c r="E29" s="3">
        <v>38.299999999999997</v>
      </c>
      <c r="F29" s="3">
        <v>35.28</v>
      </c>
      <c r="G29" s="3">
        <v>51.76</v>
      </c>
      <c r="H29" s="3">
        <v>62.95</v>
      </c>
      <c r="I29" s="3">
        <v>35.6</v>
      </c>
    </row>
    <row r="30" spans="1:9" ht="19.899999999999999" customHeight="1">
      <c r="A30" s="33">
        <v>45572</v>
      </c>
      <c r="B30" s="21">
        <v>5695.94</v>
      </c>
      <c r="C30" s="3">
        <v>82.76</v>
      </c>
      <c r="D30" s="3">
        <v>136.99</v>
      </c>
      <c r="E30" s="3">
        <v>38.229999999999997</v>
      </c>
      <c r="F30" s="3">
        <v>35.369999999999997</v>
      </c>
      <c r="G30" s="3">
        <v>51.87</v>
      </c>
      <c r="H30" s="3">
        <v>62.34</v>
      </c>
      <c r="I30" s="3">
        <v>35.82</v>
      </c>
    </row>
    <row r="31" spans="1:9" ht="19.899999999999999" customHeight="1">
      <c r="A31" s="33">
        <v>45569</v>
      </c>
      <c r="B31" s="21">
        <v>5751.07</v>
      </c>
      <c r="C31" s="3">
        <v>83.77</v>
      </c>
      <c r="D31" s="3">
        <v>142.57</v>
      </c>
      <c r="E31" s="3">
        <v>38.25</v>
      </c>
      <c r="F31" s="3">
        <v>36.200000000000003</v>
      </c>
      <c r="G31" s="3">
        <v>53.08</v>
      </c>
      <c r="H31" s="3">
        <v>63.37</v>
      </c>
      <c r="I31" s="3">
        <v>36.479999999999997</v>
      </c>
    </row>
    <row r="32" spans="1:9" ht="19.899999999999999" customHeight="1">
      <c r="A32" s="33">
        <v>45568</v>
      </c>
      <c r="B32" s="21">
        <v>5699.94</v>
      </c>
      <c r="C32" s="3">
        <v>83.7</v>
      </c>
      <c r="D32" s="3">
        <v>144.68</v>
      </c>
      <c r="E32" s="3">
        <v>38.68</v>
      </c>
      <c r="F32" s="3">
        <v>36.1</v>
      </c>
      <c r="G32" s="3">
        <v>52.92</v>
      </c>
      <c r="H32" s="3">
        <v>63.29</v>
      </c>
      <c r="I32" s="3">
        <v>36.47</v>
      </c>
    </row>
    <row r="33" spans="1:9" ht="19.899999999999999" customHeight="1">
      <c r="A33" s="33">
        <v>45567</v>
      </c>
      <c r="B33" s="21">
        <v>5709.54</v>
      </c>
      <c r="C33" s="3">
        <v>84.41</v>
      </c>
      <c r="D33" s="3">
        <v>146.1</v>
      </c>
      <c r="E33" s="3">
        <v>38.72</v>
      </c>
      <c r="F33" s="3">
        <v>36.68</v>
      </c>
      <c r="G33" s="3">
        <v>53.67</v>
      </c>
      <c r="H33" s="3">
        <v>63.95</v>
      </c>
      <c r="I33" s="3">
        <v>37.020000000000003</v>
      </c>
    </row>
    <row r="34" spans="1:9" ht="19.899999999999999" customHeight="1">
      <c r="A34" s="33">
        <v>45566</v>
      </c>
      <c r="B34" s="21">
        <v>5708.75</v>
      </c>
      <c r="C34" s="3">
        <v>83.88</v>
      </c>
      <c r="D34" s="3">
        <v>145.66999999999999</v>
      </c>
      <c r="E34" s="3">
        <v>38.33</v>
      </c>
      <c r="F34" s="3">
        <v>36.99</v>
      </c>
      <c r="G34" s="3">
        <v>53.71</v>
      </c>
      <c r="H34" s="3">
        <v>64.88</v>
      </c>
      <c r="I34" s="3">
        <v>37.28</v>
      </c>
    </row>
    <row r="35" spans="1:9" ht="19.899999999999999" customHeight="1">
      <c r="A35" s="33">
        <v>45565</v>
      </c>
      <c r="B35" s="21">
        <v>5762.48</v>
      </c>
      <c r="C35" s="3">
        <v>83.29</v>
      </c>
      <c r="D35" s="3">
        <v>146.24</v>
      </c>
      <c r="E35" s="3">
        <v>38.57</v>
      </c>
      <c r="F35" s="3">
        <v>37.18</v>
      </c>
      <c r="G35" s="3">
        <v>54.22</v>
      </c>
      <c r="H35" s="3">
        <v>65.239999999999995</v>
      </c>
      <c r="I35" s="3">
        <v>37.46</v>
      </c>
    </row>
    <row r="36" spans="1:9" ht="19.899999999999999" customHeight="1">
      <c r="A36" s="33">
        <v>45562</v>
      </c>
      <c r="B36" s="21">
        <v>5738.17</v>
      </c>
      <c r="C36" s="3">
        <v>82.58</v>
      </c>
      <c r="D36" s="3">
        <v>144.93</v>
      </c>
      <c r="E36" s="3">
        <v>38.4</v>
      </c>
      <c r="F36" s="3">
        <v>36.65</v>
      </c>
      <c r="G36" s="3">
        <v>53.49</v>
      </c>
      <c r="H36" s="3">
        <v>64.67</v>
      </c>
      <c r="I36" s="3">
        <v>37.520000000000003</v>
      </c>
    </row>
    <row r="37" spans="1:9" ht="19.899999999999999" customHeight="1">
      <c r="A37" s="33">
        <v>45561</v>
      </c>
      <c r="B37" s="21">
        <v>5745.37</v>
      </c>
      <c r="C37" s="3">
        <v>81.459999999999994</v>
      </c>
      <c r="D37" s="3">
        <v>143.18</v>
      </c>
      <c r="E37" s="3">
        <v>38.11</v>
      </c>
      <c r="F37" s="3">
        <v>36.35</v>
      </c>
      <c r="G37" s="3">
        <v>52.65</v>
      </c>
      <c r="H37" s="3">
        <v>63.67</v>
      </c>
      <c r="I37" s="3">
        <v>37.14</v>
      </c>
    </row>
    <row r="38" spans="1:9">
      <c r="A38" s="42"/>
      <c r="B38" s="42"/>
      <c r="C38" s="19"/>
      <c r="D38" s="19"/>
      <c r="E38" s="19"/>
      <c r="F38" s="19"/>
      <c r="G38" s="19"/>
      <c r="H38" s="19"/>
      <c r="I38" s="15"/>
    </row>
    <row r="39" spans="1:9">
      <c r="A39" s="43"/>
      <c r="B39" s="43"/>
      <c r="C39" s="3"/>
      <c r="D39" s="3"/>
      <c r="E39" s="3"/>
      <c r="F39" s="3"/>
      <c r="G39" s="3"/>
      <c r="H39" s="3"/>
    </row>
    <row r="40" spans="1:9">
      <c r="A40" s="6"/>
      <c r="B40" s="6"/>
    </row>
    <row r="41" spans="1:9" s="44" customFormat="1" ht="14.45" customHeight="1">
      <c r="A41" s="212" t="s">
        <v>71</v>
      </c>
      <c r="B41" s="212"/>
      <c r="C41" s="212"/>
      <c r="D41" s="212"/>
      <c r="E41" s="212"/>
      <c r="F41" s="212"/>
      <c r="G41" s="212"/>
      <c r="H41" s="212"/>
      <c r="I41" s="212"/>
    </row>
    <row r="42" spans="1:9">
      <c r="A42" s="6"/>
      <c r="B42" s="6"/>
    </row>
    <row r="43" spans="1:9">
      <c r="A43" s="6"/>
      <c r="B43" s="6"/>
    </row>
    <row r="44" spans="1:9">
      <c r="A44" s="6"/>
      <c r="B44" s="6"/>
    </row>
    <row r="45" spans="1:9">
      <c r="A45" s="6"/>
      <c r="B45" s="6"/>
    </row>
    <row r="46" spans="1:9">
      <c r="A46" s="6"/>
      <c r="B46" s="6"/>
    </row>
    <row r="47" spans="1:9">
      <c r="A47" s="6"/>
      <c r="B47" s="6"/>
    </row>
    <row r="48" spans="1:9">
      <c r="A48" s="6"/>
      <c r="B48" s="6"/>
    </row>
    <row r="49" spans="1:2">
      <c r="A49" s="6"/>
      <c r="B49" s="6"/>
    </row>
  </sheetData>
  <mergeCells count="1">
    <mergeCell ref="A41:I41"/>
  </mergeCells>
  <printOptions horizontalCentered="1"/>
  <pageMargins left="0.7" right="0.7" top="0.75" bottom="0.75" header="0.3" footer="0.3"/>
  <pageSetup scale="66" orientation="landscape" r:id="rId1"/>
  <headerFooter scaleWithDoc="0">
    <oddHeader>&amp;C&amp;"-,Bold"&amp;14DCF - Stock and Index Prices&amp;RExhibit DJG-4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L23"/>
  <sheetViews>
    <sheetView zoomScaleNormal="100" workbookViewId="0"/>
  </sheetViews>
  <sheetFormatPr defaultColWidth="8.85546875"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1.7109375" customWidth="1"/>
    <col min="6" max="6" width="2.7109375" customWidth="1"/>
    <col min="7" max="7" width="11.7109375" customWidth="1"/>
    <col min="8" max="8" width="2.7109375" customWidth="1"/>
    <col min="9" max="9" width="11.7109375" customWidth="1"/>
  </cols>
  <sheetData>
    <row r="1" spans="1:12" ht="18.75">
      <c r="A1" s="40"/>
      <c r="B1" s="40"/>
      <c r="C1" s="40"/>
      <c r="D1" s="40"/>
      <c r="E1" s="40"/>
      <c r="F1" s="40"/>
      <c r="G1" s="40"/>
      <c r="H1" s="40"/>
      <c r="I1" s="40"/>
    </row>
    <row r="3" spans="1:12" ht="19.899999999999999" customHeight="1">
      <c r="E3" s="1" t="s">
        <v>3</v>
      </c>
      <c r="F3" s="1"/>
      <c r="G3" s="1" t="s">
        <v>4</v>
      </c>
      <c r="H3" s="1"/>
      <c r="I3" s="1" t="s">
        <v>5</v>
      </c>
    </row>
    <row r="4" spans="1:12" ht="19.899999999999999" customHeight="1">
      <c r="E4" s="1"/>
      <c r="F4" s="1"/>
      <c r="G4" s="1"/>
      <c r="H4" s="1"/>
      <c r="I4" s="1"/>
    </row>
    <row r="5" spans="1:12" ht="19.899999999999999" customHeight="1">
      <c r="C5" s="1"/>
      <c r="D5" s="1"/>
      <c r="E5" s="1" t="s">
        <v>182</v>
      </c>
      <c r="F5" s="1"/>
      <c r="G5" s="1" t="s">
        <v>74</v>
      </c>
      <c r="H5" s="1"/>
      <c r="I5" s="1" t="s">
        <v>55</v>
      </c>
    </row>
    <row r="6" spans="1:12" ht="19.899999999999999" customHeight="1">
      <c r="A6" s="2" t="s">
        <v>0</v>
      </c>
      <c r="B6" s="1"/>
      <c r="C6" s="2" t="s">
        <v>1</v>
      </c>
      <c r="D6" s="1"/>
      <c r="E6" s="4" t="s">
        <v>55</v>
      </c>
      <c r="F6" s="5"/>
      <c r="G6" s="4" t="s">
        <v>2</v>
      </c>
      <c r="H6" s="5"/>
      <c r="I6" s="4" t="s">
        <v>73</v>
      </c>
    </row>
    <row r="7" spans="1:12" ht="19.899999999999999" customHeight="1">
      <c r="A7" s="1"/>
      <c r="B7" s="1"/>
      <c r="C7" s="1"/>
      <c r="D7" s="1"/>
      <c r="E7" s="5"/>
      <c r="F7" s="5"/>
      <c r="G7" s="5"/>
      <c r="H7" s="5"/>
      <c r="I7" s="5"/>
    </row>
    <row r="8" spans="1:12" ht="19.899999999999999" customHeight="1">
      <c r="A8" t="str">
        <f>'3 Proxy Sum'!A5</f>
        <v>American States Water Co.</v>
      </c>
      <c r="C8" s="34" t="str">
        <f>'3 Proxy Sum'!C5</f>
        <v>AWR</v>
      </c>
      <c r="D8" s="1"/>
      <c r="E8" s="52">
        <v>1.86</v>
      </c>
      <c r="F8" s="54"/>
      <c r="G8" s="162">
        <f>'4 Stock Price'!C5</f>
        <v>83.674333333333323</v>
      </c>
      <c r="H8" s="8"/>
      <c r="I8" s="168">
        <f>E8/G8</f>
        <v>2.22290387733395E-2</v>
      </c>
      <c r="K8" s="142"/>
    </row>
    <row r="9" spans="1:12" ht="19.899999999999999" customHeight="1">
      <c r="A9" t="str">
        <f>'3 Proxy Sum'!A6</f>
        <v>American Water Works Co., Inc.</v>
      </c>
      <c r="C9" s="34" t="str">
        <f>'3 Proxy Sum'!C6</f>
        <v>AWK</v>
      </c>
      <c r="D9" s="1"/>
      <c r="E9" s="52">
        <v>3.06</v>
      </c>
      <c r="F9" s="54"/>
      <c r="G9" s="162">
        <f>'4 Stock Price'!D5</f>
        <v>139.92266666666666</v>
      </c>
      <c r="H9" s="8"/>
      <c r="I9" s="168">
        <f t="shared" ref="I9:I14" si="0">E9/G9</f>
        <v>2.1869222999371083E-2</v>
      </c>
      <c r="K9" s="142"/>
    </row>
    <row r="10" spans="1:12" ht="19.899999999999999" customHeight="1">
      <c r="A10" t="str">
        <f>'3 Proxy Sum'!A7</f>
        <v>Essential Utilities, Inc.</v>
      </c>
      <c r="C10" s="34" t="str">
        <f>'3 Proxy Sum'!C7</f>
        <v>WTRG</v>
      </c>
      <c r="D10" s="1"/>
      <c r="E10" s="52">
        <v>1.3</v>
      </c>
      <c r="F10" s="54"/>
      <c r="G10" s="162">
        <f>'4 Stock Price'!E5</f>
        <v>39.164999999999999</v>
      </c>
      <c r="H10" s="8"/>
      <c r="I10" s="168">
        <f t="shared" si="0"/>
        <v>3.3192901825609605E-2</v>
      </c>
      <c r="K10" s="142"/>
    </row>
    <row r="11" spans="1:12" ht="19.899999999999999" customHeight="1">
      <c r="A11" t="str">
        <f>'3 Proxy Sum'!A8</f>
        <v>Artesian Resources Corp.</v>
      </c>
      <c r="C11" s="34" t="str">
        <f>'3 Proxy Sum'!C8</f>
        <v>ARTNA</v>
      </c>
      <c r="D11" s="1"/>
      <c r="E11" s="52">
        <v>1.21</v>
      </c>
      <c r="F11" s="54"/>
      <c r="G11" s="162">
        <f>'4 Stock Price'!F5</f>
        <v>35.360999999999997</v>
      </c>
      <c r="H11" s="8"/>
      <c r="I11" s="168">
        <f t="shared" si="0"/>
        <v>3.4218489296117191E-2</v>
      </c>
      <c r="K11" s="142"/>
    </row>
    <row r="12" spans="1:12" ht="19.899999999999999" customHeight="1">
      <c r="A12" t="str">
        <f>'3 Proxy Sum'!A9</f>
        <v>California Water Service Gp.</v>
      </c>
      <c r="C12" s="34" t="str">
        <f>'3 Proxy Sum'!C9</f>
        <v>CWT</v>
      </c>
      <c r="D12" s="1"/>
      <c r="E12" s="52">
        <v>1.1200000000000001</v>
      </c>
      <c r="F12" s="54"/>
      <c r="G12" s="162">
        <f>'4 Stock Price'!G5</f>
        <v>52.479000000000013</v>
      </c>
      <c r="H12" s="8"/>
      <c r="I12" s="168">
        <f t="shared" si="0"/>
        <v>2.1341870081365875E-2</v>
      </c>
      <c r="K12" s="142"/>
      <c r="L12" s="141"/>
    </row>
    <row r="13" spans="1:12" ht="19.899999999999999" customHeight="1">
      <c r="A13" t="str">
        <f>'3 Proxy Sum'!A10</f>
        <v>Middlesex Water</v>
      </c>
      <c r="C13" s="34" t="str">
        <f>'3 Proxy Sum'!C10</f>
        <v>MSEX</v>
      </c>
      <c r="D13" s="1"/>
      <c r="E13" s="52">
        <v>1.36</v>
      </c>
      <c r="F13" s="54"/>
      <c r="G13" s="162">
        <f>'4 Stock Price'!H5</f>
        <v>64.312333333333328</v>
      </c>
      <c r="H13" s="8"/>
      <c r="I13" s="168">
        <f t="shared" si="0"/>
        <v>2.1146799214251288E-2</v>
      </c>
      <c r="K13" s="142"/>
    </row>
    <row r="14" spans="1:12" ht="19.899999999999999" customHeight="1">
      <c r="A14" s="15" t="str">
        <f>'3 Proxy Sum'!A11</f>
        <v>York Water Company</v>
      </c>
      <c r="C14" s="34" t="str">
        <f>'3 Proxy Sum'!C11</f>
        <v>YORW</v>
      </c>
      <c r="D14" s="1"/>
      <c r="E14" s="198">
        <v>0.84</v>
      </c>
      <c r="F14" s="54"/>
      <c r="G14" s="56">
        <f>'4 Stock Price'!I5</f>
        <v>36.570000000000007</v>
      </c>
      <c r="H14" s="8"/>
      <c r="I14" s="17">
        <f t="shared" si="0"/>
        <v>2.2969647251845769E-2</v>
      </c>
      <c r="K14" s="142"/>
    </row>
    <row r="15" spans="1:12" ht="19.899999999999999" customHeight="1">
      <c r="C15" s="1"/>
      <c r="D15" s="1"/>
      <c r="E15" s="52"/>
      <c r="F15" s="54"/>
      <c r="G15" s="53"/>
      <c r="H15" s="8"/>
      <c r="I15" s="9"/>
    </row>
    <row r="16" spans="1:12">
      <c r="A16" s="13" t="s">
        <v>58</v>
      </c>
      <c r="B16" s="13"/>
      <c r="C16" s="1"/>
      <c r="D16" s="1"/>
      <c r="E16" s="57">
        <f>AVERAGE(E8:E14)</f>
        <v>1.5357142857142858</v>
      </c>
      <c r="F16" s="55"/>
      <c r="G16" s="57">
        <f>AVERAGE(G8:G14)</f>
        <v>64.497761904761902</v>
      </c>
      <c r="H16" s="55"/>
      <c r="I16" s="24">
        <f>AVERAGE(I8:I14)</f>
        <v>2.5281138491700047E-2</v>
      </c>
      <c r="K16" s="14"/>
    </row>
    <row r="17" spans="1:9">
      <c r="A17" s="41"/>
      <c r="B17" s="41"/>
      <c r="C17" s="2"/>
      <c r="D17" s="2"/>
      <c r="E17" s="45"/>
      <c r="F17" s="45"/>
      <c r="G17" s="46"/>
      <c r="H17" s="46"/>
      <c r="I17" s="47"/>
    </row>
    <row r="18" spans="1:9">
      <c r="A18" s="13"/>
      <c r="B18" s="13"/>
      <c r="C18" s="1"/>
      <c r="D18" s="1"/>
      <c r="E18" s="7"/>
      <c r="F18" s="7"/>
      <c r="G18" s="8"/>
      <c r="H18" s="8"/>
      <c r="I18" s="9"/>
    </row>
    <row r="19" spans="1:9" s="44" customFormat="1" ht="14.45" customHeight="1">
      <c r="A19"/>
      <c r="B19"/>
      <c r="C19"/>
      <c r="D19"/>
      <c r="E19"/>
      <c r="F19"/>
      <c r="G19"/>
      <c r="H19"/>
      <c r="I19"/>
    </row>
    <row r="20" spans="1:9" s="44" customFormat="1" ht="14.45" customHeight="1">
      <c r="A20" s="211" t="s">
        <v>184</v>
      </c>
      <c r="B20" s="211"/>
      <c r="C20" s="211"/>
      <c r="D20" s="211"/>
      <c r="E20" s="211"/>
      <c r="F20" s="211"/>
      <c r="G20" s="211"/>
      <c r="H20" s="211"/>
      <c r="I20" s="211"/>
    </row>
    <row r="21" spans="1:9" s="44" customFormat="1" ht="14.45" customHeight="1">
      <c r="A21" s="211" t="s">
        <v>140</v>
      </c>
      <c r="B21" s="211"/>
      <c r="C21" s="211"/>
      <c r="D21" s="211"/>
      <c r="E21" s="211"/>
      <c r="F21" s="211"/>
      <c r="G21" s="211"/>
      <c r="H21" s="211"/>
      <c r="I21" s="211"/>
    </row>
    <row r="22" spans="1:9">
      <c r="A22" s="211" t="s">
        <v>185</v>
      </c>
      <c r="B22" s="211"/>
      <c r="C22" s="211"/>
      <c r="D22" s="211"/>
      <c r="E22" s="211"/>
      <c r="F22" s="211"/>
      <c r="G22" s="211"/>
      <c r="H22" s="211"/>
      <c r="I22" s="211"/>
    </row>
    <row r="23" spans="1:9">
      <c r="A23" s="213"/>
      <c r="B23" s="213"/>
      <c r="C23" s="213"/>
      <c r="D23" s="213"/>
      <c r="E23" s="213"/>
      <c r="F23" s="213"/>
      <c r="G23" s="213"/>
      <c r="H23" s="213"/>
      <c r="I23" s="213"/>
    </row>
  </sheetData>
  <mergeCells count="4">
    <mergeCell ref="A23:I23"/>
    <mergeCell ref="A20:I20"/>
    <mergeCell ref="A21:I21"/>
    <mergeCell ref="A22:I22"/>
  </mergeCells>
  <printOptions horizontalCentered="1"/>
  <pageMargins left="0.7" right="0.7" top="0.75" bottom="0.75" header="0.3" footer="0.3"/>
  <pageSetup scale="94" orientation="portrait" r:id="rId1"/>
  <headerFooter scaleWithDoc="0">
    <oddHeader>&amp;C&amp;"-,Bold"&amp;14DCF - Dividend Yields&amp;RExhibit DJG-5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D14"/>
  <sheetViews>
    <sheetView workbookViewId="0"/>
  </sheetViews>
  <sheetFormatPr defaultRowHeight="15"/>
  <cols>
    <col min="1" max="1" width="35.28515625" bestFit="1" customWidth="1"/>
    <col min="2" max="2" width="2.7109375" customWidth="1"/>
    <col min="3" max="3" width="12.7109375" customWidth="1"/>
    <col min="4" max="4" width="5" customWidth="1"/>
  </cols>
  <sheetData>
    <row r="1" spans="1:4">
      <c r="A1" s="15"/>
      <c r="B1" s="15"/>
      <c r="C1" s="15"/>
      <c r="D1" s="15"/>
    </row>
    <row r="3" spans="1:4">
      <c r="A3" s="41" t="s">
        <v>91</v>
      </c>
      <c r="B3" s="1"/>
      <c r="C3" s="41" t="s">
        <v>17</v>
      </c>
    </row>
    <row r="5" spans="1:4">
      <c r="A5" t="s">
        <v>72</v>
      </c>
      <c r="B5" s="1"/>
      <c r="C5" s="16">
        <v>3.7999999999999999E-2</v>
      </c>
      <c r="D5" s="1"/>
    </row>
    <row r="6" spans="1:4">
      <c r="B6" s="1"/>
      <c r="C6" s="16"/>
      <c r="D6" s="1"/>
    </row>
    <row r="7" spans="1:4">
      <c r="A7" s="15" t="s">
        <v>143</v>
      </c>
      <c r="B7" s="1"/>
      <c r="C7" s="175">
        <v>1.7000000000000001E-2</v>
      </c>
      <c r="D7" s="1"/>
    </row>
    <row r="8" spans="1:4">
      <c r="C8" s="113"/>
    </row>
    <row r="9" spans="1:4">
      <c r="A9" s="13" t="s">
        <v>58</v>
      </c>
      <c r="C9" s="62">
        <f>AVERAGE(C5:C7)</f>
        <v>2.75E-2</v>
      </c>
    </row>
    <row r="10" spans="1:4">
      <c r="C10" s="113"/>
    </row>
    <row r="11" spans="1:4">
      <c r="A11" s="13" t="s">
        <v>183</v>
      </c>
      <c r="C11" s="144">
        <f>C5</f>
        <v>3.7999999999999999E-2</v>
      </c>
    </row>
    <row r="12" spans="1:4">
      <c r="A12" s="15"/>
      <c r="B12" s="15"/>
      <c r="C12" s="15"/>
      <c r="D12" s="15"/>
    </row>
    <row r="14" spans="1:4">
      <c r="A14" s="211" t="s">
        <v>215</v>
      </c>
      <c r="B14" s="211"/>
      <c r="C14" s="211"/>
      <c r="D14" s="211"/>
    </row>
  </sheetData>
  <mergeCells count="1">
    <mergeCell ref="A14:D14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&amp;C&amp;"-,Bold"&amp;14DCF - Terminal Growth Rate Determinants&amp;RExhibit DJG-6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600B-1F07-4A3A-965C-5E09A47C371B}">
  <sheetPr>
    <tabColor theme="6" tint="0.59999389629810485"/>
    <pageSetUpPr fitToPage="1"/>
  </sheetPr>
  <dimension ref="A1:N24"/>
  <sheetViews>
    <sheetView zoomScaleNormal="100" workbookViewId="0">
      <pane ySplit="7" topLeftCell="A8" activePane="bottomLeft" state="frozen"/>
      <selection pane="bottomLeft"/>
    </sheetView>
  </sheetViews>
  <sheetFormatPr defaultColWidth="8.85546875"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1.7109375" customWidth="1"/>
    <col min="6" max="6" width="2.7109375" customWidth="1"/>
    <col min="7" max="7" width="11.7109375" customWidth="1"/>
    <col min="8" max="8" width="2.7109375" customWidth="1"/>
    <col min="9" max="9" width="11.7109375" customWidth="1"/>
    <col min="10" max="10" width="2.7109375" customWidth="1"/>
    <col min="11" max="11" width="20" customWidth="1"/>
    <col min="12" max="12" width="2.7109375" customWidth="1"/>
    <col min="13" max="13" width="20" bestFit="1" customWidth="1"/>
  </cols>
  <sheetData>
    <row r="1" spans="1:13" ht="18.7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3" spans="1:13" ht="19.899999999999999" customHeight="1">
      <c r="E3" s="1" t="s">
        <v>3</v>
      </c>
      <c r="F3" s="1"/>
      <c r="G3" s="1" t="s">
        <v>4</v>
      </c>
      <c r="H3" s="1"/>
      <c r="I3" s="1" t="s">
        <v>5</v>
      </c>
      <c r="J3" s="1"/>
      <c r="K3" s="1" t="s">
        <v>6</v>
      </c>
      <c r="L3" s="1"/>
      <c r="M3" s="1" t="s">
        <v>7</v>
      </c>
    </row>
    <row r="4" spans="1:13" ht="19.899999999999999" customHeight="1">
      <c r="E4" s="1"/>
      <c r="F4" s="1"/>
      <c r="G4" s="1"/>
      <c r="H4" s="1"/>
      <c r="I4" s="1"/>
      <c r="J4" s="1"/>
      <c r="K4" s="1"/>
      <c r="L4" s="1"/>
      <c r="M4" s="1"/>
    </row>
    <row r="5" spans="1:13" ht="19.899999999999999" customHeight="1">
      <c r="C5" s="1"/>
      <c r="D5" s="1"/>
      <c r="E5" s="1" t="s">
        <v>55</v>
      </c>
      <c r="F5" s="1"/>
      <c r="G5" s="1" t="s">
        <v>174</v>
      </c>
      <c r="H5" s="1"/>
      <c r="I5" s="1" t="s">
        <v>175</v>
      </c>
      <c r="J5" s="1"/>
      <c r="K5" s="1" t="s">
        <v>176</v>
      </c>
      <c r="L5" s="1"/>
      <c r="M5" s="1" t="s">
        <v>176</v>
      </c>
    </row>
    <row r="6" spans="1:13" ht="19.899999999999999" customHeight="1">
      <c r="A6" s="2" t="s">
        <v>0</v>
      </c>
      <c r="B6" s="1"/>
      <c r="C6" s="2" t="s">
        <v>1</v>
      </c>
      <c r="D6" s="1"/>
      <c r="E6" s="4" t="s">
        <v>73</v>
      </c>
      <c r="F6" s="5"/>
      <c r="G6" s="4" t="s">
        <v>177</v>
      </c>
      <c r="H6" s="5"/>
      <c r="I6" s="4" t="s">
        <v>177</v>
      </c>
      <c r="J6" s="5"/>
      <c r="K6" s="4" t="s">
        <v>178</v>
      </c>
      <c r="L6" s="5"/>
      <c r="M6" s="4" t="s">
        <v>179</v>
      </c>
    </row>
    <row r="7" spans="1:13" ht="19.899999999999999" customHeight="1">
      <c r="A7" s="1"/>
      <c r="B7" s="1"/>
      <c r="C7" s="1"/>
      <c r="D7" s="1"/>
      <c r="E7" s="5"/>
      <c r="F7" s="5"/>
      <c r="G7" s="5"/>
      <c r="H7" s="5"/>
      <c r="I7" s="5"/>
      <c r="J7" s="5"/>
      <c r="K7" s="5"/>
      <c r="L7" s="5"/>
      <c r="M7" s="5"/>
    </row>
    <row r="8" spans="1:13" ht="19.899999999999999" customHeight="1">
      <c r="A8" t="str">
        <f>'3 Proxy Sum'!A5</f>
        <v>American States Water Co.</v>
      </c>
      <c r="C8" s="34" t="str">
        <f>'3 Proxy Sum'!C5</f>
        <v>AWR</v>
      </c>
      <c r="D8" s="1"/>
      <c r="E8" s="159">
        <f>'5 Div Yields'!I8</f>
        <v>2.22290387733395E-2</v>
      </c>
      <c r="F8" s="54"/>
      <c r="G8" s="159">
        <v>8.5000000000000006E-2</v>
      </c>
      <c r="H8" s="53"/>
      <c r="I8" s="159">
        <f>'6 Growth Determinants'!$C$11</f>
        <v>3.7999999999999999E-2</v>
      </c>
      <c r="J8" s="53"/>
      <c r="K8" s="160">
        <f>'5 Div Yields'!E8*(1+G8)/'5 Div Yields'!G8+G8</f>
        <v>0.10911850706907336</v>
      </c>
      <c r="L8" s="8"/>
      <c r="M8" s="160">
        <f>'5 Div Yields'!E8*(1+I8)/'5 Div Yields'!G8+I8</f>
        <v>6.1073742246726404E-2</v>
      </c>
    </row>
    <row r="9" spans="1:13" ht="19.899999999999999" customHeight="1">
      <c r="A9" t="str">
        <f>'3 Proxy Sum'!A6</f>
        <v>American Water Works Co., Inc.</v>
      </c>
      <c r="C9" s="34" t="str">
        <f>'3 Proxy Sum'!C6</f>
        <v>AWK</v>
      </c>
      <c r="D9" s="1"/>
      <c r="E9" s="159">
        <f>'5 Div Yields'!I9</f>
        <v>2.1869222999371083E-2</v>
      </c>
      <c r="F9" s="54"/>
      <c r="G9" s="159">
        <v>8.5000000000000006E-2</v>
      </c>
      <c r="H9" s="53"/>
      <c r="I9" s="159">
        <f>'6 Growth Determinants'!$C$11</f>
        <v>3.7999999999999999E-2</v>
      </c>
      <c r="J9" s="53"/>
      <c r="K9" s="160">
        <f>'5 Div Yields'!E9*(1+G9)/'5 Div Yields'!G9+G9</f>
        <v>0.10872810695431763</v>
      </c>
      <c r="L9" s="8"/>
      <c r="M9" s="160">
        <f>'5 Div Yields'!E9*(1+I9)/'5 Div Yields'!G9+I9</f>
        <v>6.0700253473347184E-2</v>
      </c>
    </row>
    <row r="10" spans="1:13" ht="19.899999999999999" customHeight="1">
      <c r="A10" t="str">
        <f>'3 Proxy Sum'!A7</f>
        <v>Essential Utilities, Inc.</v>
      </c>
      <c r="C10" s="34" t="str">
        <f>'3 Proxy Sum'!C7</f>
        <v>WTRG</v>
      </c>
      <c r="D10" s="1"/>
      <c r="E10" s="159">
        <f>'5 Div Yields'!I10</f>
        <v>3.3192901825609605E-2</v>
      </c>
      <c r="F10" s="54"/>
      <c r="G10" s="159">
        <v>0.08</v>
      </c>
      <c r="H10" s="53"/>
      <c r="I10" s="159">
        <f>'6 Growth Determinants'!$C$11</f>
        <v>3.7999999999999999E-2</v>
      </c>
      <c r="J10" s="53"/>
      <c r="K10" s="160">
        <f>'5 Div Yields'!E10*(1+G10)/'5 Div Yields'!G10+G10</f>
        <v>0.11584833397165838</v>
      </c>
      <c r="L10" s="8"/>
      <c r="M10" s="160">
        <f>'5 Div Yields'!E10*(1+I10)/'5 Div Yields'!G10+I10</f>
        <v>7.2454232094982779E-2</v>
      </c>
    </row>
    <row r="11" spans="1:13" ht="19.899999999999999" customHeight="1">
      <c r="A11" t="str">
        <f>'3 Proxy Sum'!A8</f>
        <v>Artesian Resources Corp.</v>
      </c>
      <c r="C11" s="34" t="str">
        <f>'3 Proxy Sum'!C8</f>
        <v>ARTNA</v>
      </c>
      <c r="D11" s="1"/>
      <c r="E11" s="159">
        <f>'5 Div Yields'!I11</f>
        <v>3.4218489296117191E-2</v>
      </c>
      <c r="F11" s="54"/>
      <c r="G11" s="159">
        <v>4.4999999999999998E-2</v>
      </c>
      <c r="H11" s="53"/>
      <c r="I11" s="159">
        <f>'6 Growth Determinants'!$C$11</f>
        <v>3.7999999999999999E-2</v>
      </c>
      <c r="J11" s="53"/>
      <c r="K11" s="160">
        <f>'5 Div Yields'!E11*(1+G11)/'5 Div Yields'!G11+G11</f>
        <v>8.0758321314442466E-2</v>
      </c>
      <c r="L11" s="8"/>
      <c r="M11" s="160">
        <f>'5 Div Yields'!E11*(1+I11)/'5 Div Yields'!G11+I11</f>
        <v>7.3518791889369647E-2</v>
      </c>
    </row>
    <row r="12" spans="1:13" ht="19.899999999999999" customHeight="1">
      <c r="A12" t="str">
        <f>'3 Proxy Sum'!A9</f>
        <v>California Water Service Gp.</v>
      </c>
      <c r="C12" s="34" t="str">
        <f>'3 Proxy Sum'!C9</f>
        <v>CWT</v>
      </c>
      <c r="D12" s="1"/>
      <c r="E12" s="159">
        <f>'5 Div Yields'!I12</f>
        <v>2.1341870081365875E-2</v>
      </c>
      <c r="F12" s="54"/>
      <c r="G12" s="159">
        <v>0.06</v>
      </c>
      <c r="H12" s="53"/>
      <c r="I12" s="159">
        <f>'6 Growth Determinants'!$C$11</f>
        <v>3.7999999999999999E-2</v>
      </c>
      <c r="J12" s="53"/>
      <c r="K12" s="160">
        <f>'5 Div Yields'!E12*(1+G12)/'5 Div Yields'!G12+G12</f>
        <v>8.2622382286247825E-2</v>
      </c>
      <c r="L12" s="8"/>
      <c r="M12" s="160">
        <f>'5 Div Yields'!E12*(1+I12)/'5 Div Yields'!G12+I12</f>
        <v>6.0152861144457781E-2</v>
      </c>
    </row>
    <row r="13" spans="1:13" ht="19.899999999999999" customHeight="1">
      <c r="A13" t="str">
        <f>'3 Proxy Sum'!A10</f>
        <v>Middlesex Water</v>
      </c>
      <c r="C13" s="34" t="str">
        <f>'3 Proxy Sum'!C10</f>
        <v>MSEX</v>
      </c>
      <c r="D13" s="1"/>
      <c r="E13" s="159">
        <f>'5 Div Yields'!I13</f>
        <v>2.1146799214251288E-2</v>
      </c>
      <c r="F13" s="54"/>
      <c r="G13" s="159">
        <v>0.05</v>
      </c>
      <c r="H13" s="53"/>
      <c r="I13" s="159">
        <f>'6 Growth Determinants'!$C$11</f>
        <v>3.7999999999999999E-2</v>
      </c>
      <c r="J13" s="53"/>
      <c r="K13" s="160">
        <f>'5 Div Yields'!E13*(1+G13)/'5 Div Yields'!G13+G13</f>
        <v>7.2204139174963849E-2</v>
      </c>
      <c r="L13" s="8"/>
      <c r="M13" s="160">
        <f>'5 Div Yields'!E13*(1+I13)/'5 Div Yields'!G13+I13</f>
        <v>5.9950377584392839E-2</v>
      </c>
    </row>
    <row r="14" spans="1:13" ht="19.899999999999999" customHeight="1">
      <c r="A14" s="15" t="str">
        <f>'3 Proxy Sum'!A11</f>
        <v>York Water Company</v>
      </c>
      <c r="C14" s="34" t="str">
        <f>'3 Proxy Sum'!C11</f>
        <v>YORW</v>
      </c>
      <c r="D14" s="1"/>
      <c r="E14" s="161">
        <f>'5 Div Yields'!I14</f>
        <v>2.2969647251845769E-2</v>
      </c>
      <c r="F14" s="54"/>
      <c r="G14" s="161">
        <v>0.04</v>
      </c>
      <c r="H14" s="162"/>
      <c r="I14" s="161">
        <f>'6 Growth Determinants'!$C$11</f>
        <v>3.7999999999999999E-2</v>
      </c>
      <c r="J14" s="162"/>
      <c r="K14" s="163">
        <f>'5 Div Yields'!E14*(1+G14)/'5 Div Yields'!G14+G14</f>
        <v>6.3888433141919609E-2</v>
      </c>
      <c r="L14" s="8"/>
      <c r="M14" s="163">
        <f>'5 Div Yields'!E14*(1+I14)/'5 Div Yields'!G14+I14</f>
        <v>6.1842493847415914E-2</v>
      </c>
    </row>
    <row r="15" spans="1:13" ht="19.899999999999999" customHeight="1">
      <c r="C15" s="1"/>
      <c r="D15" s="1"/>
      <c r="E15" s="169"/>
      <c r="F15" s="54"/>
      <c r="G15" s="53"/>
      <c r="H15" s="53"/>
      <c r="I15" s="53"/>
      <c r="J15" s="53"/>
      <c r="K15" s="164"/>
      <c r="L15" s="8"/>
      <c r="M15" s="165"/>
    </row>
    <row r="16" spans="1:13">
      <c r="A16" s="13" t="s">
        <v>58</v>
      </c>
      <c r="B16" s="13"/>
      <c r="C16" s="1"/>
      <c r="D16" s="1"/>
      <c r="E16" s="170">
        <f>AVERAGE(E8:E14)</f>
        <v>2.5281138491700047E-2</v>
      </c>
      <c r="F16" s="55"/>
      <c r="G16" s="166">
        <f>AVERAGE(G8:G14)</f>
        <v>6.357142857142857E-2</v>
      </c>
      <c r="H16" s="57"/>
      <c r="I16" s="166">
        <f>AVERAGE(I8:I14)</f>
        <v>3.7999999999999999E-2</v>
      </c>
      <c r="J16" s="57"/>
      <c r="K16" s="167">
        <f>AVERAGE(K8:K14)</f>
        <v>9.0452603416089031E-2</v>
      </c>
      <c r="L16" s="55"/>
      <c r="M16" s="167">
        <f>AVERAGE(M8:M14)</f>
        <v>6.4241821754384643E-2</v>
      </c>
    </row>
    <row r="17" spans="1:14">
      <c r="A17" s="41"/>
      <c r="B17" s="41"/>
      <c r="C17" s="2"/>
      <c r="D17" s="2"/>
      <c r="E17" s="45"/>
      <c r="F17" s="45"/>
      <c r="G17" s="46"/>
      <c r="H17" s="46"/>
      <c r="I17" s="46"/>
      <c r="J17" s="46"/>
      <c r="K17" s="46"/>
      <c r="L17" s="46"/>
      <c r="M17" s="47"/>
    </row>
    <row r="18" spans="1:14">
      <c r="A18" s="13"/>
      <c r="B18" s="13"/>
      <c r="C18" s="1"/>
      <c r="D18" s="1"/>
      <c r="E18" s="7"/>
      <c r="F18" s="7"/>
      <c r="G18" s="8"/>
      <c r="H18" s="8"/>
      <c r="I18" s="8"/>
      <c r="J18" s="8"/>
      <c r="K18" s="8"/>
      <c r="L18" s="8"/>
      <c r="M18" s="9"/>
    </row>
    <row r="19" spans="1:14" s="44" customFormat="1" ht="14.4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4" s="44" customFormat="1" ht="14.45" customHeight="1">
      <c r="A20" s="211" t="s">
        <v>180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</row>
    <row r="21" spans="1:14" s="44" customFormat="1" ht="14.45" customHeight="1">
      <c r="A21" s="211" t="s">
        <v>214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</row>
    <row r="22" spans="1:14">
      <c r="A22" s="211" t="s">
        <v>181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44"/>
    </row>
    <row r="23" spans="1:14">
      <c r="A23" s="211" t="s">
        <v>202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44"/>
    </row>
    <row r="24" spans="1:14">
      <c r="A24" s="211" t="s">
        <v>203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44"/>
    </row>
  </sheetData>
  <mergeCells count="5">
    <mergeCell ref="A20:M20"/>
    <mergeCell ref="A21:M21"/>
    <mergeCell ref="A22:M22"/>
    <mergeCell ref="A23:M23"/>
    <mergeCell ref="A24:M24"/>
  </mergeCells>
  <printOptions horizontalCentered="1"/>
  <pageMargins left="0.7" right="0.7" top="0.75" bottom="0.75" header="0.3" footer="0.3"/>
  <pageSetup scale="64" orientation="portrait" r:id="rId1"/>
  <headerFooter scaleWithDoc="0">
    <oddHeader>&amp;C&amp;"-,Bold"&amp;14DCF - Final Result&amp;RExhibit DJG-7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  <pageSetUpPr fitToPage="1"/>
  </sheetPr>
  <dimension ref="A1:F40"/>
  <sheetViews>
    <sheetView zoomScaleNormal="100" workbookViewId="0"/>
  </sheetViews>
  <sheetFormatPr defaultRowHeight="15"/>
  <cols>
    <col min="1" max="2" width="8.85546875"/>
    <col min="3" max="3" width="12.42578125" customWidth="1"/>
    <col min="4" max="4" width="2.7109375" customWidth="1"/>
    <col min="5" max="5" width="11.42578125" customWidth="1"/>
  </cols>
  <sheetData>
    <row r="1" spans="1:6">
      <c r="A1" s="15"/>
      <c r="B1" s="15"/>
      <c r="C1" s="15"/>
      <c r="D1" s="15"/>
      <c r="E1" s="15"/>
      <c r="F1" s="15"/>
    </row>
    <row r="3" spans="1:6">
      <c r="C3" s="2" t="s">
        <v>10</v>
      </c>
      <c r="D3" s="1"/>
      <c r="E3" s="2" t="s">
        <v>17</v>
      </c>
    </row>
    <row r="4" spans="1:6">
      <c r="C4" s="33">
        <v>45560</v>
      </c>
      <c r="D4" s="33"/>
      <c r="E4" s="203">
        <v>4.1399999999999999E-2</v>
      </c>
    </row>
    <row r="5" spans="1:6">
      <c r="C5" s="33">
        <v>45561</v>
      </c>
      <c r="D5" s="33"/>
      <c r="E5" s="22">
        <v>4.1200000000000001E-2</v>
      </c>
    </row>
    <row r="6" spans="1:6">
      <c r="C6" s="33">
        <v>45562</v>
      </c>
      <c r="D6" s="33"/>
      <c r="E6" s="22">
        <v>4.0999999999999995E-2</v>
      </c>
    </row>
    <row r="7" spans="1:6">
      <c r="C7" s="33">
        <v>45565</v>
      </c>
      <c r="D7" s="33"/>
      <c r="E7" s="22">
        <v>4.1399999999999999E-2</v>
      </c>
    </row>
    <row r="8" spans="1:6">
      <c r="C8" s="33">
        <v>45566</v>
      </c>
      <c r="D8" s="33"/>
      <c r="E8" s="22">
        <v>4.0800000000000003E-2</v>
      </c>
    </row>
    <row r="9" spans="1:6">
      <c r="C9" s="33">
        <v>45567</v>
      </c>
      <c r="D9" s="33"/>
      <c r="E9" s="22">
        <v>4.1399999999999999E-2</v>
      </c>
    </row>
    <row r="10" spans="1:6">
      <c r="C10" s="33">
        <v>45568</v>
      </c>
      <c r="D10" s="33"/>
      <c r="E10" s="22">
        <v>4.1799999999999997E-2</v>
      </c>
    </row>
    <row r="11" spans="1:6">
      <c r="C11" s="33">
        <v>45569</v>
      </c>
      <c r="D11" s="33"/>
      <c r="E11" s="22">
        <v>4.2599999999999999E-2</v>
      </c>
    </row>
    <row r="12" spans="1:6">
      <c r="C12" s="33">
        <v>45572</v>
      </c>
      <c r="D12" s="33"/>
      <c r="E12" s="22">
        <v>4.2999999999999997E-2</v>
      </c>
    </row>
    <row r="13" spans="1:6">
      <c r="C13" s="33">
        <v>45573</v>
      </c>
      <c r="D13" s="33"/>
      <c r="E13" s="22">
        <v>4.3200000000000002E-2</v>
      </c>
    </row>
    <row r="14" spans="1:6">
      <c r="C14" s="33">
        <v>45574</v>
      </c>
      <c r="D14" s="33"/>
      <c r="E14" s="22">
        <v>4.3400000000000001E-2</v>
      </c>
    </row>
    <row r="15" spans="1:6">
      <c r="C15" s="33">
        <v>45575</v>
      </c>
      <c r="D15" s="33"/>
      <c r="E15" s="22">
        <v>4.3799999999999999E-2</v>
      </c>
    </row>
    <row r="16" spans="1:6">
      <c r="C16" s="33">
        <v>45576</v>
      </c>
      <c r="D16" s="33"/>
      <c r="E16" s="22">
        <v>4.3899999999999995E-2</v>
      </c>
    </row>
    <row r="17" spans="3:5">
      <c r="C17" s="33">
        <v>45580</v>
      </c>
      <c r="D17" s="33"/>
      <c r="E17" s="22">
        <v>4.3200000000000002E-2</v>
      </c>
    </row>
    <row r="18" spans="3:5">
      <c r="C18" s="33">
        <v>45581</v>
      </c>
      <c r="D18" s="33"/>
      <c r="E18" s="22">
        <v>4.2999999999999997E-2</v>
      </c>
    </row>
    <row r="19" spans="3:5">
      <c r="C19" s="33">
        <v>45582</v>
      </c>
      <c r="D19" s="33"/>
      <c r="E19" s="22">
        <v>4.3899999999999995E-2</v>
      </c>
    </row>
    <row r="20" spans="3:5">
      <c r="C20" s="33">
        <v>45583</v>
      </c>
      <c r="D20" s="33"/>
      <c r="E20" s="22">
        <v>4.3799999999999999E-2</v>
      </c>
    </row>
    <row r="21" spans="3:5">
      <c r="C21" s="33">
        <v>45586</v>
      </c>
      <c r="D21" s="33"/>
      <c r="E21" s="22">
        <v>4.4900000000000002E-2</v>
      </c>
    </row>
    <row r="22" spans="3:5">
      <c r="C22" s="33">
        <v>45587</v>
      </c>
      <c r="D22" s="33"/>
      <c r="E22" s="22">
        <v>4.4900000000000002E-2</v>
      </c>
    </row>
    <row r="23" spans="3:5">
      <c r="C23" s="33">
        <v>45588</v>
      </c>
      <c r="D23" s="33"/>
      <c r="E23" s="22">
        <v>4.5100000000000001E-2</v>
      </c>
    </row>
    <row r="24" spans="3:5">
      <c r="C24" s="33">
        <v>45589</v>
      </c>
      <c r="D24" s="33"/>
      <c r="E24" s="22">
        <v>4.4699999999999997E-2</v>
      </c>
    </row>
    <row r="25" spans="3:5">
      <c r="C25" s="33">
        <v>45590</v>
      </c>
      <c r="D25" s="33"/>
      <c r="E25" s="22">
        <v>4.5100000000000001E-2</v>
      </c>
    </row>
    <row r="26" spans="3:5">
      <c r="C26" s="33">
        <v>45593</v>
      </c>
      <c r="D26" s="33"/>
      <c r="E26" s="22">
        <v>4.53E-2</v>
      </c>
    </row>
    <row r="27" spans="3:5">
      <c r="C27" s="33">
        <v>45594</v>
      </c>
      <c r="D27" s="33"/>
      <c r="E27" s="22">
        <v>4.5199999999999997E-2</v>
      </c>
    </row>
    <row r="28" spans="3:5">
      <c r="C28" s="33">
        <v>45595</v>
      </c>
      <c r="D28" s="33"/>
      <c r="E28" s="22">
        <v>4.4900000000000002E-2</v>
      </c>
    </row>
    <row r="29" spans="3:5">
      <c r="C29" s="33">
        <v>45596</v>
      </c>
      <c r="D29" s="33"/>
      <c r="E29" s="22">
        <v>4.4699999999999997E-2</v>
      </c>
    </row>
    <row r="30" spans="3:5">
      <c r="C30" s="33">
        <v>45597</v>
      </c>
      <c r="D30" s="33"/>
      <c r="E30" s="22">
        <v>4.5700000000000005E-2</v>
      </c>
    </row>
    <row r="31" spans="3:5">
      <c r="C31" s="33">
        <v>45600</v>
      </c>
      <c r="D31" s="33"/>
      <c r="E31" s="22">
        <v>4.4999999999999998E-2</v>
      </c>
    </row>
    <row r="32" spans="3:5">
      <c r="C32" s="33">
        <v>45601</v>
      </c>
      <c r="D32" s="33"/>
      <c r="E32" s="22">
        <v>4.4400000000000002E-2</v>
      </c>
    </row>
    <row r="33" spans="1:6">
      <c r="C33" s="38">
        <v>45602</v>
      </c>
      <c r="D33" s="33"/>
      <c r="E33" s="17">
        <v>4.5999999999999999E-2</v>
      </c>
    </row>
    <row r="34" spans="1:6">
      <c r="E34" s="1"/>
    </row>
    <row r="35" spans="1:6">
      <c r="C35" s="13" t="s">
        <v>58</v>
      </c>
      <c r="D35" s="13"/>
      <c r="E35" s="24">
        <f>AVERAGE(E4:E33)</f>
        <v>4.3623333333333333E-2</v>
      </c>
    </row>
    <row r="36" spans="1:6">
      <c r="A36" s="15"/>
      <c r="B36" s="15"/>
      <c r="C36" s="41"/>
      <c r="D36" s="41"/>
      <c r="E36" s="48"/>
      <c r="F36" s="15"/>
    </row>
    <row r="39" spans="1:6" s="44" customFormat="1" ht="28.15" customHeight="1">
      <c r="A39" s="214" t="s">
        <v>141</v>
      </c>
      <c r="B39" s="214"/>
      <c r="C39" s="214"/>
      <c r="D39" s="214"/>
      <c r="E39" s="214"/>
      <c r="F39" s="214"/>
    </row>
    <row r="40" spans="1:6">
      <c r="A40" s="214"/>
      <c r="B40" s="214"/>
      <c r="C40" s="214"/>
      <c r="D40" s="214"/>
      <c r="E40" s="214"/>
      <c r="F40" s="214"/>
    </row>
  </sheetData>
  <mergeCells count="1">
    <mergeCell ref="A39:F40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&amp;C&amp;"-,Bold"&amp;14CAPM - Risk-Free Rate Estimate&amp;RExhibit DJG-8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E17"/>
  <sheetViews>
    <sheetView zoomScaleNormal="100" workbookViewId="0"/>
  </sheetViews>
  <sheetFormatPr defaultRowHeight="15"/>
  <cols>
    <col min="1" max="1" width="41.5703125" bestFit="1" customWidth="1"/>
    <col min="2" max="2" width="2.7109375" customWidth="1"/>
    <col min="3" max="3" width="8.42578125" bestFit="1" customWidth="1"/>
    <col min="4" max="4" width="2.7109375" customWidth="1"/>
    <col min="5" max="5" width="13.7109375" customWidth="1"/>
  </cols>
  <sheetData>
    <row r="1" spans="1:5">
      <c r="A1" s="15"/>
      <c r="B1" s="15"/>
      <c r="C1" s="15"/>
      <c r="D1" s="15"/>
      <c r="E1" s="15"/>
    </row>
    <row r="2" spans="1:5" ht="19.5" customHeight="1"/>
    <row r="3" spans="1:5" ht="19.5" customHeight="1">
      <c r="A3" s="2" t="s">
        <v>0</v>
      </c>
      <c r="B3" s="1"/>
      <c r="C3" s="2" t="s">
        <v>1</v>
      </c>
      <c r="D3" s="1"/>
      <c r="E3" s="4" t="s">
        <v>51</v>
      </c>
    </row>
    <row r="4" spans="1:5" ht="19.5" customHeight="1">
      <c r="A4" s="1"/>
      <c r="B4" s="1"/>
      <c r="C4" s="1"/>
      <c r="D4" s="1"/>
      <c r="E4" s="5"/>
    </row>
    <row r="5" spans="1:5" ht="19.899999999999999" customHeight="1">
      <c r="A5" t="str">
        <f>'3 Proxy Sum'!A5</f>
        <v>American States Water Co.</v>
      </c>
      <c r="C5" s="34" t="str">
        <f>'3 Proxy Sum'!C5</f>
        <v>AWR</v>
      </c>
      <c r="D5" s="1"/>
      <c r="E5" s="50">
        <v>0.75</v>
      </c>
    </row>
    <row r="6" spans="1:5" ht="19.899999999999999" customHeight="1">
      <c r="A6" t="str">
        <f>'3 Proxy Sum'!A6</f>
        <v>American Water Works Co., Inc.</v>
      </c>
      <c r="C6" s="34" t="str">
        <f>'3 Proxy Sum'!C6</f>
        <v>AWK</v>
      </c>
      <c r="D6" s="1"/>
      <c r="E6" s="50">
        <v>1</v>
      </c>
    </row>
    <row r="7" spans="1:5" ht="19.899999999999999" customHeight="1">
      <c r="A7" t="str">
        <f>'3 Proxy Sum'!A7</f>
        <v>Essential Utilities, Inc.</v>
      </c>
      <c r="C7" s="34" t="str">
        <f>'3 Proxy Sum'!C7</f>
        <v>WTRG</v>
      </c>
      <c r="D7" s="1"/>
      <c r="E7" s="50">
        <v>1</v>
      </c>
    </row>
    <row r="8" spans="1:5" ht="19.899999999999999" customHeight="1">
      <c r="A8" t="str">
        <f>'3 Proxy Sum'!A8</f>
        <v>Artesian Resources Corp.</v>
      </c>
      <c r="C8" s="34" t="str">
        <f>'3 Proxy Sum'!C8</f>
        <v>ARTNA</v>
      </c>
      <c r="D8" s="1"/>
      <c r="E8" s="50">
        <v>0.75</v>
      </c>
    </row>
    <row r="9" spans="1:5" ht="19.899999999999999" customHeight="1">
      <c r="A9" t="str">
        <f>'3 Proxy Sum'!A9</f>
        <v>California Water Service Gp.</v>
      </c>
      <c r="C9" s="34" t="str">
        <f>'3 Proxy Sum'!C9</f>
        <v>CWT</v>
      </c>
      <c r="D9" s="1"/>
      <c r="E9" s="50">
        <v>0.75</v>
      </c>
    </row>
    <row r="10" spans="1:5" ht="19.899999999999999" customHeight="1">
      <c r="A10" t="str">
        <f>'3 Proxy Sum'!A10</f>
        <v>Middlesex Water</v>
      </c>
      <c r="C10" s="34" t="str">
        <f>'3 Proxy Sum'!C10</f>
        <v>MSEX</v>
      </c>
      <c r="D10" s="1"/>
      <c r="E10" s="50">
        <v>0.75</v>
      </c>
    </row>
    <row r="11" spans="1:5" ht="19.5" customHeight="1">
      <c r="A11" s="15" t="str">
        <f>'3 Proxy Sum'!A11</f>
        <v>York Water Company</v>
      </c>
      <c r="C11" s="34" t="str">
        <f>'3 Proxy Sum'!C11</f>
        <v>YORW</v>
      </c>
      <c r="D11" s="1"/>
      <c r="E11" s="58">
        <v>0.85</v>
      </c>
    </row>
    <row r="12" spans="1:5" ht="19.5" customHeight="1">
      <c r="C12" s="1"/>
      <c r="D12" s="1"/>
      <c r="E12" s="7"/>
    </row>
    <row r="13" spans="1:5" ht="19.5" customHeight="1">
      <c r="A13" s="1" t="s">
        <v>58</v>
      </c>
      <c r="B13" s="11"/>
      <c r="C13" s="1"/>
      <c r="D13" s="1"/>
      <c r="E13" s="51">
        <f>AVERAGE(E5:E11)</f>
        <v>0.83571428571428563</v>
      </c>
    </row>
    <row r="14" spans="1:5" ht="19.5" customHeight="1">
      <c r="A14" s="2"/>
      <c r="B14" s="15"/>
      <c r="C14" s="2"/>
      <c r="D14" s="2"/>
      <c r="E14" s="39"/>
    </row>
    <row r="15" spans="1:5">
      <c r="C15" s="1"/>
      <c r="D15" s="1"/>
      <c r="E15" s="7"/>
    </row>
    <row r="16" spans="1:5" s="44" customFormat="1" ht="14.45" customHeight="1">
      <c r="A16"/>
      <c r="B16"/>
      <c r="C16"/>
      <c r="D16"/>
      <c r="E16"/>
    </row>
    <row r="17" spans="1:5">
      <c r="A17" s="211" t="s">
        <v>142</v>
      </c>
      <c r="B17" s="211"/>
      <c r="C17" s="211"/>
      <c r="D17" s="211"/>
      <c r="E17" s="211"/>
    </row>
  </sheetData>
  <mergeCells count="1">
    <mergeCell ref="A17:E17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- Beta Coefficients&amp;RExhibit DJG-9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94331-D745-4F71-8FAE-1A9CC87F6859}">
  <sheetPr>
    <tabColor theme="4" tint="0.59999389629810485"/>
    <pageSetUpPr fitToPage="1"/>
  </sheetPr>
  <dimension ref="A1:Q149"/>
  <sheetViews>
    <sheetView zoomScale="90" zoomScaleNormal="90" workbookViewId="0"/>
  </sheetViews>
  <sheetFormatPr defaultRowHeight="15"/>
  <cols>
    <col min="1" max="1" width="25.28515625" customWidth="1"/>
    <col min="2" max="2" width="2.7109375" customWidth="1"/>
    <col min="3" max="3" width="10.7109375" customWidth="1"/>
    <col min="4" max="4" width="2.7109375" customWidth="1"/>
    <col min="5" max="5" width="10.7109375" customWidth="1"/>
    <col min="6" max="6" width="2.7109375" customWidth="1"/>
    <col min="7" max="7" width="10.7109375" customWidth="1"/>
    <col min="8" max="8" width="2.7109375" customWidth="1"/>
    <col min="9" max="9" width="10.7109375" customWidth="1"/>
    <col min="10" max="10" width="2.7109375" customWidth="1"/>
    <col min="11" max="11" width="10.7109375" customWidth="1"/>
    <col min="12" max="12" width="2.7109375" customWidth="1"/>
    <col min="13" max="13" width="10.7109375" customWidth="1"/>
    <col min="14" max="14" width="2.7109375" customWidth="1"/>
    <col min="15" max="15" width="10.7109375" customWidth="1"/>
    <col min="16" max="16" width="2.7109375" customWidth="1"/>
    <col min="17" max="18" width="10.7109375" customWidth="1"/>
  </cols>
  <sheetData>
    <row r="1" spans="1:17" ht="18.7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3" spans="1:17">
      <c r="C3" s="1" t="s">
        <v>3</v>
      </c>
      <c r="D3" s="1"/>
      <c r="E3" s="1" t="s">
        <v>4</v>
      </c>
      <c r="F3" s="1"/>
      <c r="G3" s="1" t="s">
        <v>5</v>
      </c>
      <c r="H3" s="1"/>
      <c r="I3" s="1" t="s">
        <v>6</v>
      </c>
      <c r="J3" s="1"/>
      <c r="K3" s="1" t="s">
        <v>7</v>
      </c>
      <c r="L3" s="1"/>
      <c r="M3" s="1" t="s">
        <v>13</v>
      </c>
      <c r="N3" s="1"/>
      <c r="O3" s="1" t="s">
        <v>14</v>
      </c>
      <c r="P3" s="1"/>
      <c r="Q3" s="1" t="s">
        <v>15</v>
      </c>
    </row>
    <row r="5" spans="1:17" ht="30">
      <c r="A5" s="2" t="s">
        <v>24</v>
      </c>
      <c r="B5" s="1"/>
      <c r="C5" s="4" t="s">
        <v>92</v>
      </c>
      <c r="D5" s="5"/>
      <c r="E5" s="4" t="s">
        <v>22</v>
      </c>
      <c r="F5" s="5"/>
      <c r="G5" s="4" t="s">
        <v>19</v>
      </c>
      <c r="H5" s="5"/>
      <c r="I5" s="4" t="s">
        <v>23</v>
      </c>
      <c r="J5" s="5"/>
      <c r="K5" s="4" t="s">
        <v>25</v>
      </c>
      <c r="L5" s="5"/>
      <c r="M5" s="4" t="s">
        <v>21</v>
      </c>
      <c r="N5" s="5"/>
      <c r="O5" s="4" t="s">
        <v>20</v>
      </c>
      <c r="P5" s="5"/>
      <c r="Q5" s="4" t="s">
        <v>26</v>
      </c>
    </row>
    <row r="6" spans="1:17">
      <c r="A6" s="1">
        <v>2013</v>
      </c>
      <c r="B6" s="1"/>
      <c r="C6" s="29">
        <v>16494.783083987797</v>
      </c>
      <c r="D6" s="29"/>
      <c r="E6" s="30">
        <v>956.00990460087269</v>
      </c>
      <c r="F6" s="30"/>
      <c r="G6" s="30">
        <v>311.77171051674964</v>
      </c>
      <c r="H6" s="30"/>
      <c r="I6" s="30">
        <v>475.58680400000003</v>
      </c>
      <c r="J6" s="30"/>
      <c r="K6" s="22">
        <f t="shared" ref="K6:K16" si="0">E6/C6</f>
        <v>5.7958319289988909E-2</v>
      </c>
      <c r="L6" s="22"/>
      <c r="M6" s="22">
        <f t="shared" ref="M6:M16" si="1">G6/C6</f>
        <v>1.890123131230504E-2</v>
      </c>
      <c r="N6" s="22"/>
      <c r="O6" s="22">
        <f t="shared" ref="O6:O16" si="2">I6/C6</f>
        <v>2.8832558850784333E-2</v>
      </c>
      <c r="P6" s="22"/>
      <c r="Q6" s="26">
        <f t="shared" ref="Q6:Q16" si="3">M6+O6</f>
        <v>4.7733790163089374E-2</v>
      </c>
    </row>
    <row r="7" spans="1:17">
      <c r="A7" s="1">
        <v>2014</v>
      </c>
      <c r="B7" s="1"/>
      <c r="C7" s="29">
        <v>18245.162915721601</v>
      </c>
      <c r="D7" s="29"/>
      <c r="E7" s="30">
        <v>1004.2233066862408</v>
      </c>
      <c r="F7" s="30"/>
      <c r="G7" s="30">
        <v>350.43209036038417</v>
      </c>
      <c r="H7" s="30"/>
      <c r="I7" s="30">
        <v>553.27531399999998</v>
      </c>
      <c r="J7" s="30"/>
      <c r="K7" s="22">
        <f t="shared" si="0"/>
        <v>5.5040522867620748E-2</v>
      </c>
      <c r="L7" s="22"/>
      <c r="M7" s="22">
        <f t="shared" si="1"/>
        <v>1.9206849068934415E-2</v>
      </c>
      <c r="N7" s="22"/>
      <c r="O7" s="22">
        <f t="shared" si="2"/>
        <v>3.0324492938522921E-2</v>
      </c>
      <c r="P7" s="22"/>
      <c r="Q7" s="26">
        <f t="shared" si="3"/>
        <v>4.9531342007457332E-2</v>
      </c>
    </row>
    <row r="8" spans="1:17">
      <c r="A8" s="1">
        <v>2015</v>
      </c>
      <c r="B8" s="1"/>
      <c r="C8" s="29">
        <v>17899.5562447142</v>
      </c>
      <c r="D8" s="29"/>
      <c r="E8" s="30">
        <v>885.38</v>
      </c>
      <c r="F8" s="30"/>
      <c r="G8" s="30">
        <v>382.32</v>
      </c>
      <c r="H8" s="30"/>
      <c r="I8" s="30">
        <v>572.16</v>
      </c>
      <c r="J8" s="30"/>
      <c r="K8" s="22">
        <f t="shared" si="0"/>
        <v>4.9463796079383573E-2</v>
      </c>
      <c r="L8" s="22"/>
      <c r="M8" s="22">
        <f t="shared" si="1"/>
        <v>2.1359188729212233E-2</v>
      </c>
      <c r="N8" s="22"/>
      <c r="O8" s="22">
        <f t="shared" si="2"/>
        <v>3.1965038248865013E-2</v>
      </c>
      <c r="P8" s="22"/>
      <c r="Q8" s="26">
        <f t="shared" si="3"/>
        <v>5.3324226978077247E-2</v>
      </c>
    </row>
    <row r="9" spans="1:17">
      <c r="A9" s="1">
        <v>2016</v>
      </c>
      <c r="B9" s="1"/>
      <c r="C9" s="29">
        <v>19268</v>
      </c>
      <c r="D9" s="29"/>
      <c r="E9" s="30">
        <v>919.85</v>
      </c>
      <c r="F9" s="30"/>
      <c r="G9" s="30">
        <v>397.22</v>
      </c>
      <c r="H9" s="30"/>
      <c r="I9" s="30">
        <v>536.38</v>
      </c>
      <c r="J9" s="30"/>
      <c r="K9" s="22">
        <f t="shared" si="0"/>
        <v>4.7739775794062696E-2</v>
      </c>
      <c r="L9" s="22"/>
      <c r="M9" s="22">
        <f t="shared" si="1"/>
        <v>2.06155283371393E-2</v>
      </c>
      <c r="N9" s="22"/>
      <c r="O9" s="22">
        <f t="shared" si="2"/>
        <v>2.7837865891633798E-2</v>
      </c>
      <c r="P9" s="22"/>
      <c r="Q9" s="26">
        <f t="shared" si="3"/>
        <v>4.8453394228773095E-2</v>
      </c>
    </row>
    <row r="10" spans="1:17">
      <c r="A10" s="1">
        <v>2017</v>
      </c>
      <c r="B10" s="1"/>
      <c r="C10" s="29">
        <v>22821.240334090373</v>
      </c>
      <c r="D10" s="29"/>
      <c r="E10" s="30">
        <v>1065.995204191086</v>
      </c>
      <c r="F10" s="30"/>
      <c r="G10" s="30">
        <v>419.77</v>
      </c>
      <c r="H10" s="30"/>
      <c r="I10" s="30">
        <v>519.4</v>
      </c>
      <c r="J10" s="30"/>
      <c r="K10" s="22">
        <f t="shared" si="0"/>
        <v>4.671066027023528E-2</v>
      </c>
      <c r="L10" s="22"/>
      <c r="M10" s="22">
        <f t="shared" si="1"/>
        <v>1.8393829338581018E-2</v>
      </c>
      <c r="N10" s="22"/>
      <c r="O10" s="22">
        <f t="shared" si="2"/>
        <v>2.2759499150627679E-2</v>
      </c>
      <c r="P10" s="22"/>
      <c r="Q10" s="26">
        <f t="shared" si="3"/>
        <v>4.1153328489208697E-2</v>
      </c>
    </row>
    <row r="11" spans="1:17">
      <c r="A11" s="1">
        <v>2018</v>
      </c>
      <c r="B11" s="1"/>
      <c r="C11" s="29">
        <v>21026.901634051301</v>
      </c>
      <c r="D11" s="29"/>
      <c r="E11" s="30">
        <v>1281.6600000000001</v>
      </c>
      <c r="F11" s="30"/>
      <c r="G11" s="30">
        <v>456.31</v>
      </c>
      <c r="H11" s="30"/>
      <c r="I11" s="30">
        <v>806.41</v>
      </c>
      <c r="J11" s="30"/>
      <c r="K11" s="22">
        <f t="shared" si="0"/>
        <v>6.0953345495489426E-2</v>
      </c>
      <c r="L11" s="22"/>
      <c r="M11" s="22">
        <f t="shared" si="1"/>
        <v>2.1701247665564017E-2</v>
      </c>
      <c r="N11" s="22"/>
      <c r="O11" s="22">
        <f t="shared" si="2"/>
        <v>3.8351346957085045E-2</v>
      </c>
      <c r="P11" s="22"/>
      <c r="Q11" s="26">
        <f t="shared" si="3"/>
        <v>6.0052594622649058E-2</v>
      </c>
    </row>
    <row r="12" spans="1:17">
      <c r="A12" s="1">
        <v>2019</v>
      </c>
      <c r="B12" s="1"/>
      <c r="C12" s="29">
        <v>26759.6867868843</v>
      </c>
      <c r="D12" s="29"/>
      <c r="E12" s="30">
        <v>1304.5899999999999</v>
      </c>
      <c r="F12" s="30"/>
      <c r="G12" s="30">
        <v>485.48</v>
      </c>
      <c r="H12" s="30"/>
      <c r="I12" s="30">
        <v>728.74</v>
      </c>
      <c r="J12" s="30"/>
      <c r="K12" s="22">
        <f t="shared" si="0"/>
        <v>4.8752065388127687E-2</v>
      </c>
      <c r="L12" s="22"/>
      <c r="M12" s="22">
        <f t="shared" si="1"/>
        <v>1.8142215335567674E-2</v>
      </c>
      <c r="N12" s="22"/>
      <c r="O12" s="22">
        <f t="shared" si="2"/>
        <v>2.7232755218838237E-2</v>
      </c>
      <c r="P12" s="22"/>
      <c r="Q12" s="26">
        <f t="shared" si="3"/>
        <v>4.5374970554405911E-2</v>
      </c>
    </row>
    <row r="13" spans="1:17">
      <c r="A13" s="1">
        <v>2020</v>
      </c>
      <c r="B13" s="1"/>
      <c r="C13" s="29">
        <v>31658.700536655953</v>
      </c>
      <c r="D13" s="29"/>
      <c r="E13" s="30">
        <v>1019.0420753495006</v>
      </c>
      <c r="F13" s="30"/>
      <c r="G13" s="30">
        <v>480.39800648922301</v>
      </c>
      <c r="H13" s="30"/>
      <c r="I13" s="30">
        <v>519.69409900000005</v>
      </c>
      <c r="J13" s="30"/>
      <c r="K13" s="22">
        <f t="shared" si="0"/>
        <v>3.2188373435277452E-2</v>
      </c>
      <c r="L13" s="22"/>
      <c r="M13" s="22">
        <f t="shared" si="1"/>
        <v>1.5174280635207857E-2</v>
      </c>
      <c r="N13" s="22"/>
      <c r="O13" s="22">
        <f t="shared" si="2"/>
        <v>1.6415522121581504E-2</v>
      </c>
      <c r="P13" s="22"/>
      <c r="Q13" s="26">
        <f t="shared" si="3"/>
        <v>3.1589802756789361E-2</v>
      </c>
    </row>
    <row r="14" spans="1:17">
      <c r="A14" s="1">
        <v>2021</v>
      </c>
      <c r="B14" s="1"/>
      <c r="C14" s="29">
        <v>40356.495208879889</v>
      </c>
      <c r="D14" s="29"/>
      <c r="E14" s="30">
        <v>1738.618416167712</v>
      </c>
      <c r="F14" s="30"/>
      <c r="G14" s="30">
        <v>511.22783975846954</v>
      </c>
      <c r="H14" s="30"/>
      <c r="I14" s="30">
        <v>881.717985</v>
      </c>
      <c r="J14" s="30"/>
      <c r="K14" s="22">
        <f t="shared" si="0"/>
        <v>4.3081501680679965E-2</v>
      </c>
      <c r="L14" s="22"/>
      <c r="M14" s="22">
        <f t="shared" si="1"/>
        <v>1.2667795781383436E-2</v>
      </c>
      <c r="N14" s="22"/>
      <c r="O14" s="22">
        <f t="shared" si="2"/>
        <v>2.1848229893015839E-2</v>
      </c>
      <c r="P14" s="22"/>
      <c r="Q14" s="26">
        <f t="shared" si="3"/>
        <v>3.4516025674399278E-2</v>
      </c>
    </row>
    <row r="15" spans="1:17">
      <c r="A15" s="1">
        <v>2022</v>
      </c>
      <c r="B15" s="1"/>
      <c r="C15" s="29">
        <v>32132.906225517025</v>
      </c>
      <c r="D15" s="29"/>
      <c r="E15" s="30">
        <v>1655.5756486767364</v>
      </c>
      <c r="F15" s="30"/>
      <c r="G15" s="30">
        <v>564.56950100056997</v>
      </c>
      <c r="H15" s="30"/>
      <c r="I15" s="30">
        <v>922.68044699999996</v>
      </c>
      <c r="J15" s="30"/>
      <c r="K15" s="22">
        <f t="shared" ref="K15" si="4">E15/C15</f>
        <v>5.1522748582324904E-2</v>
      </c>
      <c r="L15" s="22"/>
      <c r="M15" s="22">
        <f t="shared" ref="M15" si="5">G15/C15</f>
        <v>1.756982381357838E-2</v>
      </c>
      <c r="N15" s="22"/>
      <c r="O15" s="22">
        <f t="shared" ref="O15" si="6">I15/C15</f>
        <v>2.8714503460234519E-2</v>
      </c>
      <c r="P15" s="22"/>
      <c r="Q15" s="26">
        <f t="shared" ref="Q15" si="7">M15+O15</f>
        <v>4.6284327273812903E-2</v>
      </c>
    </row>
    <row r="16" spans="1:17">
      <c r="A16" s="1">
        <v>2023</v>
      </c>
      <c r="B16" s="1"/>
      <c r="C16" s="29">
        <v>36870.116831972598</v>
      </c>
      <c r="D16" s="29"/>
      <c r="E16" s="30">
        <v>1789.8788141970158</v>
      </c>
      <c r="F16" s="30"/>
      <c r="G16" s="30">
        <v>588.23086917659498</v>
      </c>
      <c r="H16" s="30"/>
      <c r="I16" s="30">
        <v>795.16265700000008</v>
      </c>
      <c r="J16" s="30"/>
      <c r="K16" s="22">
        <f t="shared" si="0"/>
        <v>4.8545515121473377E-2</v>
      </c>
      <c r="L16" s="22"/>
      <c r="M16" s="22">
        <f t="shared" si="1"/>
        <v>1.595413629572499E-2</v>
      </c>
      <c r="N16" s="22"/>
      <c r="O16" s="22">
        <f t="shared" si="2"/>
        <v>2.1566589024487718E-2</v>
      </c>
      <c r="P16" s="22"/>
      <c r="Q16" s="26">
        <f t="shared" si="3"/>
        <v>3.7520725320212708E-2</v>
      </c>
    </row>
    <row r="17" spans="1: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>
      <c r="A18" s="13"/>
      <c r="B18" s="13"/>
      <c r="Q18" s="27"/>
    </row>
    <row r="19" spans="1:17">
      <c r="A19" s="23" t="s">
        <v>27</v>
      </c>
      <c r="B19" s="23"/>
      <c r="C19" s="26">
        <f>AVERAGE(Q6:Q16)</f>
        <v>4.5048593460806814E-2</v>
      </c>
      <c r="D19" s="12"/>
      <c r="E19" s="1" t="s">
        <v>18</v>
      </c>
      <c r="Q19" s="27"/>
    </row>
    <row r="20" spans="1:17">
      <c r="A20" s="23" t="s">
        <v>28</v>
      </c>
      <c r="B20" s="23"/>
      <c r="C20" s="22">
        <f>(E16/E6)^(1/10)-1</f>
        <v>6.4721744391456726E-2</v>
      </c>
      <c r="D20" s="25"/>
      <c r="E20" s="1" t="s">
        <v>29</v>
      </c>
      <c r="Q20" s="27"/>
    </row>
    <row r="21" spans="1:17">
      <c r="A21" s="23" t="s">
        <v>30</v>
      </c>
      <c r="B21" s="23"/>
      <c r="C21" s="22">
        <f>'8 Risk Free Rate'!E35</f>
        <v>4.3623333333333333E-2</v>
      </c>
      <c r="E21" s="1" t="s">
        <v>31</v>
      </c>
      <c r="Q21" s="27"/>
    </row>
    <row r="22" spans="1:17">
      <c r="A22" s="23" t="s">
        <v>32</v>
      </c>
      <c r="B22" s="23"/>
      <c r="C22" s="171">
        <f>'4 Stock Price'!B5</f>
        <v>5787.4220000000014</v>
      </c>
      <c r="E22" s="1" t="s">
        <v>37</v>
      </c>
      <c r="Q22" s="27"/>
    </row>
    <row r="23" spans="1:17">
      <c r="A23" s="31"/>
      <c r="B23" s="3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/>
    </row>
    <row r="24" spans="1:17">
      <c r="A24" s="23"/>
      <c r="B24" s="23"/>
      <c r="Q24" s="27"/>
    </row>
    <row r="25" spans="1:17">
      <c r="A25" s="23"/>
      <c r="B25" s="23"/>
      <c r="C25" s="1" t="s">
        <v>38</v>
      </c>
      <c r="D25" s="1"/>
      <c r="E25" s="1" t="s">
        <v>39</v>
      </c>
      <c r="F25" s="1"/>
      <c r="G25" s="1" t="s">
        <v>40</v>
      </c>
      <c r="H25" s="1"/>
      <c r="I25" s="1" t="s">
        <v>41</v>
      </c>
      <c r="J25" s="1"/>
      <c r="K25" s="1" t="s">
        <v>42</v>
      </c>
      <c r="Q25" s="27"/>
    </row>
    <row r="26" spans="1:17">
      <c r="A26" s="23"/>
      <c r="B26" s="23"/>
      <c r="C26" s="1"/>
      <c r="D26" s="1"/>
      <c r="E26" s="1"/>
      <c r="F26" s="1"/>
      <c r="G26" s="1"/>
      <c r="H26" s="1"/>
      <c r="I26" s="1"/>
      <c r="J26" s="1"/>
      <c r="K26" s="1"/>
      <c r="Q26" s="27"/>
    </row>
    <row r="27" spans="1:17">
      <c r="A27" s="2" t="s">
        <v>24</v>
      </c>
      <c r="B27" s="23"/>
      <c r="C27" s="2">
        <v>1</v>
      </c>
      <c r="D27" s="1"/>
      <c r="E27" s="2">
        <v>2</v>
      </c>
      <c r="F27" s="1"/>
      <c r="G27" s="2">
        <v>3</v>
      </c>
      <c r="H27" s="1"/>
      <c r="I27" s="2">
        <v>4</v>
      </c>
      <c r="J27" s="1"/>
      <c r="K27" s="2">
        <v>5</v>
      </c>
      <c r="Q27" s="27"/>
    </row>
    <row r="28" spans="1:17">
      <c r="A28" s="23"/>
      <c r="B28" s="13"/>
      <c r="Q28" s="27"/>
    </row>
    <row r="29" spans="1:17">
      <c r="A29" s="23" t="s">
        <v>33</v>
      </c>
      <c r="B29" s="13"/>
      <c r="C29" s="21">
        <f>$C$19*$C$22*(1+$C$20)^C27</f>
        <v>277.58916474785991</v>
      </c>
      <c r="D29" s="21"/>
      <c r="E29" s="21">
        <f t="shared" ref="E29:K29" si="8">$C$19*$C$22*(1+$C$20)^E27</f>
        <v>295.55521971450889</v>
      </c>
      <c r="F29" s="21"/>
      <c r="G29" s="21">
        <f t="shared" si="8"/>
        <v>314.68406909843219</v>
      </c>
      <c r="H29" s="21"/>
      <c r="I29" s="21">
        <f t="shared" si="8"/>
        <v>335.05097098268442</v>
      </c>
      <c r="J29" s="21"/>
      <c r="K29" s="59">
        <f t="shared" si="8"/>
        <v>356.73605428473508</v>
      </c>
      <c r="Q29" s="27"/>
    </row>
    <row r="30" spans="1:17">
      <c r="A30" s="23" t="s">
        <v>34</v>
      </c>
      <c r="B30" s="13"/>
      <c r="C30" s="60"/>
      <c r="D30" s="60"/>
      <c r="E30" s="60"/>
      <c r="F30" s="60"/>
      <c r="G30" s="60"/>
      <c r="H30" s="60"/>
      <c r="I30" s="60"/>
      <c r="J30" s="60"/>
      <c r="K30" s="61">
        <f>K29*(1+C21)/C37</f>
        <v>7227.2568927639359</v>
      </c>
      <c r="Q30" s="27"/>
    </row>
    <row r="31" spans="1:17">
      <c r="A31" s="23" t="s">
        <v>35</v>
      </c>
      <c r="B31" s="13"/>
      <c r="C31" s="20">
        <f>C29/(1+$C$21+$C$37)^C27</f>
        <v>253.47451524414771</v>
      </c>
      <c r="D31" s="21"/>
      <c r="E31" s="20">
        <f t="shared" ref="E31:I31" si="9">E29/(1+$C$21+$C$37)^E27</f>
        <v>246.43490190294222</v>
      </c>
      <c r="F31" s="21"/>
      <c r="G31" s="20">
        <f t="shared" si="9"/>
        <v>239.59079601125666</v>
      </c>
      <c r="H31" s="21"/>
      <c r="I31" s="20">
        <f t="shared" si="9"/>
        <v>232.93676784433688</v>
      </c>
      <c r="J31" s="21"/>
      <c r="K31" s="61">
        <f>(K29+K30)/(1+$C$21+C37)^K27</f>
        <v>4814.563019059633</v>
      </c>
      <c r="Q31" s="27"/>
    </row>
    <row r="32" spans="1:17">
      <c r="A32" s="23"/>
      <c r="B32" s="13"/>
      <c r="Q32" s="27"/>
    </row>
    <row r="33" spans="1:17">
      <c r="A33" s="23" t="s">
        <v>36</v>
      </c>
      <c r="B33" s="13"/>
      <c r="C33" s="20">
        <f>SUM(C31,E31,G31,I31,K31)</f>
        <v>5787.0000000623168</v>
      </c>
      <c r="E33" s="1" t="s">
        <v>49</v>
      </c>
      <c r="Q33" s="27"/>
    </row>
    <row r="34" spans="1:17">
      <c r="A34" s="23"/>
      <c r="B34" s="13"/>
      <c r="C34" s="21"/>
      <c r="E34" s="1"/>
      <c r="Q34" s="27"/>
    </row>
    <row r="35" spans="1:17">
      <c r="A35" s="23" t="s">
        <v>56</v>
      </c>
      <c r="B35" s="13"/>
      <c r="C35" s="62">
        <f>C37+C21</f>
        <v>9.5136386711243276E-2</v>
      </c>
      <c r="E35" s="1" t="s">
        <v>50</v>
      </c>
      <c r="Q35" s="27"/>
    </row>
    <row r="36" spans="1:17" ht="15.75" thickBot="1">
      <c r="A36" s="23"/>
      <c r="B36" s="13"/>
      <c r="Q36" s="27"/>
    </row>
    <row r="37" spans="1:17" ht="15.75" thickBot="1">
      <c r="A37" s="28" t="s">
        <v>43</v>
      </c>
      <c r="B37" s="13"/>
      <c r="C37" s="172">
        <v>5.1513053377909936E-2</v>
      </c>
      <c r="E37" s="1" t="s">
        <v>57</v>
      </c>
      <c r="Q37" s="27"/>
    </row>
    <row r="38" spans="1:17">
      <c r="A38" s="31"/>
      <c r="B38" s="4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32"/>
    </row>
    <row r="39" spans="1:17">
      <c r="Q39" s="27"/>
    </row>
    <row r="40" spans="1:17">
      <c r="A40" s="23"/>
    </row>
    <row r="41" spans="1:17" s="49" customFormat="1" ht="14.45" customHeight="1">
      <c r="A41" s="215" t="s">
        <v>186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</row>
    <row r="42" spans="1:17" s="49" customFormat="1" ht="14.45" customHeight="1">
      <c r="A42" s="215" t="s">
        <v>62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</row>
    <row r="43" spans="1:17" s="49" customFormat="1" ht="14.45" customHeight="1">
      <c r="A43" s="215" t="s">
        <v>44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</row>
    <row r="44" spans="1:17" s="49" customFormat="1" ht="14.45" customHeight="1">
      <c r="A44" s="215" t="s">
        <v>45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7" s="49" customFormat="1" ht="14.45" customHeight="1">
      <c r="A45" s="215" t="s">
        <v>46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1:17" s="49" customFormat="1" ht="14.45" customHeight="1">
      <c r="A46" s="215" t="s">
        <v>47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s="49" customFormat="1" ht="14.45" customHeight="1">
      <c r="A47" s="215" t="s">
        <v>48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1:17" s="49" customFormat="1" ht="14.45" customHeight="1">
      <c r="A48" s="215" t="s">
        <v>187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1:17" s="49" customFormat="1" ht="14.45" customHeight="1">
      <c r="A49" s="215" t="s">
        <v>188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1:17" s="49" customFormat="1" ht="14.45" customHeight="1">
      <c r="A50" s="215" t="s">
        <v>189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1:17" s="49" customFormat="1" ht="14.45" customHeight="1">
      <c r="A51" s="215" t="s">
        <v>64</v>
      </c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</row>
    <row r="52" spans="1:17" s="49" customFormat="1" ht="14.45" customHeight="1">
      <c r="A52" s="215" t="s">
        <v>65</v>
      </c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</row>
    <row r="53" spans="1:17" s="49" customFormat="1" ht="14.45" customHeight="1">
      <c r="A53" s="215" t="s">
        <v>66</v>
      </c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</row>
    <row r="54" spans="1:17" s="49" customFormat="1" ht="14.45" customHeight="1">
      <c r="A54" s="215" t="s">
        <v>61</v>
      </c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</row>
    <row r="55" spans="1:17" s="49" customFormat="1" ht="14.45" customHeight="1">
      <c r="A55" s="215" t="s">
        <v>67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</row>
    <row r="56" spans="1:17">
      <c r="A56" s="23"/>
    </row>
    <row r="57" spans="1:17">
      <c r="A57" s="23"/>
    </row>
    <row r="58" spans="1:17">
      <c r="A58" s="23"/>
    </row>
    <row r="59" spans="1:17">
      <c r="A59" s="23"/>
    </row>
    <row r="60" spans="1:17">
      <c r="A60" s="23"/>
    </row>
    <row r="61" spans="1:17">
      <c r="A61" s="23"/>
    </row>
    <row r="62" spans="1:17">
      <c r="A62" s="23"/>
    </row>
    <row r="63" spans="1:17">
      <c r="A63" s="23"/>
    </row>
    <row r="64" spans="1:17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  <row r="92" spans="1:1">
      <c r="A92" s="23"/>
    </row>
    <row r="93" spans="1:1">
      <c r="A93" s="23"/>
    </row>
    <row r="94" spans="1:1">
      <c r="A94" s="23"/>
    </row>
    <row r="95" spans="1:1">
      <c r="A95" s="23"/>
    </row>
    <row r="96" spans="1:1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1">
      <c r="A113" s="23"/>
    </row>
    <row r="114" spans="1:1">
      <c r="A114" s="23"/>
    </row>
    <row r="115" spans="1:1">
      <c r="A115" s="23"/>
    </row>
    <row r="116" spans="1:1">
      <c r="A116" s="23"/>
    </row>
    <row r="117" spans="1:1">
      <c r="A117" s="23"/>
    </row>
    <row r="118" spans="1:1">
      <c r="A118" s="23"/>
    </row>
    <row r="119" spans="1:1">
      <c r="A119" s="23"/>
    </row>
    <row r="120" spans="1:1">
      <c r="A120" s="23"/>
    </row>
    <row r="121" spans="1:1">
      <c r="A121" s="23"/>
    </row>
    <row r="122" spans="1:1">
      <c r="A122" s="23"/>
    </row>
    <row r="123" spans="1:1">
      <c r="A123" s="23"/>
    </row>
    <row r="124" spans="1:1">
      <c r="A124" s="23"/>
    </row>
    <row r="125" spans="1:1">
      <c r="A125" s="23"/>
    </row>
    <row r="126" spans="1:1">
      <c r="A126" s="23"/>
    </row>
    <row r="127" spans="1:1">
      <c r="A127" s="23"/>
    </row>
    <row r="128" spans="1:1">
      <c r="A128" s="23"/>
    </row>
    <row r="129" spans="1:1">
      <c r="A129" s="23"/>
    </row>
    <row r="130" spans="1:1">
      <c r="A130" s="23"/>
    </row>
    <row r="131" spans="1:1">
      <c r="A131" s="2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</sheetData>
  <mergeCells count="15">
    <mergeCell ref="A46:Q46"/>
    <mergeCell ref="A41:Q41"/>
    <mergeCell ref="A42:Q42"/>
    <mergeCell ref="A43:Q43"/>
    <mergeCell ref="A44:Q44"/>
    <mergeCell ref="A45:Q45"/>
    <mergeCell ref="A53:Q53"/>
    <mergeCell ref="A54:Q54"/>
    <mergeCell ref="A55:Q55"/>
    <mergeCell ref="A47:Q47"/>
    <mergeCell ref="A48:Q48"/>
    <mergeCell ref="A49:Q49"/>
    <mergeCell ref="A50:Q50"/>
    <mergeCell ref="A51:Q51"/>
    <mergeCell ref="A52:Q52"/>
  </mergeCells>
  <printOptions horizontalCentered="1"/>
  <pageMargins left="0.7" right="0.7" top="0.75" bottom="0.75" header="0.3" footer="0.3"/>
  <pageSetup scale="62" orientation="landscape" r:id="rId1"/>
  <headerFooter scaleWithDoc="0">
    <oddHeader>&amp;C&amp;"-,Bold"&amp;14CAPM - Implied Equity Risk Premium Estimate&amp;RExhibit DJG-10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R34"/>
  <sheetViews>
    <sheetView zoomScale="90" zoomScaleNormal="90" workbookViewId="0"/>
  </sheetViews>
  <sheetFormatPr defaultColWidth="9.140625" defaultRowHeight="15"/>
  <cols>
    <col min="1" max="1" width="29.7109375" style="65" customWidth="1"/>
    <col min="2" max="2" width="2.7109375" style="65" customWidth="1"/>
    <col min="3" max="3" width="10.7109375" style="65" customWidth="1"/>
    <col min="4" max="4" width="2.7109375" style="65" customWidth="1"/>
    <col min="5" max="5" width="3.28515625" style="65" customWidth="1"/>
    <col min="6" max="7" width="9.140625" style="65"/>
    <col min="8" max="8" width="17.85546875" style="65" customWidth="1"/>
    <col min="9" max="16384" width="9.140625" style="65"/>
  </cols>
  <sheetData>
    <row r="1" spans="1:10">
      <c r="A1" s="64"/>
      <c r="B1" s="64"/>
      <c r="C1" s="64"/>
      <c r="D1" s="64"/>
      <c r="E1" s="64"/>
    </row>
    <row r="3" spans="1:10">
      <c r="A3" s="66"/>
      <c r="C3" s="67"/>
      <c r="D3" s="67"/>
      <c r="E3" s="68"/>
      <c r="H3" s="65" t="s">
        <v>68</v>
      </c>
      <c r="I3" s="202">
        <v>8.0199999999999994E-2</v>
      </c>
    </row>
    <row r="4" spans="1:10">
      <c r="A4" s="66" t="s">
        <v>76</v>
      </c>
      <c r="C4" s="114">
        <v>5.5E-2</v>
      </c>
      <c r="D4" s="71"/>
      <c r="E4" s="68" t="s">
        <v>3</v>
      </c>
      <c r="H4"/>
      <c r="I4" s="69"/>
      <c r="J4" s="69"/>
    </row>
    <row r="5" spans="1:10">
      <c r="A5" s="132"/>
      <c r="C5" s="70"/>
      <c r="D5" s="71"/>
      <c r="E5" s="68"/>
      <c r="I5" s="69"/>
      <c r="J5" s="69"/>
    </row>
    <row r="6" spans="1:10">
      <c r="A6" t="s">
        <v>194</v>
      </c>
      <c r="C6" s="114">
        <v>0.05</v>
      </c>
      <c r="E6" s="1" t="s">
        <v>4</v>
      </c>
      <c r="I6" s="72"/>
    </row>
    <row r="7" spans="1:10">
      <c r="A7" s="133"/>
      <c r="C7" s="70"/>
      <c r="E7" s="68"/>
      <c r="I7" s="69"/>
    </row>
    <row r="8" spans="1:10">
      <c r="A8" s="23" t="s">
        <v>147</v>
      </c>
      <c r="C8" s="152">
        <f>AVERAGE(0.0404,0.0429,0.0619,0.0417,0.039)</f>
        <v>4.5180000000000005E-2</v>
      </c>
      <c r="D8" s="71"/>
      <c r="E8" s="1" t="s">
        <v>5</v>
      </c>
      <c r="I8" s="69"/>
    </row>
    <row r="9" spans="1:10">
      <c r="A9" s="23"/>
      <c r="C9" s="152"/>
      <c r="D9" s="71"/>
      <c r="E9" s="1"/>
      <c r="I9" s="69"/>
    </row>
    <row r="10" spans="1:10">
      <c r="A10" s="66" t="s">
        <v>75</v>
      </c>
      <c r="C10" s="73">
        <f>'10 Implied ERP'!C37</f>
        <v>5.1513053377909936E-2</v>
      </c>
      <c r="D10" s="71"/>
      <c r="E10" s="1" t="s">
        <v>6</v>
      </c>
      <c r="I10" s="69"/>
    </row>
    <row r="11" spans="1:10">
      <c r="C11" s="74"/>
      <c r="D11" s="67"/>
      <c r="E11" s="68"/>
      <c r="I11" s="69"/>
    </row>
    <row r="12" spans="1:10">
      <c r="A12" s="13" t="s">
        <v>58</v>
      </c>
      <c r="C12" s="143">
        <f>AVERAGE(C4:C10)</f>
        <v>5.0423263344477484E-2</v>
      </c>
      <c r="D12" s="67"/>
      <c r="E12" s="68"/>
      <c r="I12" s="69"/>
    </row>
    <row r="13" spans="1:10">
      <c r="A13" s="75"/>
      <c r="B13" s="64"/>
      <c r="C13" s="76"/>
      <c r="D13" s="76"/>
      <c r="E13" s="77"/>
      <c r="I13" s="69"/>
    </row>
    <row r="14" spans="1:10">
      <c r="I14" s="69"/>
    </row>
    <row r="16" spans="1:10">
      <c r="A16" s="216" t="s">
        <v>211</v>
      </c>
      <c r="B16" s="216"/>
      <c r="C16" s="216"/>
      <c r="D16" s="216"/>
      <c r="E16" s="216"/>
    </row>
    <row r="17" spans="1:18">
      <c r="A17" s="216" t="s">
        <v>216</v>
      </c>
      <c r="B17" s="216"/>
      <c r="C17" s="216"/>
      <c r="D17" s="216"/>
      <c r="E17" s="216"/>
      <c r="I17" s="72"/>
    </row>
    <row r="18" spans="1:18">
      <c r="A18" s="216" t="s">
        <v>235</v>
      </c>
      <c r="B18" s="216"/>
      <c r="C18" s="216"/>
      <c r="D18" s="216"/>
      <c r="E18" s="216"/>
    </row>
    <row r="19" spans="1:18">
      <c r="A19" s="216" t="s">
        <v>149</v>
      </c>
      <c r="B19" s="216"/>
      <c r="C19" s="216"/>
      <c r="D19" s="216"/>
      <c r="E19" s="216"/>
    </row>
    <row r="20" spans="1:18" s="79" customFormat="1" ht="14.25" customHeight="1">
      <c r="A20" s="65"/>
      <c r="B20" s="65"/>
      <c r="C20" s="65"/>
      <c r="D20" s="65"/>
      <c r="E20" s="65"/>
      <c r="H20" s="65"/>
      <c r="I20" s="65"/>
      <c r="J20" s="65"/>
      <c r="K20" s="65"/>
      <c r="L20" s="65"/>
      <c r="M20" s="65"/>
      <c r="N20" s="65"/>
    </row>
    <row r="21" spans="1:18" s="79" customFormat="1" ht="14.25" customHeight="1">
      <c r="A21" s="65"/>
      <c r="B21" s="65"/>
      <c r="C21" s="65"/>
      <c r="D21" s="65"/>
      <c r="E21" s="65"/>
      <c r="H21" s="78"/>
      <c r="I21" s="78"/>
      <c r="J21" s="65"/>
      <c r="K21" s="65"/>
      <c r="L21" s="65"/>
      <c r="M21" s="65"/>
      <c r="N21" s="65"/>
    </row>
    <row r="22" spans="1:18" s="79" customFormat="1" ht="14.45" customHeight="1">
      <c r="A22" s="65"/>
      <c r="B22" s="65"/>
      <c r="C22" s="65"/>
      <c r="D22" s="65"/>
      <c r="E22" s="65"/>
      <c r="H22" s="78"/>
      <c r="I22" s="78"/>
      <c r="J22" s="78"/>
      <c r="K22" s="78"/>
      <c r="L22" s="78"/>
      <c r="M22" s="78"/>
      <c r="N22" s="78"/>
      <c r="R22" s="115"/>
    </row>
    <row r="23" spans="1:18" s="79" customFormat="1" ht="14.45" customHeight="1">
      <c r="A23" s="65"/>
      <c r="B23" s="65"/>
      <c r="C23" s="65"/>
      <c r="D23" s="65"/>
      <c r="E23" s="65"/>
      <c r="H23" s="78"/>
      <c r="I23" s="78"/>
      <c r="J23" s="78"/>
      <c r="K23" s="78"/>
      <c r="L23" s="78"/>
      <c r="M23" s="78"/>
      <c r="N23" s="78"/>
      <c r="R23" s="115"/>
    </row>
    <row r="24" spans="1:18" s="79" customFormat="1" ht="14.45" customHeight="1">
      <c r="A24" s="65"/>
      <c r="B24" s="65"/>
      <c r="C24" s="65"/>
      <c r="D24" s="65"/>
      <c r="E24" s="65"/>
      <c r="I24" s="78"/>
      <c r="J24" s="78"/>
      <c r="K24" s="78"/>
      <c r="L24" s="78"/>
      <c r="M24" s="78"/>
      <c r="N24" s="78"/>
    </row>
    <row r="25" spans="1:18" s="79" customFormat="1" ht="14.45" customHeight="1">
      <c r="A25" s="65"/>
      <c r="B25" s="65"/>
      <c r="C25" s="65"/>
      <c r="D25" s="65"/>
      <c r="E25" s="65"/>
      <c r="J25" s="78"/>
      <c r="K25" s="78"/>
      <c r="L25" s="78"/>
      <c r="M25" s="78"/>
      <c r="N25" s="78"/>
    </row>
    <row r="26" spans="1:18">
      <c r="H26" s="79"/>
      <c r="I26" s="79"/>
      <c r="J26" s="79"/>
      <c r="K26" s="79"/>
      <c r="L26" s="79"/>
      <c r="M26" s="79"/>
      <c r="N26" s="79"/>
    </row>
    <row r="27" spans="1:18">
      <c r="H27" s="79"/>
      <c r="I27" s="79"/>
      <c r="J27" s="79"/>
      <c r="K27" s="79"/>
      <c r="L27" s="79"/>
      <c r="M27" s="79"/>
      <c r="N27" s="79"/>
    </row>
    <row r="28" spans="1:18">
      <c r="H28" s="79"/>
      <c r="I28" s="79"/>
      <c r="J28" s="79"/>
      <c r="K28" s="79"/>
      <c r="L28" s="79"/>
      <c r="M28" s="79"/>
      <c r="N28" s="79"/>
    </row>
    <row r="29" spans="1:18">
      <c r="H29" s="79"/>
      <c r="I29" s="79"/>
      <c r="J29" s="79"/>
      <c r="K29" s="79"/>
      <c r="L29" s="79"/>
      <c r="M29" s="79"/>
      <c r="N29" s="79"/>
    </row>
    <row r="30" spans="1:18">
      <c r="H30" s="79"/>
      <c r="I30" s="79"/>
      <c r="J30" s="79"/>
      <c r="K30" s="79"/>
      <c r="L30" s="79"/>
      <c r="M30" s="79"/>
      <c r="N30" s="79"/>
    </row>
    <row r="31" spans="1:18">
      <c r="H31" s="79"/>
      <c r="I31" s="79"/>
      <c r="J31" s="79"/>
      <c r="K31" s="79"/>
      <c r="L31" s="79"/>
      <c r="M31" s="79"/>
      <c r="N31" s="79"/>
    </row>
    <row r="32" spans="1:18">
      <c r="H32" s="79"/>
      <c r="I32" s="79"/>
      <c r="J32" s="79"/>
      <c r="K32" s="79"/>
      <c r="L32" s="79"/>
      <c r="M32" s="79"/>
      <c r="N32" s="79"/>
    </row>
    <row r="33" spans="9:14">
      <c r="I33" s="79"/>
      <c r="J33" s="79"/>
      <c r="K33" s="79"/>
      <c r="L33" s="79"/>
      <c r="M33" s="79"/>
      <c r="N33" s="79"/>
    </row>
    <row r="34" spans="9:14">
      <c r="J34" s="79"/>
      <c r="K34" s="79"/>
      <c r="L34" s="79"/>
      <c r="M34" s="79"/>
      <c r="N34" s="79"/>
    </row>
  </sheetData>
  <mergeCells count="4">
    <mergeCell ref="A16:E16"/>
    <mergeCell ref="A17:E17"/>
    <mergeCell ref="A18:E18"/>
    <mergeCell ref="A19:E19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- Equity Risk Premium Results&amp;RExhibit DJG-11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20C93DAD87B847B66E4E507AAAD9DF" ma:contentTypeVersion="12" ma:contentTypeDescription="" ma:contentTypeScope="" ma:versionID="0b31cac010cf5948f6199b6be3e688b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2024-02-29T08:00:00+00:00</OpenedDate>
    <SignificantOrder xmlns="dc463f71-b30c-4ab2-9473-d307f9d35888">false</SignificantOrder>
    <Date1 xmlns="dc463f71-b30c-4ab2-9473-d307f9d35888">2024-11-20T08:00:00+00:00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Cascadia Water, LLC</CaseCompanyNames>
    <Nickname xmlns="http://schemas.microsoft.com/sharepoint/v3" xsi:nil="true"/>
    <DocketNumber xmlns="dc463f71-b30c-4ab2-9473-d307f9d35888">240151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2FF498-7348-4F61-A4AA-EA1E261952D7}"/>
</file>

<file path=customXml/itemProps2.xml><?xml version="1.0" encoding="utf-8"?>
<ds:datastoreItem xmlns:ds="http://schemas.openxmlformats.org/officeDocument/2006/customXml" ds:itemID="{C942AB27-0AC2-4470-A9E0-0996A1B806CB}"/>
</file>

<file path=customXml/itemProps3.xml><?xml version="1.0" encoding="utf-8"?>
<ds:datastoreItem xmlns:ds="http://schemas.openxmlformats.org/officeDocument/2006/customXml" ds:itemID="{F097B991-946F-4B13-9A57-427664566D57}"/>
</file>

<file path=customXml/itemProps4.xml><?xml version="1.0" encoding="utf-8"?>
<ds:datastoreItem xmlns:ds="http://schemas.openxmlformats.org/officeDocument/2006/customXml" ds:itemID="{AF9866CE-57EA-4447-9EBD-99781D9C7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3 Proxy Sum</vt:lpstr>
      <vt:lpstr>4 Stock Price</vt:lpstr>
      <vt:lpstr>5 Div Yields</vt:lpstr>
      <vt:lpstr>6 Growth Determinants</vt:lpstr>
      <vt:lpstr>7 DCF Result</vt:lpstr>
      <vt:lpstr>8 Risk Free Rate</vt:lpstr>
      <vt:lpstr>9 Beta</vt:lpstr>
      <vt:lpstr>10 Implied ERP</vt:lpstr>
      <vt:lpstr>11 ERP Result</vt:lpstr>
      <vt:lpstr>12 CAPM Result</vt:lpstr>
      <vt:lpstr>13 COE Summary</vt:lpstr>
      <vt:lpstr>14 Proxy Debt Ratios</vt:lpstr>
      <vt:lpstr>15 Competitive Debt Ratios</vt:lpstr>
      <vt:lpstr>16 Hamada Model</vt:lpstr>
      <vt:lpstr>Fig Industry Betas</vt:lpstr>
      <vt:lpstr>Fig CAPM Graph</vt:lpstr>
      <vt:lpstr>Fig Bus Cycle</vt:lpstr>
      <vt:lpstr>Fig Diversify</vt:lpstr>
      <vt:lpstr>'11 ERP Result'!Print_Area</vt:lpstr>
      <vt:lpstr>'15 Competitive Debt Ratios'!Print_Area</vt:lpstr>
      <vt:lpstr>'Fig Bus Cycle'!Print_Area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2017-11-01T15:11:40Z</dcterms:created>
  <dcterms:modified xsi:type="dcterms:W3CDTF">2024-11-20T16:46:12Z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0x0101006E56B4D1795A2E4DB2F0B01679ED314A001420C93DAD87B847B66E4E507AAAD9DF</vt:lpwstr>
  </property>
  <property fmtid="{D5CDD505-2E9C-101B-9397-08002B2CF9AE}" pid="3" name="_docset_NoMedatataSyncRequired">
    <vt:lpwstr>False</vt:lpwstr>
  </property>
</Properties>
</file>