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customXml/itemProps1.xml" ContentType="application/vnd.openxmlformats-officedocument.customXmlProperties+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xl/comments1.xml" ContentType="application/vnd.openxmlformats-officedocument.spreadsheetml.comment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https://projects.nwnatural.com/sites/operations/RateCase/WA2021/Testimony and Exhibits/Rev_Requirement/Work Papers/"/>
    </mc:Choice>
  </mc:AlternateContent>
  <xr:revisionPtr revIDLastSave="0" documentId="13_ncr:1_{55656F4C-3CFA-44AE-81F5-FD98B0F6F7AF}" xr6:coauthVersionLast="36" xr6:coauthVersionMax="36" xr10:uidLastSave="{00000000-0000-0000-0000-000000000000}"/>
  <bookViews>
    <workbookView xWindow="0" yWindow="0" windowWidth="51600" windowHeight="17025" xr2:uid="{FA563E67-403F-4957-9B24-F8D4DDA44B45}"/>
  </bookViews>
  <sheets>
    <sheet name="SAP Upload" sheetId="4" r:id="rId1"/>
    <sheet name="Journal Page" sheetId="6" r:id="rId2"/>
    <sheet name="Support" sheetId="5" r:id="rId3"/>
    <sheet name="Summary" sheetId="25" r:id="rId4"/>
    <sheet name="SAP detail" sheetId="26" r:id="rId5"/>
    <sheet name="2020 vs 2019 Clearing Adj" sheetId="30" r:id="rId6"/>
  </sheets>
  <externalReferences>
    <externalReference r:id="rId7"/>
    <externalReference r:id="rId8"/>
    <externalReference r:id="rId9"/>
    <externalReference r:id="rId10"/>
    <externalReference r:id="rId11"/>
    <externalReference r:id="rId12"/>
  </externalReferences>
  <definedNames>
    <definedName name="_bon08" localSheetId="3">#REF!</definedName>
    <definedName name="_bon08">#REF!</definedName>
    <definedName name="_gip08" localSheetId="3">#REF!</definedName>
    <definedName name="_gip08">#REF!</definedName>
    <definedName name="_nbu2500" localSheetId="3">#REF!</definedName>
    <definedName name="_nbu2500">#REF!</definedName>
    <definedName name="_ptp08" localSheetId="3">#REF!</definedName>
    <definedName name="_ptp08">#REF!</definedName>
    <definedName name="_sbn08" localSheetId="3">#REF!</definedName>
    <definedName name="_sbn08">#REF!</definedName>
    <definedName name="A" localSheetId="3">[1]DEPR!#REF!</definedName>
    <definedName name="A">[1]DEPR!#REF!</definedName>
    <definedName name="ALLOCATION" localSheetId="3">#REF!</definedName>
    <definedName name="ALLOCATION">#REF!</definedName>
    <definedName name="BON00" localSheetId="3">#REF!</definedName>
    <definedName name="BON00">#REF!</definedName>
    <definedName name="BONUS_90_88">#N/A</definedName>
    <definedName name="bonus00" localSheetId="3">#REF!</definedName>
    <definedName name="bonus00">#REF!</definedName>
    <definedName name="BUBenefits00" localSheetId="3">#REF!</definedName>
    <definedName name="BUBenefits00">#REF!</definedName>
    <definedName name="buc00" localSheetId="3">#REF!</definedName>
    <definedName name="buc00">#REF!</definedName>
    <definedName name="buf00" localSheetId="3">#REF!</definedName>
    <definedName name="buf00">#REF!</definedName>
    <definedName name="cashallow99" localSheetId="3">#REF!</definedName>
    <definedName name="cashallow99">#REF!</definedName>
    <definedName name="clerical99" localSheetId="3">#REF!</definedName>
    <definedName name="clerical99">#REF!</definedName>
    <definedName name="column00" localSheetId="3">#REF!</definedName>
    <definedName name="column00">#REF!</definedName>
    <definedName name="count00" localSheetId="3">#REF!</definedName>
    <definedName name="count00">#REF!</definedName>
    <definedName name="data00" localSheetId="3">#REF!</definedName>
    <definedName name="data00">#REF!</definedName>
    <definedName name="data081" localSheetId="3">#REF!</definedName>
    <definedName name="data081">#REF!</definedName>
    <definedName name="DATA1" localSheetId="3">#REF!</definedName>
    <definedName name="DATA1">#REF!</definedName>
    <definedName name="DATA10" localSheetId="3">#REF!</definedName>
    <definedName name="DATA10">#REF!</definedName>
    <definedName name="DATA11" localSheetId="3">#REF!</definedName>
    <definedName name="DATA11">#REF!</definedName>
    <definedName name="DATA12" localSheetId="3">#REF!</definedName>
    <definedName name="DATA12">#REF!</definedName>
    <definedName name="DATA13" localSheetId="3">#REF!</definedName>
    <definedName name="DATA13">#REF!</definedName>
    <definedName name="DATA14" localSheetId="3">#REF!</definedName>
    <definedName name="DATA14">#REF!</definedName>
    <definedName name="DATA15" localSheetId="3">#REF!</definedName>
    <definedName name="DATA15">#REF!</definedName>
    <definedName name="DATA16" localSheetId="3">#REF!</definedName>
    <definedName name="DATA16">#REF!</definedName>
    <definedName name="DATA17" localSheetId="3">#REF!</definedName>
    <definedName name="DATA17">#REF!</definedName>
    <definedName name="DATA18" localSheetId="3">#REF!</definedName>
    <definedName name="DATA18">#REF!</definedName>
    <definedName name="DATA19" localSheetId="3">#REF!</definedName>
    <definedName name="DATA19">#REF!</definedName>
    <definedName name="DATA2" localSheetId="3">#REF!</definedName>
    <definedName name="DATA2">#REF!</definedName>
    <definedName name="DATA20" localSheetId="3">#REF!</definedName>
    <definedName name="DATA20">#REF!</definedName>
    <definedName name="DATA21" localSheetId="3">#REF!</definedName>
    <definedName name="DATA21">#REF!</definedName>
    <definedName name="DATA22" localSheetId="3">#REF!</definedName>
    <definedName name="DATA22">#REF!</definedName>
    <definedName name="DATA23" localSheetId="3">#REF!</definedName>
    <definedName name="DATA23">#REF!</definedName>
    <definedName name="DATA24" localSheetId="3">#REF!</definedName>
    <definedName name="DATA24">#REF!</definedName>
    <definedName name="DATA25" localSheetId="3">#REF!</definedName>
    <definedName name="DATA25">#REF!</definedName>
    <definedName name="DATA26" localSheetId="3">#REF!</definedName>
    <definedName name="DATA26">#REF!</definedName>
    <definedName name="DATA27" localSheetId="3">#REF!</definedName>
    <definedName name="DATA27">#REF!</definedName>
    <definedName name="DATA28" localSheetId="3">#REF!</definedName>
    <definedName name="DATA28">#REF!</definedName>
    <definedName name="DATA29" localSheetId="3">#REF!</definedName>
    <definedName name="DATA29">#REF!</definedName>
    <definedName name="DATA3" localSheetId="3">#REF!</definedName>
    <definedName name="DATA3">#REF!</definedName>
    <definedName name="DATA30" localSheetId="3">#REF!</definedName>
    <definedName name="DATA30">#REF!</definedName>
    <definedName name="DATA31" localSheetId="3">#REF!</definedName>
    <definedName name="DATA31">#REF!</definedName>
    <definedName name="DATA32" localSheetId="3">#REF!</definedName>
    <definedName name="DATA32">#REF!</definedName>
    <definedName name="DATA33" localSheetId="3">#REF!</definedName>
    <definedName name="DATA33">#REF!</definedName>
    <definedName name="DATA34" localSheetId="3">#REF!</definedName>
    <definedName name="DATA34">#REF!</definedName>
    <definedName name="DATA35" localSheetId="3">#REF!</definedName>
    <definedName name="DATA35">#REF!</definedName>
    <definedName name="DATA36" localSheetId="3">#REF!</definedName>
    <definedName name="DATA36">#REF!</definedName>
    <definedName name="DATA37" localSheetId="3">#REF!</definedName>
    <definedName name="DATA37">#REF!</definedName>
    <definedName name="DATA38" localSheetId="3">#REF!</definedName>
    <definedName name="DATA38">#REF!</definedName>
    <definedName name="DATA39" localSheetId="3">#REF!</definedName>
    <definedName name="DATA39">#REF!</definedName>
    <definedName name="DATA4" localSheetId="3">#REF!</definedName>
    <definedName name="DATA4">#REF!</definedName>
    <definedName name="DATA40" localSheetId="3">#REF!</definedName>
    <definedName name="DATA40">#REF!</definedName>
    <definedName name="DATA41" localSheetId="3">#REF!</definedName>
    <definedName name="DATA41">#REF!</definedName>
    <definedName name="DATA42" localSheetId="3">#REF!</definedName>
    <definedName name="DATA42">#REF!</definedName>
    <definedName name="DATA5" localSheetId="3">#REF!</definedName>
    <definedName name="DATA5">#REF!</definedName>
    <definedName name="DATA6" localSheetId="3">#REF!</definedName>
    <definedName name="DATA6">#REF!</definedName>
    <definedName name="DATA7" localSheetId="3">#REF!</definedName>
    <definedName name="DATA7">#REF!</definedName>
    <definedName name="DATA8" localSheetId="3">#REF!</definedName>
    <definedName name="DATA8">#REF!</definedName>
    <definedName name="DATA9" localSheetId="3">#REF!</definedName>
    <definedName name="DATA9">#REF!</definedName>
    <definedName name="Def401b00" localSheetId="3">#REF!</definedName>
    <definedName name="Def401b00">#REF!</definedName>
    <definedName name="Def401b01" localSheetId="3">#REF!</definedName>
    <definedName name="Def401b01">#REF!</definedName>
    <definedName name="Def401p00" localSheetId="3">#REF!</definedName>
    <definedName name="Def401p00">#REF!</definedName>
    <definedName name="Def401p01" localSheetId="3">#REF!</definedName>
    <definedName name="Def401p01">#REF!</definedName>
    <definedName name="Def401pct" localSheetId="3">#REF!</definedName>
    <definedName name="Def401pct">#REF!</definedName>
    <definedName name="Defedcb00" localSheetId="3">#REF!</definedName>
    <definedName name="Defedcb00">#REF!</definedName>
    <definedName name="Defedcb01" localSheetId="3">#REF!</definedName>
    <definedName name="Defedcb01">#REF!</definedName>
    <definedName name="Defedcp00" localSheetId="3">#REF!</definedName>
    <definedName name="Defedcp00">#REF!</definedName>
    <definedName name="Defedcp01" localSheetId="3">#REF!</definedName>
    <definedName name="Defedcp01">#REF!</definedName>
    <definedName name="Defedcpct" localSheetId="3">#REF!</definedName>
    <definedName name="Defedcpct">#REF!</definedName>
    <definedName name="DefNames" localSheetId="3">#REF!</definedName>
    <definedName name="DefNames">#REF!</definedName>
    <definedName name="dental00" localSheetId="3">#REF!</definedName>
    <definedName name="dental00">#REF!</definedName>
    <definedName name="dentalallow00" localSheetId="3">#REF!</definedName>
    <definedName name="dentalallow00">#REF!</definedName>
    <definedName name="dentalallow99" localSheetId="3">#REF!</definedName>
    <definedName name="dentalallow99">#REF!</definedName>
    <definedName name="dentalpremium00" localSheetId="3">#REF!</definedName>
    <definedName name="dentalpremium00">#REF!</definedName>
    <definedName name="dentalpremium99" localSheetId="3">#REF!</definedName>
    <definedName name="dentalpremium99">#REF!</definedName>
    <definedName name="earn08" localSheetId="3">#REF!</definedName>
    <definedName name="earn08">#REF!</definedName>
    <definedName name="earn081" localSheetId="3">#REF!</definedName>
    <definedName name="earn081">#REF!</definedName>
    <definedName name="emplid00" localSheetId="3">#REF!</definedName>
    <definedName name="emplid00">#REF!</definedName>
    <definedName name="EssOptions">"A2000001100110000011001100000_04-   00"</definedName>
    <definedName name="field99" localSheetId="3">#REF!</definedName>
    <definedName name="field99">#REF!</definedName>
    <definedName name="glac0200" localSheetId="3">#REF!</definedName>
    <definedName name="glac0200">#REF!</definedName>
    <definedName name="gldist" localSheetId="3">#REF!</definedName>
    <definedName name="gldist">#REF!</definedName>
    <definedName name="gldist2" localSheetId="3">#REF!</definedName>
    <definedName name="gldist2">#REF!</definedName>
    <definedName name="jobhist00" localSheetId="3">#REF!</definedName>
    <definedName name="jobhist00">#REF!</definedName>
    <definedName name="jobhist99" localSheetId="3">#REF!</definedName>
    <definedName name="jobhist99">#REF!</definedName>
    <definedName name="KBA" localSheetId="3">'[2]FEB GL'!#REF!</definedName>
    <definedName name="KBA">'[2]FEB GL'!#REF!</definedName>
    <definedName name="keygoal00" localSheetId="3">#REF!</definedName>
    <definedName name="keygoal00">#REF!</definedName>
    <definedName name="life00" localSheetId="3">#REF!</definedName>
    <definedName name="life00">#REF!</definedName>
    <definedName name="lifeallow99" localSheetId="3">#REF!</definedName>
    <definedName name="lifeallow99">#REF!</definedName>
    <definedName name="lifepremium00" localSheetId="3">#REF!</definedName>
    <definedName name="lifepremium00">#REF!</definedName>
    <definedName name="lifepremium99" localSheetId="3">#REF!</definedName>
    <definedName name="lifepremium99">#REF!</definedName>
    <definedName name="ltd00" localSheetId="3">#REF!</definedName>
    <definedName name="ltd00">#REF!</definedName>
    <definedName name="ltdallow99" localSheetId="3">#REF!</definedName>
    <definedName name="ltdallow99">#REF!</definedName>
    <definedName name="ltdpremium00" localSheetId="3">#REF!</definedName>
    <definedName name="ltdpremium00">#REF!</definedName>
    <definedName name="ltdpremium99" localSheetId="3">#REF!</definedName>
    <definedName name="ltdpremium99">#REF!</definedName>
    <definedName name="medical00" localSheetId="3">#REF!</definedName>
    <definedName name="medical00">#REF!</definedName>
    <definedName name="medicalallow00" localSheetId="3">#REF!</definedName>
    <definedName name="medicalallow00">#REF!</definedName>
    <definedName name="medicalallow99" localSheetId="3">#REF!</definedName>
    <definedName name="medicalallow99">#REF!</definedName>
    <definedName name="medicalpremium00" localSheetId="3">#REF!</definedName>
    <definedName name="medicalpremium00">#REF!</definedName>
    <definedName name="medicalpremium99" localSheetId="3">#REF!</definedName>
    <definedName name="medicalpremium99">#REF!</definedName>
    <definedName name="Month" localSheetId="3">#REF!</definedName>
    <definedName name="Month">#REF!</definedName>
    <definedName name="nbubenefits00" localSheetId="3">#REF!</definedName>
    <definedName name="nbubenefits00">#REF!</definedName>
    <definedName name="NBUbenefits03" localSheetId="3">#REF!</definedName>
    <definedName name="NBUbenefits03">#REF!</definedName>
    <definedName name="nbunames00" localSheetId="3">#REF!</definedName>
    <definedName name="nbunames00">#REF!</definedName>
    <definedName name="newnbu08" localSheetId="3">#REF!</definedName>
    <definedName name="newnbu08">#REF!</definedName>
    <definedName name="nobonus00" localSheetId="3">#REF!</definedName>
    <definedName name="nobonus00">#REF!</definedName>
    <definedName name="OH_HOME" localSheetId="3">[1]DEPR!#REF!</definedName>
    <definedName name="OH_HOME">[1]DEPR!#REF!</definedName>
    <definedName name="overtime00" localSheetId="3">#REF!</definedName>
    <definedName name="overtime00">#REF!</definedName>
    <definedName name="PAYROLL_TAXES">#N/A</definedName>
    <definedName name="percent40199" localSheetId="3">#REF!</definedName>
    <definedName name="percent40199">#REF!</definedName>
    <definedName name="percentedc99" localSheetId="3">#REF!</definedName>
    <definedName name="percentedc99">#REF!</definedName>
    <definedName name="_xlnm.Print_Area" localSheetId="1">'Journal Page'!$A$1:$M$36</definedName>
    <definedName name="_xlnm.Print_Area" localSheetId="4">'SAP detail'!$A$1:$M$48</definedName>
    <definedName name="_xlnm.Print_Area" localSheetId="3">Summary!$B$1:$Y$112</definedName>
    <definedName name="_xlnm.Print_Area" localSheetId="2">Support!$A$1:$U$46</definedName>
    <definedName name="_xlnm.Print_Titles" localSheetId="1">'Journal Page'!$1:$11</definedName>
    <definedName name="_xlnm.Print_Titles">#REF!</definedName>
    <definedName name="PROJECTION" localSheetId="3">[3]MAIN!#REF!</definedName>
    <definedName name="PROJECTION">[3]MAIN!#REF!</definedName>
    <definedName name="rangeE" localSheetId="3">[4]Exempt!#REF!</definedName>
    <definedName name="rangeE">[4]Exempt!#REF!</definedName>
    <definedName name="rangeEAVG" localSheetId="3">[4]Exempt!#REF!</definedName>
    <definedName name="rangeEAVG">[4]Exempt!#REF!</definedName>
    <definedName name="rangeEYTD" localSheetId="3">[4]Exempt!#REF!</definedName>
    <definedName name="rangeEYTD">[4]Exempt!#REF!</definedName>
    <definedName name="rangeO" localSheetId="3">#REF!</definedName>
    <definedName name="rangeO">#REF!</definedName>
    <definedName name="rangeOAVG" localSheetId="3">#REF!</definedName>
    <definedName name="rangeOAVG">#REF!</definedName>
    <definedName name="rangeOUAVG" localSheetId="3">[4]Office!#REF!</definedName>
    <definedName name="rangeOUAVG">[4]Office!#REF!</definedName>
    <definedName name="rangeOUYTD" localSheetId="3">[4]Office!#REF!</definedName>
    <definedName name="rangeOUYTD">[4]Office!#REF!</definedName>
    <definedName name="rangeOYTD" localSheetId="3">#REF!</definedName>
    <definedName name="rangeOYTD">#REF!</definedName>
    <definedName name="rangeUF" localSheetId="3">[4]Field!#REF!</definedName>
    <definedName name="rangeUF">[4]Field!#REF!</definedName>
    <definedName name="rangeUFAVG" localSheetId="3">[4]Field!#REF!</definedName>
    <definedName name="rangeUFAVG">[4]Field!#REF!</definedName>
    <definedName name="rangeUFYTD" localSheetId="3">[4]Field!#REF!</definedName>
    <definedName name="rangeUFYTD">[4]Field!#REF!</definedName>
    <definedName name="rangeUO" localSheetId="3">[4]Office!#REF!</definedName>
    <definedName name="rangeUO">[4]Office!#REF!</definedName>
    <definedName name="TEST0" localSheetId="3">#REF!</definedName>
    <definedName name="TEST0">#REF!</definedName>
    <definedName name="TEST1" localSheetId="3">#REF!</definedName>
    <definedName name="TEST1">#REF!</definedName>
    <definedName name="TEST10" localSheetId="3">#REF!</definedName>
    <definedName name="TEST10">#REF!</definedName>
    <definedName name="TEST11" localSheetId="3">#REF!</definedName>
    <definedName name="TEST11">#REF!</definedName>
    <definedName name="TEST12" localSheetId="3">#REF!</definedName>
    <definedName name="TEST12">#REF!</definedName>
    <definedName name="TEST13" localSheetId="3">#REF!</definedName>
    <definedName name="TEST13">#REF!</definedName>
    <definedName name="TEST14" localSheetId="3">#REF!</definedName>
    <definedName name="TEST14">#REF!</definedName>
    <definedName name="TEST15" localSheetId="3">#REF!</definedName>
    <definedName name="TEST15">#REF!</definedName>
    <definedName name="TEST16" localSheetId="3">#REF!</definedName>
    <definedName name="TEST16">#REF!</definedName>
    <definedName name="TEST17" localSheetId="3">#REF!</definedName>
    <definedName name="TEST17">#REF!</definedName>
    <definedName name="TEST18" localSheetId="3">#REF!</definedName>
    <definedName name="TEST18">#REF!</definedName>
    <definedName name="TEST19" localSheetId="3">#REF!</definedName>
    <definedName name="TEST19">#REF!</definedName>
    <definedName name="TEST2" localSheetId="3">#REF!</definedName>
    <definedName name="TEST2">#REF!</definedName>
    <definedName name="TEST20" localSheetId="3">#REF!</definedName>
    <definedName name="TEST20">#REF!</definedName>
    <definedName name="TEST21" localSheetId="3">#REF!</definedName>
    <definedName name="TEST21">#REF!</definedName>
    <definedName name="TEST22" localSheetId="3">#REF!</definedName>
    <definedName name="TEST22">#REF!</definedName>
    <definedName name="TEST3" localSheetId="3">#REF!</definedName>
    <definedName name="TEST3">#REF!</definedName>
    <definedName name="TEST4" localSheetId="3">#REF!</definedName>
    <definedName name="TEST4">#REF!</definedName>
    <definedName name="TEST5" localSheetId="3">#REF!</definedName>
    <definedName name="TEST5">#REF!</definedName>
    <definedName name="TEST6" localSheetId="3">#REF!</definedName>
    <definedName name="TEST6">#REF!</definedName>
    <definedName name="TEST7" localSheetId="3">#REF!</definedName>
    <definedName name="TEST7">#REF!</definedName>
    <definedName name="TEST8" localSheetId="3">#REF!</definedName>
    <definedName name="TEST8">#REF!</definedName>
    <definedName name="TEST9" localSheetId="3">#REF!</definedName>
    <definedName name="TEST9">#REF!</definedName>
    <definedName name="TESTHKEY" localSheetId="3">#REF!</definedName>
    <definedName name="TESTHKEY">#REF!</definedName>
    <definedName name="TESTKEYS" localSheetId="3">#REF!</definedName>
    <definedName name="TESTKEYS">#REF!</definedName>
    <definedName name="TESTVKEY" localSheetId="3">#REF!</definedName>
    <definedName name="TESTVKEY">#REF!</definedName>
    <definedName name="total41500" localSheetId="3">#REF!</definedName>
    <definedName name="total41500">#REF!</definedName>
    <definedName name="ValidGroups">[5]Groups!$E$1:$E$20</definedName>
    <definedName name="wcomp00" localSheetId="3">#REF!</definedName>
    <definedName name="wcomp00">#REF!</definedName>
    <definedName name="YTD" localSheetId="3">#REF!,#REF!,#REF!</definedName>
    <definedName name="YTD">#REF!,#REF!,#REF!</definedName>
    <definedName name="YTD_VACATION" localSheetId="3">[3]MAIN!#REF!</definedName>
    <definedName name="YTD_VACATION">[3]MAIN!#REF!</definedName>
  </definedNames>
  <calcPr calcId="191029"/>
</workbook>
</file>

<file path=xl/calcChain.xml><?xml version="1.0" encoding="utf-8"?>
<calcChain xmlns="http://schemas.openxmlformats.org/spreadsheetml/2006/main">
  <c r="B17" i="30" l="1"/>
  <c r="B16" i="30"/>
  <c r="B15" i="30"/>
  <c r="B14" i="30"/>
  <c r="B13" i="30"/>
  <c r="B12" i="30"/>
  <c r="B11" i="30"/>
  <c r="B10" i="30"/>
  <c r="B9" i="30"/>
  <c r="F10" i="30" l="1"/>
  <c r="F11" i="30"/>
  <c r="F12" i="30"/>
  <c r="F13" i="30"/>
  <c r="F14" i="30"/>
  <c r="F15" i="30"/>
  <c r="F16" i="30"/>
  <c r="F17" i="30"/>
  <c r="F9" i="30"/>
  <c r="D17" i="30"/>
  <c r="D16" i="30"/>
  <c r="D15" i="30"/>
  <c r="D14" i="30"/>
  <c r="D11" i="30"/>
  <c r="D13" i="30"/>
  <c r="D12" i="30"/>
  <c r="D10" i="30"/>
  <c r="D9" i="30"/>
  <c r="F18" i="30" l="1"/>
  <c r="B18" i="30"/>
  <c r="D18" i="30"/>
  <c r="Q96" i="25" l="1"/>
  <c r="Q93" i="25"/>
  <c r="C51" i="26"/>
  <c r="F28" i="5"/>
  <c r="F27" i="5"/>
  <c r="Q23" i="25"/>
  <c r="Q18" i="25"/>
  <c r="T8" i="25" l="1"/>
  <c r="T9" i="25"/>
  <c r="T10" i="25"/>
  <c r="T11" i="25"/>
  <c r="T12" i="25"/>
  <c r="T13" i="25"/>
  <c r="T7" i="25"/>
  <c r="F41" i="26"/>
  <c r="F37" i="26"/>
  <c r="N39" i="25" l="1"/>
  <c r="O39" i="25"/>
  <c r="P39" i="25"/>
  <c r="F67" i="25" l="1"/>
  <c r="G67" i="25"/>
  <c r="H67" i="25"/>
  <c r="I67" i="25"/>
  <c r="J67" i="25"/>
  <c r="K67" i="25"/>
  <c r="L67" i="25"/>
  <c r="E67" i="25"/>
  <c r="F65" i="25"/>
  <c r="G65" i="25"/>
  <c r="H65" i="25"/>
  <c r="I65" i="25"/>
  <c r="J65" i="25"/>
  <c r="K65" i="25"/>
  <c r="L65" i="25"/>
  <c r="N65" i="25"/>
  <c r="O65" i="25"/>
  <c r="P65" i="25"/>
  <c r="E65" i="25"/>
  <c r="F44" i="25"/>
  <c r="G44" i="25"/>
  <c r="H44" i="25"/>
  <c r="I44" i="25"/>
  <c r="J44" i="25"/>
  <c r="K44" i="25"/>
  <c r="L44" i="25"/>
  <c r="E44" i="25"/>
  <c r="F68" i="25" l="1"/>
  <c r="G68" i="25"/>
  <c r="H68" i="25"/>
  <c r="I68" i="25"/>
  <c r="J68" i="25"/>
  <c r="K68" i="25"/>
  <c r="L68" i="25"/>
  <c r="E68" i="25"/>
  <c r="L90" i="25" l="1"/>
  <c r="M80" i="25"/>
  <c r="M78" i="25"/>
  <c r="M74" i="25"/>
  <c r="M69" i="25"/>
  <c r="M70" i="25"/>
  <c r="M71" i="25"/>
  <c r="M72" i="25"/>
  <c r="M66" i="25"/>
  <c r="M67" i="25" s="1"/>
  <c r="M42" i="25"/>
  <c r="M64" i="25"/>
  <c r="M65" i="25" s="1"/>
  <c r="M68" i="25" s="1"/>
  <c r="M59" i="25"/>
  <c r="M60" i="25"/>
  <c r="M53" i="25"/>
  <c r="M54" i="25"/>
  <c r="M55" i="25"/>
  <c r="M56" i="25"/>
  <c r="M57" i="25"/>
  <c r="M49" i="25"/>
  <c r="M50" i="25"/>
  <c r="M45" i="25"/>
  <c r="M46" i="25"/>
  <c r="M47" i="25"/>
  <c r="M41" i="25"/>
  <c r="M43" i="25"/>
  <c r="M38" i="25"/>
  <c r="M39" i="25" s="1"/>
  <c r="M32" i="25"/>
  <c r="M33" i="25"/>
  <c r="M34" i="25"/>
  <c r="M35" i="25"/>
  <c r="M36" i="25"/>
  <c r="M44" i="25" l="1"/>
  <c r="M61" i="25"/>
  <c r="M37" i="25"/>
  <c r="M87" i="25"/>
  <c r="M21" i="25" s="1"/>
  <c r="L18" i="25" l="1"/>
  <c r="K18" i="25"/>
  <c r="J88" i="25"/>
  <c r="K87" i="25"/>
  <c r="K21" i="25" s="1"/>
  <c r="K23" i="25" s="1"/>
  <c r="K90" i="25" l="1"/>
  <c r="L21" i="25" l="1"/>
  <c r="J23" i="25" l="1"/>
  <c r="H18" i="25"/>
  <c r="G18" i="25"/>
  <c r="E18" i="25"/>
  <c r="N87" i="25"/>
  <c r="O87" i="25"/>
  <c r="P87" i="25"/>
  <c r="J90" i="25"/>
  <c r="J21" i="25"/>
  <c r="E90" i="25"/>
  <c r="Q84" i="25"/>
  <c r="Q88" i="25" l="1"/>
  <c r="Q77" i="25"/>
  <c r="G79" i="25"/>
  <c r="N21" i="25" l="1"/>
  <c r="O21" i="25"/>
  <c r="P21" i="25"/>
  <c r="I90" i="25" l="1"/>
  <c r="F21" i="25" l="1"/>
  <c r="G21" i="25"/>
  <c r="H21" i="25"/>
  <c r="I21" i="25"/>
  <c r="E21" i="25"/>
  <c r="A15" i="6" l="1"/>
  <c r="A16" i="6"/>
  <c r="J25" i="25" l="1"/>
  <c r="D44" i="26" l="1"/>
  <c r="I18" i="25" l="1"/>
  <c r="AH61" i="25" l="1"/>
  <c r="AI61" i="25"/>
  <c r="AJ61" i="25"/>
  <c r="AK61" i="25"/>
  <c r="AL61" i="25"/>
  <c r="AM61" i="25"/>
  <c r="AN61" i="25"/>
  <c r="AO61" i="25"/>
  <c r="AD61" i="25"/>
  <c r="AE61" i="25"/>
  <c r="AF61" i="25"/>
  <c r="AG61" i="25"/>
  <c r="AC61" i="25"/>
  <c r="F61" i="25"/>
  <c r="G61" i="25"/>
  <c r="H61" i="25"/>
  <c r="E61" i="25"/>
  <c r="G90" i="25"/>
  <c r="T14" i="25" l="1"/>
  <c r="D35" i="26" l="1"/>
  <c r="D36" i="26"/>
  <c r="D37" i="26"/>
  <c r="D38" i="26"/>
  <c r="D39" i="26"/>
  <c r="D40" i="26"/>
  <c r="D41" i="26"/>
  <c r="D42" i="26"/>
  <c r="D43" i="26"/>
  <c r="M79" i="25"/>
  <c r="N79" i="25"/>
  <c r="O79" i="25"/>
  <c r="P79" i="25"/>
  <c r="M75" i="25"/>
  <c r="N75" i="25"/>
  <c r="O75" i="25"/>
  <c r="P75" i="25"/>
  <c r="M73" i="25"/>
  <c r="N73" i="25"/>
  <c r="O73" i="25"/>
  <c r="P73" i="25"/>
  <c r="P67" i="25"/>
  <c r="P68" i="25" s="1"/>
  <c r="N67" i="25"/>
  <c r="N68" i="25" s="1"/>
  <c r="O67" i="25"/>
  <c r="O68" i="25" s="1"/>
  <c r="D17" i="26"/>
  <c r="N61" i="25"/>
  <c r="O61" i="25"/>
  <c r="P61" i="25"/>
  <c r="M58" i="25"/>
  <c r="N58" i="25"/>
  <c r="O58" i="25"/>
  <c r="P58" i="25"/>
  <c r="M51" i="25"/>
  <c r="N51" i="25"/>
  <c r="O51" i="25"/>
  <c r="P51" i="25"/>
  <c r="M48" i="25"/>
  <c r="N48" i="25"/>
  <c r="O48" i="25"/>
  <c r="P48" i="25"/>
  <c r="N44" i="25"/>
  <c r="O44" i="25"/>
  <c r="P44" i="25"/>
  <c r="N37" i="25"/>
  <c r="O37" i="25"/>
  <c r="P37" i="25"/>
  <c r="D34" i="26"/>
  <c r="D33" i="26"/>
  <c r="D30" i="26"/>
  <c r="D24" i="26"/>
  <c r="D15" i="26"/>
  <c r="D11" i="26"/>
  <c r="D10" i="26"/>
  <c r="D9" i="26"/>
  <c r="D21" i="26"/>
  <c r="D23" i="26"/>
  <c r="D16" i="26"/>
  <c r="D8" i="26"/>
  <c r="D7" i="26"/>
  <c r="Q79" i="25" l="1"/>
  <c r="O76" i="25"/>
  <c r="P76" i="25"/>
  <c r="P40" i="25"/>
  <c r="N62" i="25"/>
  <c r="M62" i="25"/>
  <c r="M76" i="25"/>
  <c r="P62" i="25"/>
  <c r="N40" i="25"/>
  <c r="O52" i="25"/>
  <c r="N52" i="25"/>
  <c r="N76" i="25"/>
  <c r="M52" i="25"/>
  <c r="P52" i="25"/>
  <c r="O40" i="25"/>
  <c r="M40" i="25"/>
  <c r="O62" i="25"/>
  <c r="H90" i="25"/>
  <c r="D25" i="26"/>
  <c r="D26" i="26"/>
  <c r="D31" i="26"/>
  <c r="E8" i="25"/>
  <c r="D22" i="26"/>
  <c r="D27" i="26"/>
  <c r="D32" i="26"/>
  <c r="D18" i="26"/>
  <c r="D19" i="26"/>
  <c r="D14" i="26"/>
  <c r="D29" i="26"/>
  <c r="D28" i="26"/>
  <c r="D20" i="26"/>
  <c r="E9" i="25"/>
  <c r="D13" i="26" s="1"/>
  <c r="Q37" i="25"/>
  <c r="E12" i="25"/>
  <c r="E10" i="25"/>
  <c r="D12" i="26" s="1"/>
  <c r="E11" i="25"/>
  <c r="E13" i="25"/>
  <c r="G11" i="25"/>
  <c r="G9" i="25"/>
  <c r="H9" i="25"/>
  <c r="I9" i="25"/>
  <c r="K9" i="25"/>
  <c r="L9" i="25"/>
  <c r="M9" i="25"/>
  <c r="N9" i="25"/>
  <c r="P9" i="25"/>
  <c r="G10" i="25"/>
  <c r="H10" i="25"/>
  <c r="I10" i="25"/>
  <c r="K10" i="25"/>
  <c r="L10" i="25"/>
  <c r="M10" i="25"/>
  <c r="N10" i="25"/>
  <c r="P10" i="25"/>
  <c r="Q59" i="25"/>
  <c r="Q87" i="25" l="1"/>
  <c r="Q89" i="25" s="1"/>
  <c r="Q95" i="25" s="1"/>
  <c r="Q21" i="25"/>
  <c r="P90" i="25"/>
  <c r="E7" i="25"/>
  <c r="Q25" i="25" l="1"/>
  <c r="F15" i="6" s="1"/>
  <c r="F16" i="6"/>
  <c r="P16" i="25"/>
  <c r="O17" i="25"/>
  <c r="P17" i="25"/>
  <c r="N17" i="25"/>
  <c r="M17" i="25"/>
  <c r="L17" i="25"/>
  <c r="K17" i="25"/>
  <c r="I17" i="25"/>
  <c r="H17" i="25"/>
  <c r="G17" i="25"/>
  <c r="E17" i="25"/>
  <c r="N16" i="25"/>
  <c r="M16" i="25"/>
  <c r="L16" i="25"/>
  <c r="K16" i="25"/>
  <c r="I16" i="25"/>
  <c r="H16" i="25"/>
  <c r="G16" i="25"/>
  <c r="E16" i="25"/>
  <c r="P8" i="25"/>
  <c r="N8" i="25"/>
  <c r="M8" i="25"/>
  <c r="L8" i="25"/>
  <c r="K8" i="25"/>
  <c r="I8" i="25"/>
  <c r="H8" i="25"/>
  <c r="G8" i="25"/>
  <c r="P13" i="25"/>
  <c r="N13" i="25"/>
  <c r="M13" i="25"/>
  <c r="L13" i="25"/>
  <c r="K13" i="25"/>
  <c r="I13" i="25"/>
  <c r="H13" i="25"/>
  <c r="G13" i="25"/>
  <c r="P12" i="25"/>
  <c r="N12" i="25"/>
  <c r="M12" i="25"/>
  <c r="L12" i="25"/>
  <c r="K12" i="25"/>
  <c r="I12" i="25"/>
  <c r="H12" i="25"/>
  <c r="G12" i="25"/>
  <c r="P11" i="25"/>
  <c r="N11" i="25"/>
  <c r="M11" i="25"/>
  <c r="L11" i="25"/>
  <c r="K11" i="25"/>
  <c r="I11" i="25"/>
  <c r="H11" i="25"/>
  <c r="P7" i="25"/>
  <c r="N7" i="25"/>
  <c r="M7" i="25"/>
  <c r="L7" i="25"/>
  <c r="K7" i="25"/>
  <c r="I7" i="25"/>
  <c r="H7" i="25"/>
  <c r="G7" i="25"/>
  <c r="F90" i="25"/>
  <c r="M90" i="25"/>
  <c r="N90" i="25"/>
  <c r="E16" i="6" l="1"/>
  <c r="G15" i="6"/>
  <c r="G16" i="6"/>
  <c r="E15" i="6"/>
  <c r="I14" i="25"/>
  <c r="I25" i="25" s="1"/>
  <c r="M14" i="25"/>
  <c r="K14" i="25"/>
  <c r="K25" i="25" s="1"/>
  <c r="L14" i="25"/>
  <c r="L25" i="25" s="1"/>
  <c r="F14" i="25"/>
  <c r="F25" i="25" s="1"/>
  <c r="N14" i="25"/>
  <c r="G14" i="25"/>
  <c r="G25" i="25" s="1"/>
  <c r="P14" i="25"/>
  <c r="P25" i="25" s="1"/>
  <c r="H14" i="25"/>
  <c r="H25" i="25" s="1"/>
  <c r="E14" i="25"/>
  <c r="E25" i="25" s="1"/>
  <c r="Q17" i="25"/>
  <c r="N25" i="25" l="1"/>
  <c r="M25" i="25"/>
  <c r="Q80" i="25"/>
  <c r="Q65" i="25"/>
  <c r="Q64" i="25"/>
  <c r="Q42" i="25"/>
  <c r="O9" i="25" l="1"/>
  <c r="O10" i="25"/>
  <c r="Q50" i="25"/>
  <c r="Q55" i="25"/>
  <c r="Q56" i="25"/>
  <c r="Q78" i="25"/>
  <c r="Q57" i="25"/>
  <c r="Q70" i="25"/>
  <c r="Q35" i="25"/>
  <c r="Q71" i="25"/>
  <c r="Q49" i="25"/>
  <c r="Q33" i="25"/>
  <c r="Q46" i="25"/>
  <c r="Q36" i="25"/>
  <c r="Q60" i="25"/>
  <c r="Q72" i="25"/>
  <c r="Q54" i="25"/>
  <c r="Q34" i="25"/>
  <c r="Q47" i="25"/>
  <c r="Q69" i="25"/>
  <c r="Q38" i="25"/>
  <c r="Q66" i="25"/>
  <c r="Q74" i="25"/>
  <c r="Q53" i="25"/>
  <c r="S56" i="25" s="1"/>
  <c r="Q41" i="25"/>
  <c r="Q43" i="25"/>
  <c r="Q32" i="25"/>
  <c r="Q45" i="25"/>
  <c r="Q44" i="25" l="1"/>
  <c r="Q10" i="25"/>
  <c r="U10" i="25" s="1"/>
  <c r="Q9" i="25"/>
  <c r="U9" i="25" s="1"/>
  <c r="Q51" i="25"/>
  <c r="Q39" i="25"/>
  <c r="Q48" i="25"/>
  <c r="Q75" i="25"/>
  <c r="O8" i="25"/>
  <c r="O16" i="25"/>
  <c r="Q61" i="25"/>
  <c r="Q58" i="25"/>
  <c r="Q67" i="25"/>
  <c r="Q68" i="25" s="1"/>
  <c r="Q73" i="25"/>
  <c r="Q8" i="25" l="1"/>
  <c r="U8" i="25" s="1"/>
  <c r="Q16" i="25"/>
  <c r="O13" i="25"/>
  <c r="O7" i="25"/>
  <c r="Q7" i="25" s="1"/>
  <c r="O12" i="25"/>
  <c r="O11" i="25"/>
  <c r="Q76" i="25"/>
  <c r="Q62" i="25"/>
  <c r="Q52" i="25"/>
  <c r="Q40" i="25"/>
  <c r="Q82" i="25" l="1"/>
  <c r="Q85" i="25" s="1"/>
  <c r="Q12" i="25"/>
  <c r="U12" i="25" s="1"/>
  <c r="Q13" i="25"/>
  <c r="U13" i="25" s="1"/>
  <c r="Q11" i="25"/>
  <c r="U11" i="25" s="1"/>
  <c r="T72" i="25"/>
  <c r="T73" i="25"/>
  <c r="O14" i="25"/>
  <c r="Q94" i="25" l="1"/>
  <c r="Q97" i="25" s="1"/>
  <c r="W81" i="25"/>
  <c r="W83" i="25"/>
  <c r="O25" i="25"/>
  <c r="T75" i="25"/>
  <c r="Q14" i="25"/>
  <c r="Q19" i="25" s="1"/>
  <c r="U7" i="25"/>
  <c r="U14" i="25" s="1"/>
  <c r="E6" i="6" l="1"/>
  <c r="H13" i="6" l="1"/>
  <c r="H14" i="6" s="1"/>
  <c r="A14" i="6" l="1"/>
  <c r="O90" i="25" l="1"/>
  <c r="G14" i="6" l="1"/>
  <c r="W82" i="25" l="1"/>
  <c r="W84" i="25" s="1"/>
  <c r="F14" i="6"/>
  <c r="F13" i="6"/>
  <c r="F18" i="6" l="1"/>
  <c r="E13" i="6"/>
  <c r="G13" i="6"/>
  <c r="G18" i="6" s="1"/>
  <c r="E14" i="6"/>
  <c r="G1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Norcott, Celeste</author>
  </authors>
  <commentList>
    <comment ref="L23" authorId="0" shapeId="0" xr:uid="{AEE128EB-4D53-4F1E-9441-B8376C2BE324}">
      <text>
        <r>
          <rPr>
            <b/>
            <sz val="9"/>
            <color indexed="81"/>
            <rFont val="Tahoma"/>
            <family val="2"/>
          </rPr>
          <t>Norcott, Celeste:</t>
        </r>
        <r>
          <rPr>
            <sz val="9"/>
            <color indexed="81"/>
            <rFont val="Tahoma"/>
            <family val="2"/>
          </rPr>
          <t xml:space="preserve">
add opposite amount above
</t>
        </r>
      </text>
    </comment>
    <comment ref="M23" authorId="0" shapeId="0" xr:uid="{C8FB35F7-83ED-4379-9152-FD67CD986173}">
      <text>
        <r>
          <rPr>
            <b/>
            <sz val="9"/>
            <color indexed="81"/>
            <rFont val="Tahoma"/>
            <family val="2"/>
          </rPr>
          <t>Norcott, Celeste:</t>
        </r>
        <r>
          <rPr>
            <sz val="9"/>
            <color indexed="81"/>
            <rFont val="Tahoma"/>
            <family val="2"/>
          </rPr>
          <t xml:space="preserve">
Next month add  number above opposite signe</t>
        </r>
      </text>
    </comment>
    <comment ref="K84" authorId="0" shapeId="0" xr:uid="{9CCB97C2-250D-4669-9613-8CD51F01212B}">
      <text>
        <r>
          <rPr>
            <b/>
            <sz val="9"/>
            <color indexed="81"/>
            <rFont val="Tahoma"/>
            <family val="2"/>
          </rPr>
          <t>Norcott, Celeste:</t>
        </r>
        <r>
          <rPr>
            <sz val="9"/>
            <color indexed="81"/>
            <rFont val="Tahoma"/>
            <family val="2"/>
          </rPr>
          <t xml:space="preserve">
bring in last months JE 
</t>
        </r>
      </text>
    </comment>
    <comment ref="L84" authorId="0" shapeId="0" xr:uid="{D499CD43-CDD3-4D6B-846E-E32B2EEF7C61}">
      <text>
        <r>
          <rPr>
            <b/>
            <sz val="9"/>
            <color indexed="81"/>
            <rFont val="Tahoma"/>
            <family val="2"/>
          </rPr>
          <t>Norcott, Celeste:</t>
        </r>
        <r>
          <rPr>
            <sz val="9"/>
            <color indexed="81"/>
            <rFont val="Tahoma"/>
            <family val="2"/>
          </rPr>
          <t xml:space="preserve">
add prior month JE</t>
        </r>
      </text>
    </comment>
    <comment ref="M84" authorId="0" shapeId="0" xr:uid="{8A29B99A-3FCF-47AB-9F7C-2FC8DF6D7B3A}">
      <text>
        <r>
          <rPr>
            <b/>
            <sz val="9"/>
            <color indexed="81"/>
            <rFont val="Tahoma"/>
            <family val="2"/>
          </rPr>
          <t>Norcott, Celeste:</t>
        </r>
        <r>
          <rPr>
            <sz val="9"/>
            <color indexed="81"/>
            <rFont val="Tahoma"/>
            <family val="2"/>
          </rPr>
          <t xml:space="preserve">
add prior month JE next month </t>
        </r>
      </text>
    </comment>
  </commentList>
</comments>
</file>

<file path=xl/sharedStrings.xml><?xml version="1.0" encoding="utf-8"?>
<sst xmlns="http://schemas.openxmlformats.org/spreadsheetml/2006/main" count="569" uniqueCount="295">
  <si>
    <t>USD</t>
  </si>
  <si>
    <t>SA</t>
  </si>
  <si>
    <t>Company Code</t>
  </si>
  <si>
    <t>Document Type</t>
  </si>
  <si>
    <t>Document Date</t>
  </si>
  <si>
    <t>Posting Date</t>
  </si>
  <si>
    <t>Currency</t>
  </si>
  <si>
    <t>Header Text</t>
  </si>
  <si>
    <t>Reference</t>
  </si>
  <si>
    <t>Account</t>
  </si>
  <si>
    <t>Cost Center</t>
  </si>
  <si>
    <t>Internal Order</t>
  </si>
  <si>
    <t>Debit  Amount</t>
  </si>
  <si>
    <t>Credit Amount</t>
  </si>
  <si>
    <t>Detail Text</t>
  </si>
  <si>
    <t>(50)</t>
  </si>
  <si>
    <t>Quantity</t>
  </si>
  <si>
    <t>Unit of Measure</t>
  </si>
  <si>
    <t>Total</t>
  </si>
  <si>
    <t>(10+2)</t>
  </si>
  <si>
    <t>(3)</t>
  </si>
  <si>
    <t>(9+3)</t>
  </si>
  <si>
    <t>(6)</t>
  </si>
  <si>
    <t>(5)</t>
  </si>
  <si>
    <t>(12)</t>
  </si>
  <si>
    <t>(4)</t>
  </si>
  <si>
    <t>(2)</t>
  </si>
  <si>
    <t>(8)</t>
  </si>
  <si>
    <t>(16)</t>
  </si>
  <si>
    <t>(25)</t>
  </si>
  <si>
    <t>Debit (S)             Credit (H)</t>
  </si>
  <si>
    <t>(1)</t>
  </si>
  <si>
    <t>Prepared by</t>
  </si>
  <si>
    <t>Approved by</t>
  </si>
  <si>
    <t>Northwest Natural Gas Company SAP Journal Entry</t>
  </si>
  <si>
    <t>Date</t>
  </si>
  <si>
    <t>S</t>
  </si>
  <si>
    <t>H</t>
  </si>
  <si>
    <t>Document No.</t>
  </si>
  <si>
    <t>Posted by</t>
  </si>
  <si>
    <t>WBS Element</t>
  </si>
  <si>
    <t>Auto Reversal</t>
  </si>
  <si>
    <t>(Y or N)</t>
  </si>
  <si>
    <t>N</t>
  </si>
  <si>
    <t>(reversal is needed)</t>
  </si>
  <si>
    <t>(Black) Do not change these cells</t>
  </si>
  <si>
    <t>(MMDDYYYY)</t>
  </si>
  <si>
    <t>(Blue) Change these cells as needed</t>
  </si>
  <si>
    <t>Line
No.</t>
  </si>
  <si>
    <t>(18)</t>
  </si>
  <si>
    <t>Signature is N/A if the Poster is the same as the Approver</t>
  </si>
  <si>
    <t>JE 24</t>
  </si>
  <si>
    <t>690-02105</t>
  </si>
  <si>
    <t xml:space="preserve">KOB1 Report </t>
  </si>
  <si>
    <t>Adjustment to Zero Out 600-699</t>
  </si>
  <si>
    <t>Val.in rep.cur.</t>
  </si>
  <si>
    <t>Health</t>
  </si>
  <si>
    <t xml:space="preserve">401k </t>
  </si>
  <si>
    <t>OPEB</t>
  </si>
  <si>
    <t>QP Pension</t>
  </si>
  <si>
    <t>Western States Pension</t>
  </si>
  <si>
    <t>Bonus</t>
  </si>
  <si>
    <t>Workers Comp</t>
  </si>
  <si>
    <t>Coos County</t>
  </si>
  <si>
    <t>Net Clearing</t>
  </si>
  <si>
    <t>Diff</t>
  </si>
  <si>
    <t>D</t>
  </si>
  <si>
    <t>A</t>
  </si>
  <si>
    <t>Celeste Norcott</t>
  </si>
  <si>
    <t>602-02275</t>
  </si>
  <si>
    <t>Order</t>
  </si>
  <si>
    <t>CO object name</t>
  </si>
  <si>
    <t>602-02005</t>
  </si>
  <si>
    <t>Health - Employee Addl Life Insurance</t>
  </si>
  <si>
    <t>602-02060</t>
  </si>
  <si>
    <t>Health - NBU Medical Insurance</t>
  </si>
  <si>
    <t>602-02120</t>
  </si>
  <si>
    <t>Defd Comp - EDC Supp Match</t>
  </si>
  <si>
    <t>602-02190</t>
  </si>
  <si>
    <t>401k MATCH</t>
  </si>
  <si>
    <t>602-02195</t>
  </si>
  <si>
    <t>ENHANCED 401k</t>
  </si>
  <si>
    <t>602-02200</t>
  </si>
  <si>
    <t>401k Match - POH Contra</t>
  </si>
  <si>
    <t>602-02205</t>
  </si>
  <si>
    <t>Enhanced 401k - POH Contra</t>
  </si>
  <si>
    <t>HEALTH/LIFE INSURANCE - CONTRA</t>
  </si>
  <si>
    <t>602-02300</t>
  </si>
  <si>
    <t>OPEB - Implicit Subsidy Exp</t>
  </si>
  <si>
    <t>602-02365</t>
  </si>
  <si>
    <t>Bonus BU Key Goals - POH Contra</t>
  </si>
  <si>
    <t>602-02400</t>
  </si>
  <si>
    <t>Health - BU Medical Insurance</t>
  </si>
  <si>
    <t>602-02472</t>
  </si>
  <si>
    <t>WESTERN STATES PENSION</t>
  </si>
  <si>
    <t>602-02475</t>
  </si>
  <si>
    <t>Bonus NBU Performance - POH Contra</t>
  </si>
  <si>
    <t>602-02480</t>
  </si>
  <si>
    <t>Western States - POH Contra</t>
  </si>
  <si>
    <t>602-02485</t>
  </si>
  <si>
    <t>Pension - QP - Service Cost</t>
  </si>
  <si>
    <t>602-02490</t>
  </si>
  <si>
    <t>Pension - QP - POH Contra - Service Cost</t>
  </si>
  <si>
    <t>602-02510</t>
  </si>
  <si>
    <t>OPEB - Retired BU Life Insurance</t>
  </si>
  <si>
    <t>602-02530</t>
  </si>
  <si>
    <t>Retired BU Health – Non OPEB</t>
  </si>
  <si>
    <t>602-02535</t>
  </si>
  <si>
    <t>OPEB - Retired NBU Life Insurance</t>
  </si>
  <si>
    <t>602-02540</t>
  </si>
  <si>
    <t>OPEB - Retired NBU Health Insurance</t>
  </si>
  <si>
    <t>602-02548</t>
  </si>
  <si>
    <t>OPEB - Premium Paid Contra</t>
  </si>
  <si>
    <t>602-02585</t>
  </si>
  <si>
    <t>FAS106 OPEB - Service Cost</t>
  </si>
  <si>
    <t>602-02590</t>
  </si>
  <si>
    <t>FAS106 OPEB - POH Contra - Service Cost</t>
  </si>
  <si>
    <t>602-02630</t>
  </si>
  <si>
    <t>Workers Comp - POH Contra</t>
  </si>
  <si>
    <t>602-04580</t>
  </si>
  <si>
    <t>OTHER BENEFITS</t>
  </si>
  <si>
    <t>603-02215</t>
  </si>
  <si>
    <t>Workers Comp - Unid Claim Exp</t>
  </si>
  <si>
    <t>603-02220</t>
  </si>
  <si>
    <t>Workers Comp - Invoices Insurance Recove</t>
  </si>
  <si>
    <t>603-04535</t>
  </si>
  <si>
    <t>Workers Comp - Lrg Claim Pymts</t>
  </si>
  <si>
    <t>603-04610</t>
  </si>
  <si>
    <t>Workers Comp - OR WA WC Program Pymts</t>
  </si>
  <si>
    <t>616-04432</t>
  </si>
  <si>
    <t>616-04462</t>
  </si>
  <si>
    <t>630-01655</t>
  </si>
  <si>
    <t>630-05135</t>
  </si>
  <si>
    <t>640-02260</t>
  </si>
  <si>
    <t>640-05070</t>
  </si>
  <si>
    <t>641-05050</t>
  </si>
  <si>
    <t>641-05065</t>
  </si>
  <si>
    <t>645-02590</t>
  </si>
  <si>
    <t>645-V9999</t>
  </si>
  <si>
    <t>K0b1 - 600-00000-699-99999</t>
  </si>
  <si>
    <t>Company 5000</t>
  </si>
  <si>
    <t>401k</t>
  </si>
  <si>
    <t xml:space="preserve">Bonus </t>
  </si>
  <si>
    <t>Small tools/tran/vehicles</t>
  </si>
  <si>
    <t xml:space="preserve">Category </t>
  </si>
  <si>
    <t>CLEARING TO BALANCE SHEET-CORPORATE</t>
  </si>
  <si>
    <t>602-02470</t>
  </si>
  <si>
    <t>Pension - QP - Expense</t>
  </si>
  <si>
    <t>Tsfr Net Clearing to BS</t>
  </si>
  <si>
    <t xml:space="preserve">Inputs: </t>
  </si>
  <si>
    <t>Subtotal</t>
  </si>
  <si>
    <t>COH</t>
  </si>
  <si>
    <t xml:space="preserve">Total </t>
  </si>
  <si>
    <t>1</t>
  </si>
  <si>
    <t>2</t>
  </si>
  <si>
    <t>3</t>
  </si>
  <si>
    <t>4</t>
  </si>
  <si>
    <t>5</t>
  </si>
  <si>
    <t>6</t>
  </si>
  <si>
    <t>7</t>
  </si>
  <si>
    <t>8</t>
  </si>
  <si>
    <t>9</t>
  </si>
  <si>
    <t>10</t>
  </si>
  <si>
    <t>Grand Total</t>
  </si>
  <si>
    <t xml:space="preserve">Clearing </t>
  </si>
  <si>
    <t>Contra</t>
  </si>
  <si>
    <t>Western States</t>
  </si>
  <si>
    <t xml:space="preserve">Pension </t>
  </si>
  <si>
    <t>401k Total</t>
  </si>
  <si>
    <t>Health Total</t>
  </si>
  <si>
    <t>OPEB Total</t>
  </si>
  <si>
    <t>Western States Total</t>
  </si>
  <si>
    <t>Workers Comp Total</t>
  </si>
  <si>
    <t>Pension  Total</t>
  </si>
  <si>
    <t>Deferred Comp/401K Match</t>
  </si>
  <si>
    <t xml:space="preserve">Summary of Samll Tools for pivot table. </t>
  </si>
  <si>
    <t>Expense</t>
  </si>
  <si>
    <t>Bonus Total</t>
  </si>
  <si>
    <t xml:space="preserve">Payroll Overhead Clearing </t>
  </si>
  <si>
    <t>Pension-Defined Contribution (Enhanced 401K)</t>
  </si>
  <si>
    <t>2019 YTD</t>
  </si>
  <si>
    <t>Month</t>
  </si>
  <si>
    <t>Variance Summary:</t>
  </si>
  <si>
    <t xml:space="preserve">616-xxxxx - Coos County </t>
  </si>
  <si>
    <t>2020 YTD</t>
  </si>
  <si>
    <t>COOS COUNTY - ADMINISTRATION</t>
  </si>
  <si>
    <t>COOS COUNTY - TRANSMISSION MAINTENANCE</t>
  </si>
  <si>
    <t>SMALL TOOLS CLEARING-TOOL MAINT AND PURC</t>
  </si>
  <si>
    <t>SMALL TOOLS CLEARING-SMALL TOOL MAINT</t>
  </si>
  <si>
    <t>TRANSPORTATION O/H CLEARING-GARAGE EXP -</t>
  </si>
  <si>
    <t>TRANSPORTATION O/H CLEARING-GARAGE EXPEN</t>
  </si>
  <si>
    <t>VEHICLE REBUILD CLEARING-CNG-SALEM</t>
  </si>
  <si>
    <t>VEHICLE REBUILD CLEARING-CNG-TUALATIN</t>
  </si>
  <si>
    <t>VEHICLE CLEARING-TOOLS/EQUIP-CREDIT</t>
  </si>
  <si>
    <t>PM01 &amp; PM02 MAINTENANCE ORDERS</t>
  </si>
  <si>
    <t xml:space="preserve">Always nets to zero. If not then have Dana Walter, Accounting,  to redo their JE. </t>
  </si>
  <si>
    <t>Ties to screenshot and JE</t>
  </si>
  <si>
    <t>B</t>
  </si>
  <si>
    <t>C</t>
  </si>
  <si>
    <t xml:space="preserve">Bonus is cleared out on a quarterly basis following a different process. </t>
  </si>
  <si>
    <t xml:space="preserve">Variance </t>
  </si>
  <si>
    <t xml:space="preserve">Comments </t>
  </si>
  <si>
    <t>Net POH's</t>
  </si>
  <si>
    <t>Bonus - not yet expensed</t>
  </si>
  <si>
    <t>VEHICLE CLEARING-3 Yd Dump Truck</t>
  </si>
  <si>
    <t>645-V5821</t>
  </si>
  <si>
    <t>Small tools/tran/vehicles (over/under) (total)</t>
  </si>
  <si>
    <t>Small tools/tran/vehicles (Over/Under)</t>
  </si>
  <si>
    <t>200091-01</t>
  </si>
  <si>
    <t xml:space="preserve">Total Misc </t>
  </si>
  <si>
    <t>This will be the ending balance in the clearing asset balance sheet account</t>
  </si>
  <si>
    <t>E</t>
  </si>
  <si>
    <t>To JE POH</t>
  </si>
  <si>
    <t xml:space="preserve">immaterial </t>
  </si>
  <si>
    <t>Starting in June VOH will have its own process. General Accounting will move the over/under to plant accounting where they will evaluate the over/under of the VOHs accounts.</t>
  </si>
  <si>
    <t>Should remain zero always. Immaterial $1</t>
  </si>
  <si>
    <t xml:space="preserve">Net position in account </t>
  </si>
  <si>
    <t>Per SAP</t>
  </si>
  <si>
    <t>Proof</t>
  </si>
  <si>
    <t xml:space="preserve">POHs JE </t>
  </si>
  <si>
    <t xml:space="preserve">Ending </t>
  </si>
  <si>
    <t>Enter as the same sign as the SAP report above</t>
  </si>
  <si>
    <t>645-V6666</t>
  </si>
  <si>
    <t>Tsfr Net VOH Clearing to BS-CWIP</t>
  </si>
  <si>
    <t>COOS COUNTY - CORROSION</t>
  </si>
  <si>
    <t>616-04437</t>
  </si>
  <si>
    <t xml:space="preserve">Previously deferred to Clearing </t>
  </si>
  <si>
    <t>total clearing</t>
  </si>
  <si>
    <t>Agrees to SAP</t>
  </si>
  <si>
    <t xml:space="preserve">Net POH Clearing </t>
  </si>
  <si>
    <t>Q2 POH meeting was held on 6/30/2020 with several adjustments posted. See JE 24-1 June for further details. There is a summary under comments on this page as well. The below summary reflects the POH's with those adjustments included</t>
  </si>
  <si>
    <t>Subtotal for quarterly POH review</t>
  </si>
  <si>
    <t xml:space="preserve">POH/Other Net Clearing </t>
  </si>
  <si>
    <t>Vehicle Overheads (VOH)</t>
  </si>
  <si>
    <t>Payroll Overheads (POH):</t>
  </si>
  <si>
    <t xml:space="preserve">VOH Net Clearing </t>
  </si>
  <si>
    <t>Previously deferred to Clearing - agreed to GL</t>
  </si>
  <si>
    <t>Per schedule - POH</t>
  </si>
  <si>
    <t>Per Schedule - VOH</t>
  </si>
  <si>
    <t>Total:</t>
  </si>
  <si>
    <t>for analysis purposes only</t>
  </si>
  <si>
    <t>MTD 8/1/2020-8/31/2020</t>
  </si>
  <si>
    <t>Difference</t>
  </si>
  <si>
    <t>SAP SCREENSHOT</t>
  </si>
  <si>
    <t>Net clearing to BS</t>
  </si>
  <si>
    <t xml:space="preserve">Per Schedule </t>
  </si>
  <si>
    <t xml:space="preserve">Q3 POH meeting will be scheduled in Sept 2020 by Angela Candena, Finance and Budget, to discuss the over unders from Jan - August 2020. </t>
  </si>
  <si>
    <t>F</t>
  </si>
  <si>
    <t xml:space="preserve">To JE VOH JE </t>
  </si>
  <si>
    <r>
      <rPr>
        <b/>
        <sz val="14"/>
        <color rgb="FFFF0000"/>
        <rFont val="Calibri"/>
        <family val="2"/>
        <scheme val="minor"/>
      </rPr>
      <t>Corp 5000</t>
    </r>
    <r>
      <rPr>
        <b/>
        <sz val="14"/>
        <rFont val="Calibri"/>
        <family val="2"/>
        <scheme val="minor"/>
      </rPr>
      <t xml:space="preserve">, Order 600-00000 through 699-99999, YTD info (the summary tab is month to date. MTD and YTD numbers should be the same): </t>
    </r>
  </si>
  <si>
    <r>
      <t>Purpose:</t>
    </r>
    <r>
      <rPr>
        <sz val="11"/>
        <color rgb="FF000000"/>
        <rFont val="Calibri"/>
        <family val="2"/>
        <scheme val="minor"/>
      </rPr>
      <t xml:space="preserve"> To clear the clearing accounts on a monthly basis to B/S until year-end when it's released to the P&amp;L.</t>
    </r>
  </si>
  <si>
    <r>
      <t xml:space="preserve">Background: </t>
    </r>
    <r>
      <rPr>
        <sz val="11"/>
        <color rgb="FF000000"/>
        <rFont val="Calibri"/>
        <family val="2"/>
        <scheme val="minor"/>
      </rPr>
      <t xml:space="preserve"> The majority of the clearing accounts are health benefit related and health benefit clearing accounts are highly monitored. 
Heath Benefits are paid at different times  through out the year to which the employee uses each month.   Therefore, NWN estimates a full year of  health benefits an employee will receive during the year and evenly applies a rate based on an employees activity type each pay period via HCM which is pushed down to SAP FI/CO.
Quarterly, health benefits are reviewed to determine the variance between actual and estimated costs to determine if an adjusting manual journal entry is required to true-up the costs before year-end.    </t>
    </r>
  </si>
  <si>
    <r>
      <t xml:space="preserve">Conclusion: </t>
    </r>
    <r>
      <rPr>
        <sz val="11"/>
        <color rgb="FF000000"/>
        <rFont val="Calibri"/>
        <family val="2"/>
        <scheme val="minor"/>
      </rPr>
      <t xml:space="preserve">Using this page to agree total amount only. Starting June 2020. VOH will have its own process. As such, JE 24 will have two entries. See summary for further details. </t>
    </r>
  </si>
  <si>
    <t>2007 Error - DO NOT USE</t>
  </si>
  <si>
    <t>640-01555</t>
  </si>
  <si>
    <t>VEHICLE CLEARING-CAT 3500# LIFT TRK W/PO</t>
  </si>
  <si>
    <t>645-V7210</t>
  </si>
  <si>
    <t>COOS COUNTY TRANS LINE CLEARIN-COOS COUN</t>
  </si>
  <si>
    <t>616-02362</t>
  </si>
  <si>
    <t>COOS COUNTY - SYSTEM OPERATIONS</t>
  </si>
  <si>
    <t>616-04457</t>
  </si>
  <si>
    <t>VEHICLE CLEARING-2YD DUMP TRK</t>
  </si>
  <si>
    <t>645-V3050</t>
  </si>
  <si>
    <t>PY through Sept</t>
  </si>
  <si>
    <t xml:space="preserve">Coos Bay Zero </t>
  </si>
  <si>
    <t xml:space="preserve">Took an adjustment in Q2 of $200k and Q3 $100k. Continue to monitor </t>
  </si>
  <si>
    <t>No adjustment taken Q1 or Q2</t>
  </si>
  <si>
    <t>Took an adjustment in Q2 of $125k. Q3 no ADJ</t>
  </si>
  <si>
    <t>Took an adjustment in Q2 of $45k. Q3 adj of ($15k)</t>
  </si>
  <si>
    <t xml:space="preserve">Increase due to $98k fund payment to Mbenefits </t>
  </si>
  <si>
    <t xml:space="preserve">Aug ending </t>
  </si>
  <si>
    <t>Took an adjustment in Q2 of $75k and Q3 $61k.</t>
  </si>
  <si>
    <t xml:space="preserve">(No Adjustment needed)  401k enhanced and match have a YTD net over accrual of $62k. with the highering freeze 401k Enhanced is over accrued.  During Q2 we adjusted for the 401k match based on historical trends and data. This amount is immaterial and we will not adjust during Q3. We will continue to monitor through-out October and November for any significant changes.   </t>
  </si>
  <si>
    <t xml:space="preserve"> (No Adjustment needed) Workers' comp has a YTD under accrual of $94k. We investigated the difference and there was no significant findings to warrant an adjustment. This account by nature has an unpredictable out come and is difficult to forecast. To stay consistent with the prior period we will not adjust for Q3 and continue to monitor during Oct and Nov. </t>
  </si>
  <si>
    <t>See JE 24-1 for further details:</t>
  </si>
  <si>
    <t xml:space="preserve"> (ADJ Booked) Western States has an YTD under accrual of $4k. This specific account has payments which are made on a quarterly basis that can easily be projected over the course of a year. To stay consistent with the prior period we will adjust for Q3 and  continue to monitor during October and November.</t>
  </si>
  <si>
    <t xml:space="preserve">(ADJ Booked) OPEB has a YTD over accrual $16k. Based on historical data and research we noted the three accounts below account for the year end adjustment. These costs are very predictable. To stay consistent with the prior period we will adjust for Q3 and continue to monitor during October and November. </t>
  </si>
  <si>
    <t xml:space="preserve">(ADJ Booked) Pension service cost has an YTD over accrual of $61k. This specific account has payments which are made on a quarterly basis that can easily be projected over the course of a year. As such, there as an adjustment related to Q2 will be the actual amount of $74,972. During Q3 and there will be an another adjustment for $61k to credit O&amp;M.  We were evaluating our POH’s over/under and were expecting to see a portion of the expense increase in the pension &amp; OPEB service cost POHs.  We will continue to monitor through-out October and November for any significant changes. </t>
  </si>
  <si>
    <t xml:space="preserve"> (ADJ Booked) Health cost has an YTD under accrual of $242k. During the first half of the year we expected to see the balance of $551k related to health savings unwind and it has not. We have a known timing difference of $138k ($551/4) related to the H.S.A. invoice let for Q4. During Q3, due to the FTE count be lower than budgeted the accrued health has increased but us in an small over accrual.  In Q2, we adjusted $200k and based on historical data and known differences, we will adjusted this account this account $100k debiting O&amp;M. We will continue to monitor through-out October and November for any significant changes. </t>
  </si>
  <si>
    <t xml:space="preserve">Took an adjustment in Q2 of $15k and Q3 $3.7k </t>
  </si>
  <si>
    <t xml:space="preserve">Imm, $1 Bonus cleared out to zero </t>
  </si>
  <si>
    <t>Recon</t>
  </si>
  <si>
    <t xml:space="preserve">VOH </t>
  </si>
  <si>
    <t>NWN Natural</t>
  </si>
  <si>
    <t>Clearing Adjustments</t>
  </si>
  <si>
    <t>September 2019</t>
  </si>
  <si>
    <t>September 2020</t>
  </si>
  <si>
    <t>Test Year</t>
  </si>
  <si>
    <t>Allocation</t>
  </si>
  <si>
    <t>Factor</t>
  </si>
  <si>
    <t>Payroll</t>
  </si>
  <si>
    <t>Direct - OR</t>
  </si>
  <si>
    <t>Small Tools / Transpo / Vehicles</t>
  </si>
  <si>
    <t>Distribution</t>
  </si>
  <si>
    <t>Updated: 11/20/2020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</si>
</sst>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7" formatCode="&quot;$&quot;#,##0.00_);\(&quot;$&quot;#,##0.00\)"/>
    <numFmt numFmtId="44" formatCode="_(&quot;$&quot;* #,##0.00_);_(&quot;$&quot;* \(#,##0.00\);_(&quot;$&quot;* &quot;-&quot;??_);_(@_)"/>
    <numFmt numFmtId="43" formatCode="_(* #,##0.00_);_(* \(#,##0.00\);_(* &quot;-&quot;??_);_(@_)"/>
    <numFmt numFmtId="164" formatCode="mm/dd/yyyy"/>
    <numFmt numFmtId="165" formatCode="_-* #,##0.00\ _D_M_-;\-* #,##0.00\ _D_M_-;_-* &quot;-&quot;??\ _D_M_-;_-@_-"/>
    <numFmt numFmtId="166" formatCode="_-* #,##0.00\ &quot;DM&quot;_-;\-* #,##0.00\ &quot;DM&quot;_-;_-* &quot;-&quot;??\ &quot;DM&quot;_-;_-@_-"/>
    <numFmt numFmtId="167" formatCode="_(* #,##0_);_(* \(#,##0\);_(* &quot;-&quot;??_);_(@_)"/>
    <numFmt numFmtId="168" formatCode="_(* #,##0.0_);_(* \(#,##0.0\);_(* &quot;-&quot;??_);_(@_)"/>
  </numFmts>
  <fonts count="9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Narrow"/>
      <family val="2"/>
    </font>
    <font>
      <b/>
      <sz val="10"/>
      <name val="Arial"/>
      <family val="2"/>
    </font>
    <font>
      <sz val="14"/>
      <name val="Arial Narrow"/>
      <family val="2"/>
    </font>
    <font>
      <b/>
      <sz val="14"/>
      <name val="Arial Narrow"/>
      <family val="2"/>
    </font>
    <font>
      <b/>
      <sz val="12"/>
      <name val="Arial"/>
      <family val="2"/>
    </font>
    <font>
      <b/>
      <sz val="14"/>
      <name val="Arial"/>
      <family val="2"/>
    </font>
    <font>
      <sz val="12"/>
      <name val="Arial"/>
      <family val="2"/>
    </font>
    <font>
      <sz val="12"/>
      <color indexed="62"/>
      <name val="Arial Narrow"/>
      <family val="2"/>
    </font>
    <font>
      <sz val="10"/>
      <name val="Arial Narrow"/>
      <family val="2"/>
    </font>
    <font>
      <b/>
      <sz val="10"/>
      <color indexed="18"/>
      <name val="Arial"/>
      <family val="2"/>
    </font>
    <font>
      <sz val="8"/>
      <name val="Arial"/>
      <family val="2"/>
    </font>
    <font>
      <u/>
      <sz val="10"/>
      <name val="Arial"/>
      <family val="2"/>
    </font>
    <font>
      <b/>
      <u/>
      <sz val="10"/>
      <name val="Arial"/>
      <family val="2"/>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name val="Arial"/>
      <family val="2"/>
    </font>
    <font>
      <b/>
      <sz val="11"/>
      <name val="Arial"/>
      <family val="2"/>
    </font>
    <font>
      <b/>
      <sz val="12"/>
      <color indexed="18"/>
      <name val="Arial"/>
      <family val="2"/>
    </font>
    <font>
      <b/>
      <sz val="11"/>
      <name val="Arial Narrow"/>
      <family val="2"/>
    </font>
    <font>
      <sz val="12"/>
      <color indexed="18"/>
      <name val="Arial"/>
      <family val="2"/>
    </font>
    <font>
      <sz val="11"/>
      <name val="MS Sans Serif"/>
      <family val="2"/>
    </font>
    <font>
      <sz val="9"/>
      <name val="Arial"/>
      <family val="2"/>
    </font>
    <font>
      <sz val="9"/>
      <name val="MS Sans Serif"/>
      <family val="2"/>
    </font>
    <font>
      <sz val="11"/>
      <name val="Calibri"/>
      <family val="2"/>
      <scheme val="minor"/>
    </font>
    <font>
      <sz val="10"/>
      <name val="Arial"/>
      <family val="2"/>
    </font>
    <font>
      <sz val="10"/>
      <color indexed="18"/>
      <name val="Arial"/>
      <family val="2"/>
    </font>
    <font>
      <b/>
      <sz val="10"/>
      <name val="MS Sans Serif"/>
      <family val="2"/>
    </font>
    <font>
      <i/>
      <sz val="11"/>
      <color theme="1"/>
      <name val="Calibri"/>
      <family val="2"/>
      <scheme val="minor"/>
    </font>
    <font>
      <sz val="9"/>
      <color indexed="81"/>
      <name val="Tahoma"/>
      <family val="2"/>
    </font>
    <font>
      <b/>
      <sz val="9"/>
      <color indexed="81"/>
      <name val="Tahoma"/>
      <family val="2"/>
    </font>
    <font>
      <sz val="10"/>
      <name val="Arial"/>
      <family val="2"/>
    </font>
    <font>
      <sz val="11"/>
      <color indexed="8"/>
      <name val="Calibri"/>
      <family val="2"/>
      <scheme val="minor"/>
    </font>
    <font>
      <b/>
      <i/>
      <sz val="10"/>
      <color rgb="FFFF0000"/>
      <name val="Arial"/>
      <family val="2"/>
    </font>
    <font>
      <b/>
      <sz val="10"/>
      <color rgb="FFFF0000"/>
      <name val="Arial"/>
      <family val="2"/>
    </font>
    <font>
      <sz val="10"/>
      <name val="Arial"/>
      <family val="2"/>
    </font>
    <font>
      <b/>
      <sz val="16"/>
      <name val="Arial"/>
      <family val="2"/>
    </font>
    <font>
      <sz val="10"/>
      <color theme="0"/>
      <name val="Arial"/>
      <family val="2"/>
    </font>
    <font>
      <b/>
      <sz val="10"/>
      <color theme="0"/>
      <name val="Arial"/>
      <family val="2"/>
    </font>
    <font>
      <sz val="10"/>
      <color theme="1"/>
      <name val="Arial"/>
      <family val="2"/>
    </font>
    <font>
      <b/>
      <sz val="10"/>
      <color theme="1"/>
      <name val="Arial"/>
      <family val="2"/>
    </font>
    <font>
      <sz val="10"/>
      <color indexed="8"/>
      <name val="Arial"/>
      <family val="2"/>
    </font>
    <font>
      <sz val="11"/>
      <name val="Calibri"/>
      <family val="2"/>
    </font>
    <font>
      <b/>
      <i/>
      <sz val="10"/>
      <name val="Arial"/>
      <family val="2"/>
    </font>
    <font>
      <sz val="10"/>
      <color rgb="FFFF0000"/>
      <name val="Arial"/>
      <family val="2"/>
    </font>
    <font>
      <sz val="10"/>
      <color rgb="FF7030A0"/>
      <name val="Arial"/>
      <family val="2"/>
    </font>
    <font>
      <b/>
      <sz val="10"/>
      <color rgb="FF7030A0"/>
      <name val="Arial"/>
      <family val="2"/>
    </font>
    <font>
      <b/>
      <sz val="14"/>
      <name val="Calibri"/>
      <family val="2"/>
      <scheme val="minor"/>
    </font>
    <font>
      <b/>
      <sz val="14"/>
      <color rgb="FFFF0000"/>
      <name val="Calibri"/>
      <family val="2"/>
      <scheme val="minor"/>
    </font>
    <font>
      <b/>
      <sz val="10"/>
      <name val="Calibri"/>
      <family val="2"/>
      <scheme val="minor"/>
    </font>
    <font>
      <sz val="10"/>
      <name val="Calibri"/>
      <family val="2"/>
      <scheme val="minor"/>
    </font>
    <font>
      <b/>
      <sz val="11"/>
      <color rgb="FF000000"/>
      <name val="Calibri"/>
      <family val="2"/>
      <scheme val="minor"/>
    </font>
    <font>
      <sz val="11"/>
      <color rgb="FF000000"/>
      <name val="Calibri"/>
      <family val="2"/>
      <scheme val="minor"/>
    </font>
    <font>
      <u/>
      <sz val="10"/>
      <color theme="10"/>
      <name val="Arial"/>
      <family val="2"/>
    </font>
    <font>
      <u/>
      <sz val="10"/>
      <color theme="10"/>
      <name val="Calibri"/>
      <family val="2"/>
      <scheme val="minor"/>
    </font>
    <font>
      <sz val="10"/>
      <color theme="10"/>
      <name val="Calibri"/>
      <family val="2"/>
      <scheme val="minor"/>
    </font>
  </fonts>
  <fills count="10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solid">
        <fgColor theme="0" tint="-4.9989318521683403E-2"/>
        <bgColor indexed="64"/>
      </patternFill>
    </fill>
    <fill>
      <patternFill patternType="solid">
        <fgColor theme="0"/>
        <bgColor indexed="64"/>
      </patternFill>
    </fill>
    <fill>
      <patternFill patternType="mediumGray">
        <fgColor indexed="22"/>
      </patternFill>
    </fill>
    <fill>
      <patternFill patternType="solid">
        <fgColor indexed="22"/>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249977111117893"/>
        <bgColor theme="7" tint="-0.249977111117893"/>
      </patternFill>
    </fill>
    <fill>
      <patternFill patternType="solid">
        <fgColor theme="7" tint="0.39997558519241921"/>
        <bgColor theme="7" tint="0.39997558519241921"/>
      </patternFill>
    </fill>
    <fill>
      <patternFill patternType="solid">
        <fgColor theme="0" tint="-0.14999847407452621"/>
        <bgColor theme="0" tint="-0.14999847407452621"/>
      </patternFill>
    </fill>
    <fill>
      <patternFill patternType="solid">
        <fgColor theme="7" tint="0.39997558519241921"/>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theme="7" tint="-0.249977111117893"/>
        <bgColor indexed="64"/>
      </patternFill>
    </fill>
    <fill>
      <patternFill patternType="solid">
        <fgColor theme="6" tint="0.39997558519241921"/>
        <bgColor indexed="64"/>
      </patternFill>
    </fill>
    <fill>
      <patternFill patternType="solid">
        <fgColor theme="6" tint="0.59999389629810485"/>
        <bgColor indexed="64"/>
      </patternFill>
    </fill>
  </fills>
  <borders count="56">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theme="7" tint="-0.249977111117893"/>
      </top>
      <bottom style="thin">
        <color theme="7" tint="0.59999389629810485"/>
      </bottom>
      <diagonal/>
    </border>
    <border>
      <left/>
      <right/>
      <top style="thin">
        <color theme="7" tint="-0.249977111117893"/>
      </top>
      <bottom style="thin">
        <color theme="7" tint="0.79998168889431442"/>
      </bottom>
      <diagonal/>
    </border>
    <border>
      <left/>
      <right/>
      <top style="thin">
        <color theme="7" tint="0.79998168889431442"/>
      </top>
      <bottom style="thin">
        <color theme="7" tint="0.39997558519241921"/>
      </bottom>
      <diagonal/>
    </border>
    <border>
      <left/>
      <right/>
      <top style="thin">
        <color theme="7" tint="0.79998168889431442"/>
      </top>
      <bottom style="thin">
        <color theme="7" tint="0.79998168889431442"/>
      </bottom>
      <diagonal/>
    </border>
    <border>
      <left/>
      <right/>
      <top style="thin">
        <color theme="7" tint="0.39997558519241921"/>
      </top>
      <bottom style="thin">
        <color theme="7" tint="0.39997558519241921"/>
      </bottom>
      <diagonal/>
    </border>
    <border>
      <left/>
      <right/>
      <top style="thin">
        <color theme="7" tint="0.39997558519241921"/>
      </top>
      <bottom style="thin">
        <color theme="7" tint="0.79998168889431442"/>
      </bottom>
      <diagonal/>
    </border>
    <border>
      <left/>
      <right/>
      <top style="double">
        <color theme="7" tint="-0.249977111117893"/>
      </top>
      <bottom/>
      <diagonal/>
    </border>
    <border>
      <left/>
      <right/>
      <top style="thin">
        <color theme="7" tint="0.79998168889431442"/>
      </top>
      <bottom/>
      <diagonal/>
    </border>
    <border>
      <left/>
      <right/>
      <top/>
      <bottom style="double">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7" tint="0.39997558519241921"/>
      </bottom>
      <diagonal/>
    </border>
  </borders>
  <cellStyleXfs count="707">
    <xf numFmtId="0" fontId="0" fillId="0" borderId="0"/>
    <xf numFmtId="43" fontId="5" fillId="0" borderId="0" applyFont="0" applyFill="0" applyBorder="0" applyAlignment="0" applyProtection="0"/>
    <xf numFmtId="0" fontId="5" fillId="0" borderId="0"/>
    <xf numFmtId="0" fontId="19" fillId="0" borderId="0"/>
    <xf numFmtId="0" fontId="20" fillId="0" borderId="0" applyNumberFormat="0" applyFill="0" applyBorder="0" applyAlignment="0" applyProtection="0"/>
    <xf numFmtId="0" fontId="21" fillId="0" borderId="12" applyNumberFormat="0" applyFill="0" applyAlignment="0" applyProtection="0"/>
    <xf numFmtId="0" fontId="22" fillId="0" borderId="13" applyNumberFormat="0" applyFill="0" applyAlignment="0" applyProtection="0"/>
    <xf numFmtId="0" fontId="23" fillId="0" borderId="14" applyNumberFormat="0" applyFill="0" applyAlignment="0" applyProtection="0"/>
    <xf numFmtId="0" fontId="23" fillId="0" borderId="0" applyNumberFormat="0" applyFill="0" applyBorder="0" applyAlignment="0" applyProtection="0"/>
    <xf numFmtId="0" fontId="24" fillId="2" borderId="0" applyNumberFormat="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15" applyNumberFormat="0" applyAlignment="0" applyProtection="0"/>
    <xf numFmtId="0" fontId="28" fillId="6" borderId="16" applyNumberFormat="0" applyAlignment="0" applyProtection="0"/>
    <xf numFmtId="0" fontId="29" fillId="6" borderId="15" applyNumberFormat="0" applyAlignment="0" applyProtection="0"/>
    <xf numFmtId="0" fontId="30" fillId="0" borderId="17" applyNumberFormat="0" applyFill="0" applyAlignment="0" applyProtection="0"/>
    <xf numFmtId="0" fontId="31" fillId="7" borderId="18" applyNumberFormat="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20" applyNumberFormat="0" applyFill="0" applyAlignment="0" applyProtection="0"/>
    <xf numFmtId="0" fontId="35"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35" fillId="28" borderId="0" applyNumberFormat="0" applyBorder="0" applyAlignment="0" applyProtection="0"/>
    <xf numFmtId="0" fontId="35"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5" fillId="32"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36" fillId="0" borderId="0" applyFont="0" applyFill="0" applyBorder="0" applyAlignment="0" applyProtection="0"/>
    <xf numFmtId="0" fontId="5" fillId="0" borderId="0"/>
    <xf numFmtId="0" fontId="36" fillId="8" borderId="19" applyNumberFormat="0" applyFont="0" applyAlignment="0" applyProtection="0"/>
    <xf numFmtId="9" fontId="36" fillId="0" borderId="0" applyFont="0" applyFill="0" applyBorder="0" applyAlignment="0" applyProtection="0"/>
    <xf numFmtId="43" fontId="4"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4" fillId="8" borderId="19" applyNumberFormat="0" applyFont="0" applyAlignment="0" applyProtection="0"/>
    <xf numFmtId="0" fontId="5" fillId="0" borderId="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8" borderId="19" applyNumberFormat="0" applyFont="0" applyAlignment="0" applyProtection="0"/>
    <xf numFmtId="0" fontId="5" fillId="0" borderId="0"/>
    <xf numFmtId="43" fontId="4" fillId="0" borderId="0" applyFont="0" applyFill="0" applyBorder="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43" fontId="4" fillId="0" borderId="0" applyFont="0" applyFill="0" applyBorder="0" applyAlignment="0" applyProtection="0"/>
    <xf numFmtId="0" fontId="4" fillId="8" borderId="19"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0" fontId="5" fillId="0" borderId="0"/>
    <xf numFmtId="0" fontId="4" fillId="8" borderId="19" applyNumberFormat="0" applyFont="0" applyAlignment="0" applyProtection="0"/>
    <xf numFmtId="0" fontId="5" fillId="0" borderId="0"/>
    <xf numFmtId="0" fontId="5" fillId="0" borderId="0"/>
    <xf numFmtId="0" fontId="5" fillId="0" borderId="0"/>
    <xf numFmtId="0" fontId="5" fillId="0" borderId="0"/>
    <xf numFmtId="0" fontId="5" fillId="0" borderId="0"/>
    <xf numFmtId="0" fontId="4" fillId="8" borderId="19" applyNumberFormat="0" applyFont="0" applyAlignment="0" applyProtection="0"/>
    <xf numFmtId="0" fontId="5" fillId="0" borderId="0"/>
    <xf numFmtId="0" fontId="5" fillId="0" borderId="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4" fillId="8" borderId="19" applyNumberFormat="0" applyFont="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4" fillId="0" borderId="0" applyFont="0" applyFill="0" applyBorder="0" applyAlignment="0" applyProtection="0"/>
    <xf numFmtId="0" fontId="4" fillId="0" borderId="0"/>
    <xf numFmtId="43" fontId="36" fillId="0" borderId="0" applyFont="0" applyFill="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36" fillId="8" borderId="19" applyNumberFormat="0" applyFont="0" applyAlignment="0" applyProtection="0"/>
    <xf numFmtId="9"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0" fontId="4"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36" fillId="8" borderId="19" applyNumberFormat="0" applyFont="0" applyAlignment="0" applyProtection="0"/>
    <xf numFmtId="9" fontId="36"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0" fontId="5" fillId="0" borderId="0"/>
    <xf numFmtId="0" fontId="36" fillId="8" borderId="19" applyNumberFormat="0" applyFont="0" applyAlignment="0" applyProtection="0"/>
    <xf numFmtId="9" fontId="36" fillId="0" borderId="0" applyFont="0" applyFill="0" applyBorder="0" applyAlignment="0" applyProtection="0"/>
    <xf numFmtId="0" fontId="16" fillId="34" borderId="0"/>
    <xf numFmtId="0" fontId="43" fillId="35" borderId="0" applyNumberFormat="0" applyBorder="0" applyAlignment="0" applyProtection="0"/>
    <xf numFmtId="0" fontId="36" fillId="36" borderId="0" applyNumberFormat="0" applyBorder="0" applyAlignment="0" applyProtection="0"/>
    <xf numFmtId="0" fontId="36" fillId="37" borderId="0" applyNumberFormat="0" applyBorder="0" applyAlignment="0" applyProtection="0"/>
    <xf numFmtId="0" fontId="43" fillId="38" borderId="0" applyNumberFormat="0" applyBorder="0" applyAlignment="0" applyProtection="0"/>
    <xf numFmtId="0" fontId="43" fillId="39"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36" fillId="40" borderId="0" applyNumberFormat="0" applyBorder="0" applyAlignment="0" applyProtection="0"/>
    <xf numFmtId="0" fontId="36" fillId="48" borderId="0" applyNumberFormat="0" applyBorder="0" applyAlignment="0" applyProtection="0"/>
    <xf numFmtId="0" fontId="43" fillId="41" borderId="0" applyNumberFormat="0" applyBorder="0" applyAlignment="0" applyProtection="0"/>
    <xf numFmtId="0" fontId="43" fillId="38" borderId="0" applyNumberFormat="0" applyBorder="0" applyAlignment="0" applyProtection="0"/>
    <xf numFmtId="0" fontId="36" fillId="49" borderId="0" applyNumberFormat="0" applyBorder="0" applyAlignment="0" applyProtection="0"/>
    <xf numFmtId="0" fontId="36" fillId="50" borderId="0" applyNumberFormat="0" applyBorder="0" applyAlignment="0" applyProtection="0"/>
    <xf numFmtId="0" fontId="43" fillId="38" borderId="0" applyNumberFormat="0" applyBorder="0" applyAlignment="0" applyProtection="0"/>
    <xf numFmtId="0" fontId="43" fillId="51" borderId="0" applyNumberFormat="0" applyBorder="0" applyAlignment="0" applyProtection="0"/>
    <xf numFmtId="0" fontId="36" fillId="52" borderId="0" applyNumberFormat="0" applyBorder="0" applyAlignment="0" applyProtection="0"/>
    <xf numFmtId="0" fontId="36" fillId="53" borderId="0" applyNumberFormat="0" applyBorder="0" applyAlignment="0" applyProtection="0"/>
    <xf numFmtId="0" fontId="43" fillId="54" borderId="0" applyNumberFormat="0" applyBorder="0" applyAlignment="0" applyProtection="0"/>
    <xf numFmtId="0" fontId="44" fillId="52" borderId="0" applyNumberFormat="0" applyBorder="0" applyAlignment="0" applyProtection="0"/>
    <xf numFmtId="0" fontId="45" fillId="55" borderId="21" applyNumberFormat="0" applyAlignment="0" applyProtection="0"/>
    <xf numFmtId="0" fontId="46" fillId="47" borderId="22" applyNumberFormat="0" applyAlignment="0" applyProtection="0"/>
    <xf numFmtId="0" fontId="37" fillId="56" borderId="0" applyNumberFormat="0" applyBorder="0" applyAlignment="0" applyProtection="0"/>
    <xf numFmtId="0" fontId="37" fillId="57" borderId="0" applyNumberFormat="0" applyBorder="0" applyAlignment="0" applyProtection="0"/>
    <xf numFmtId="0" fontId="37" fillId="58" borderId="0" applyNumberFormat="0" applyBorder="0" applyAlignment="0" applyProtection="0"/>
    <xf numFmtId="0" fontId="36" fillId="45" borderId="0" applyNumberFormat="0" applyBorder="0" applyAlignment="0" applyProtection="0"/>
    <xf numFmtId="0" fontId="47" fillId="0" borderId="23" applyNumberFormat="0" applyFill="0" applyAlignment="0" applyProtection="0"/>
    <xf numFmtId="0" fontId="48" fillId="0" borderId="24" applyNumberFormat="0" applyFill="0" applyAlignment="0" applyProtection="0"/>
    <xf numFmtId="0" fontId="49" fillId="0" borderId="25" applyNumberFormat="0" applyFill="0" applyAlignment="0" applyProtection="0"/>
    <xf numFmtId="0" fontId="49" fillId="0" borderId="0" applyNumberFormat="0" applyFill="0" applyBorder="0" applyAlignment="0" applyProtection="0"/>
    <xf numFmtId="0" fontId="50" fillId="53" borderId="21" applyNumberFormat="0" applyAlignment="0" applyProtection="0"/>
    <xf numFmtId="0" fontId="51" fillId="0" borderId="26" applyNumberFormat="0" applyFill="0" applyAlignment="0" applyProtection="0"/>
    <xf numFmtId="0" fontId="51" fillId="53" borderId="0" applyNumberFormat="0" applyBorder="0" applyAlignment="0" applyProtection="0"/>
    <xf numFmtId="0" fontId="16" fillId="52" borderId="21" applyNumberFormat="0" applyFont="0" applyAlignment="0" applyProtection="0"/>
    <xf numFmtId="0" fontId="52" fillId="55" borderId="27" applyNumberFormat="0" applyAlignment="0" applyProtection="0"/>
    <xf numFmtId="4" fontId="16" fillId="59" borderId="21" applyNumberFormat="0" applyProtection="0">
      <alignment vertical="center"/>
    </xf>
    <xf numFmtId="4" fontId="55" fillId="33" borderId="21" applyNumberFormat="0" applyProtection="0">
      <alignment vertical="center"/>
    </xf>
    <xf numFmtId="4" fontId="16" fillId="33" borderId="21" applyNumberFormat="0" applyProtection="0">
      <alignment horizontal="left" vertical="center" indent="1"/>
    </xf>
    <xf numFmtId="0" fontId="40" fillId="59" borderId="28" applyNumberFormat="0" applyProtection="0">
      <alignment horizontal="left" vertical="top" indent="1"/>
    </xf>
    <xf numFmtId="4" fontId="16" fillId="60" borderId="21" applyNumberFormat="0" applyProtection="0">
      <alignment horizontal="left" vertical="center" indent="1"/>
    </xf>
    <xf numFmtId="4" fontId="16" fillId="61" borderId="21" applyNumberFormat="0" applyProtection="0">
      <alignment horizontal="right" vertical="center"/>
    </xf>
    <xf numFmtId="4" fontId="16" fillId="62" borderId="21" applyNumberFormat="0" applyProtection="0">
      <alignment horizontal="right" vertical="center"/>
    </xf>
    <xf numFmtId="4" fontId="16" fillId="63" borderId="29" applyNumberFormat="0" applyProtection="0">
      <alignment horizontal="right" vertical="center"/>
    </xf>
    <xf numFmtId="4" fontId="16" fillId="64" borderId="21" applyNumberFormat="0" applyProtection="0">
      <alignment horizontal="right" vertical="center"/>
    </xf>
    <xf numFmtId="4" fontId="16" fillId="65" borderId="21" applyNumberFormat="0" applyProtection="0">
      <alignment horizontal="right" vertical="center"/>
    </xf>
    <xf numFmtId="4" fontId="16" fillId="66" borderId="21" applyNumberFormat="0" applyProtection="0">
      <alignment horizontal="right" vertical="center"/>
    </xf>
    <xf numFmtId="4" fontId="16" fillId="67" borderId="21" applyNumberFormat="0" applyProtection="0">
      <alignment horizontal="right" vertical="center"/>
    </xf>
    <xf numFmtId="4" fontId="16" fillId="68" borderId="21" applyNumberFormat="0" applyProtection="0">
      <alignment horizontal="right" vertical="center"/>
    </xf>
    <xf numFmtId="4" fontId="16" fillId="69" borderId="21" applyNumberFormat="0" applyProtection="0">
      <alignment horizontal="right" vertical="center"/>
    </xf>
    <xf numFmtId="4" fontId="16" fillId="70" borderId="29" applyNumberFormat="0" applyProtection="0">
      <alignment horizontal="left" vertical="center" indent="1"/>
    </xf>
    <xf numFmtId="4" fontId="5" fillId="71" borderId="29" applyNumberFormat="0" applyProtection="0">
      <alignment horizontal="left" vertical="center" indent="1"/>
    </xf>
    <xf numFmtId="4" fontId="5" fillId="71" borderId="29" applyNumberFormat="0" applyProtection="0">
      <alignment horizontal="left" vertical="center" indent="1"/>
    </xf>
    <xf numFmtId="4" fontId="16" fillId="72" borderId="21" applyNumberFormat="0" applyProtection="0">
      <alignment horizontal="right" vertical="center"/>
    </xf>
    <xf numFmtId="4" fontId="16" fillId="73" borderId="29" applyNumberFormat="0" applyProtection="0">
      <alignment horizontal="left" vertical="center" indent="1"/>
    </xf>
    <xf numFmtId="4" fontId="16" fillId="72" borderId="29" applyNumberFormat="0" applyProtection="0">
      <alignment horizontal="left" vertical="center" indent="1"/>
    </xf>
    <xf numFmtId="0" fontId="16" fillId="74" borderId="21" applyNumberFormat="0" applyProtection="0">
      <alignment horizontal="left" vertical="center" indent="1"/>
    </xf>
    <xf numFmtId="0" fontId="16" fillId="71" borderId="28" applyNumberFormat="0" applyProtection="0">
      <alignment horizontal="left" vertical="top" indent="1"/>
    </xf>
    <xf numFmtId="0" fontId="16" fillId="75" borderId="21" applyNumberFormat="0" applyProtection="0">
      <alignment horizontal="left" vertical="center" indent="1"/>
    </xf>
    <xf numFmtId="0" fontId="16" fillId="72" borderId="28" applyNumberFormat="0" applyProtection="0">
      <alignment horizontal="left" vertical="top" indent="1"/>
    </xf>
    <xf numFmtId="0" fontId="16" fillId="76" borderId="21" applyNumberFormat="0" applyProtection="0">
      <alignment horizontal="left" vertical="center" indent="1"/>
    </xf>
    <xf numFmtId="0" fontId="16" fillId="76" borderId="28" applyNumberFormat="0" applyProtection="0">
      <alignment horizontal="left" vertical="top" indent="1"/>
    </xf>
    <xf numFmtId="0" fontId="16" fillId="73" borderId="21" applyNumberFormat="0" applyProtection="0">
      <alignment horizontal="left" vertical="center" indent="1"/>
    </xf>
    <xf numFmtId="0" fontId="16" fillId="73" borderId="28" applyNumberFormat="0" applyProtection="0">
      <alignment horizontal="left" vertical="top" indent="1"/>
    </xf>
    <xf numFmtId="0" fontId="16" fillId="77" borderId="30" applyNumberFormat="0">
      <protection locked="0"/>
    </xf>
    <xf numFmtId="0" fontId="38" fillId="71" borderId="31" applyBorder="0"/>
    <xf numFmtId="4" fontId="39" fillId="78" borderId="28" applyNumberFormat="0" applyProtection="0">
      <alignment vertical="center"/>
    </xf>
    <xf numFmtId="4" fontId="55" fillId="79" borderId="2" applyNumberFormat="0" applyProtection="0">
      <alignment vertical="center"/>
    </xf>
    <xf numFmtId="4" fontId="39" fillId="74" borderId="28" applyNumberFormat="0" applyProtection="0">
      <alignment horizontal="left" vertical="center" indent="1"/>
    </xf>
    <xf numFmtId="0" fontId="39" fillId="78" borderId="28" applyNumberFormat="0" applyProtection="0">
      <alignment horizontal="left" vertical="top" indent="1"/>
    </xf>
    <xf numFmtId="4" fontId="16" fillId="0" borderId="21" applyNumberFormat="0" applyProtection="0">
      <alignment horizontal="right" vertical="center"/>
    </xf>
    <xf numFmtId="4" fontId="55" fillId="80" borderId="21" applyNumberFormat="0" applyProtection="0">
      <alignment horizontal="right" vertical="center"/>
    </xf>
    <xf numFmtId="4" fontId="16" fillId="60" borderId="21" applyNumberFormat="0" applyProtection="0">
      <alignment horizontal="left" vertical="center" indent="1"/>
    </xf>
    <xf numFmtId="0" fontId="39" fillId="72" borderId="28" applyNumberFormat="0" applyProtection="0">
      <alignment horizontal="left" vertical="top" indent="1"/>
    </xf>
    <xf numFmtId="4" fontId="41" fillId="81" borderId="29" applyNumberFormat="0" applyProtection="0">
      <alignment horizontal="left" vertical="center" indent="1"/>
    </xf>
    <xf numFmtId="0" fontId="16" fillId="82" borderId="2"/>
    <xf numFmtId="4" fontId="42" fillId="77" borderId="21" applyNumberFormat="0" applyProtection="0">
      <alignment horizontal="right" vertical="center"/>
    </xf>
    <xf numFmtId="0" fontId="53" fillId="0" borderId="0" applyNumberFormat="0" applyFill="0" applyBorder="0" applyAlignment="0" applyProtection="0"/>
    <xf numFmtId="0" fontId="37" fillId="0" borderId="32" applyNumberFormat="0" applyFill="0" applyAlignment="0" applyProtection="0"/>
    <xf numFmtId="0" fontId="54" fillId="0" borderId="0" applyNumberFormat="0" applyFill="0" applyBorder="0" applyAlignment="0" applyProtection="0"/>
    <xf numFmtId="0" fontId="16" fillId="34" borderId="0"/>
    <xf numFmtId="0" fontId="43" fillId="35" borderId="0" applyNumberFormat="0" applyBorder="0" applyAlignment="0" applyProtection="0"/>
    <xf numFmtId="0" fontId="43" fillId="43" borderId="0" applyNumberFormat="0" applyBorder="0" applyAlignment="0" applyProtection="0"/>
    <xf numFmtId="0" fontId="43" fillId="51" borderId="0" applyNumberFormat="0" applyBorder="0" applyAlignment="0" applyProtection="0"/>
    <xf numFmtId="0" fontId="43" fillId="47" borderId="0" applyNumberFormat="0" applyBorder="0" applyAlignment="0" applyProtection="0"/>
    <xf numFmtId="0" fontId="43" fillId="39" borderId="0" applyNumberFormat="0" applyBorder="0" applyAlignment="0" applyProtection="0"/>
    <xf numFmtId="0" fontId="43" fillId="38" borderId="0" applyNumberFormat="0" applyBorder="0" applyAlignment="0" applyProtection="0"/>
    <xf numFmtId="0" fontId="16" fillId="52" borderId="21" applyNumberFormat="0" applyFont="0" applyAlignment="0" applyProtection="0"/>
    <xf numFmtId="0" fontId="16" fillId="71" borderId="28" applyNumberFormat="0" applyProtection="0">
      <alignment horizontal="left" vertical="top" indent="1"/>
    </xf>
    <xf numFmtId="0" fontId="16" fillId="72" borderId="28" applyNumberFormat="0" applyProtection="0">
      <alignment horizontal="left" vertical="top" indent="1"/>
    </xf>
    <xf numFmtId="0" fontId="16" fillId="76" borderId="28" applyNumberFormat="0" applyProtection="0">
      <alignment horizontal="left" vertical="top" indent="1"/>
    </xf>
    <xf numFmtId="0" fontId="16" fillId="73" borderId="28" applyNumberFormat="0" applyProtection="0">
      <alignment horizontal="left" vertical="top" indent="1"/>
    </xf>
    <xf numFmtId="0" fontId="16" fillId="77" borderId="30" applyNumberFormat="0">
      <protection locked="0"/>
    </xf>
    <xf numFmtId="43" fontId="65" fillId="0" borderId="0" applyFont="0" applyFill="0" applyBorder="0" applyAlignment="0" applyProtection="0"/>
    <xf numFmtId="0" fontId="5" fillId="0" borderId="0"/>
    <xf numFmtId="0" fontId="3" fillId="10"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5" fillId="12" borderId="0" applyNumberFormat="0" applyBorder="0" applyAlignment="0" applyProtection="0"/>
    <xf numFmtId="0" fontId="35" fillId="16" borderId="0" applyNumberFormat="0" applyBorder="0" applyAlignment="0" applyProtection="0"/>
    <xf numFmtId="0" fontId="35" fillId="20" borderId="0" applyNumberFormat="0" applyBorder="0" applyAlignment="0" applyProtection="0"/>
    <xf numFmtId="0" fontId="35" fillId="24" borderId="0" applyNumberFormat="0" applyBorder="0" applyAlignment="0" applyProtection="0"/>
    <xf numFmtId="0" fontId="35" fillId="28" borderId="0" applyNumberFormat="0" applyBorder="0" applyAlignment="0" applyProtection="0"/>
    <xf numFmtId="0" fontId="35" fillId="32"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25" fillId="3" borderId="0" applyNumberFormat="0" applyBorder="0" applyAlignment="0" applyProtection="0"/>
    <xf numFmtId="0" fontId="25" fillId="3" borderId="0" applyNumberFormat="0" applyBorder="0" applyAlignment="0" applyProtection="0"/>
    <xf numFmtId="0" fontId="29" fillId="6" borderId="15" applyNumberFormat="0" applyAlignment="0" applyProtection="0"/>
    <xf numFmtId="0" fontId="29" fillId="6" borderId="15" applyNumberFormat="0" applyAlignment="0" applyProtection="0"/>
    <xf numFmtId="0" fontId="31" fillId="7" borderId="18" applyNumberFormat="0" applyAlignment="0" applyProtection="0"/>
    <xf numFmtId="0" fontId="31" fillId="7" borderId="18" applyNumberFormat="0" applyAlignment="0" applyProtection="0"/>
    <xf numFmtId="43" fontId="3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6"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36"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0" fontId="33" fillId="0" borderId="0" applyNumberFormat="0" applyFill="0" applyBorder="0" applyAlignment="0" applyProtection="0"/>
    <xf numFmtId="0" fontId="24" fillId="2" borderId="0" applyNumberFormat="0" applyBorder="0" applyAlignment="0" applyProtection="0"/>
    <xf numFmtId="0" fontId="24" fillId="2" borderId="0" applyNumberFormat="0" applyBorder="0" applyAlignment="0" applyProtection="0"/>
    <xf numFmtId="0" fontId="21" fillId="0" borderId="12"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13" applyNumberFormat="0" applyFill="0" applyAlignment="0" applyProtection="0"/>
    <xf numFmtId="0" fontId="23" fillId="0" borderId="14" applyNumberFormat="0" applyFill="0" applyAlignment="0" applyProtection="0"/>
    <xf numFmtId="0" fontId="23" fillId="0" borderId="14"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7" fillId="5" borderId="15" applyNumberFormat="0" applyAlignment="0" applyProtection="0"/>
    <xf numFmtId="0" fontId="27" fillId="5" borderId="15" applyNumberFormat="0" applyAlignment="0" applyProtection="0"/>
    <xf numFmtId="0" fontId="30" fillId="0" borderId="17" applyNumberFormat="0" applyFill="0" applyAlignment="0" applyProtection="0"/>
    <xf numFmtId="0" fontId="30" fillId="0" borderId="17" applyNumberFormat="0" applyFill="0" applyAlignment="0" applyProtection="0"/>
    <xf numFmtId="0" fontId="26" fillId="4" borderId="0" applyNumberFormat="0" applyBorder="0" applyAlignment="0" applyProtection="0"/>
    <xf numFmtId="0" fontId="26" fillId="4" borderId="0" applyNumberFormat="0" applyBorder="0" applyAlignment="0" applyProtection="0"/>
    <xf numFmtId="0" fontId="36" fillId="0" borderId="0"/>
    <xf numFmtId="0" fontId="3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5" fillId="0" borderId="0"/>
    <xf numFmtId="0" fontId="3" fillId="0" borderId="0"/>
    <xf numFmtId="0" fontId="5" fillId="0" borderId="0"/>
    <xf numFmtId="0" fontId="5" fillId="0" borderId="0"/>
    <xf numFmtId="0" fontId="5" fillId="0" borderId="0"/>
    <xf numFmtId="0" fontId="3" fillId="0" borderId="0"/>
    <xf numFmtId="0" fontId="3" fillId="0" borderId="0"/>
    <xf numFmtId="0" fontId="3" fillId="0" borderId="0"/>
    <xf numFmtId="0" fontId="5" fillId="0" borderId="0"/>
    <xf numFmtId="0" fontId="5" fillId="0" borderId="0"/>
    <xf numFmtId="0" fontId="5" fillId="0" borderId="0"/>
    <xf numFmtId="0" fontId="3" fillId="0" borderId="0"/>
    <xf numFmtId="0" fontId="5" fillId="0" borderId="0"/>
    <xf numFmtId="0" fontId="5" fillId="0" borderId="0"/>
    <xf numFmtId="0" fontId="5" fillId="0" borderId="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5" fillId="78" borderId="38" applyNumberFormat="0" applyFont="0" applyAlignment="0" applyProtection="0"/>
    <xf numFmtId="0" fontId="5" fillId="78" borderId="38"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16" fillId="52" borderId="21"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3" fillId="8" borderId="19" applyNumberFormat="0" applyFont="0" applyAlignment="0" applyProtection="0"/>
    <xf numFmtId="0" fontId="28" fillId="6" borderId="16" applyNumberFormat="0" applyAlignment="0" applyProtection="0"/>
    <xf numFmtId="0" fontId="28" fillId="6" borderId="16" applyNumberFormat="0" applyAlignment="0" applyProtection="0"/>
    <xf numFmtId="9" fontId="3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9" fillId="0" borderId="0" applyNumberFormat="0" applyFont="0" applyFill="0" applyBorder="0" applyAlignment="0" applyProtection="0">
      <alignment horizontal="left"/>
    </xf>
    <xf numFmtId="15" fontId="19" fillId="0" borderId="0" applyFont="0" applyFill="0" applyBorder="0" applyAlignment="0" applyProtection="0"/>
    <xf numFmtId="4" fontId="19" fillId="0" borderId="0" applyFont="0" applyFill="0" applyBorder="0" applyAlignment="0" applyProtection="0"/>
    <xf numFmtId="0" fontId="67" fillId="0" borderId="10">
      <alignment horizontal="center"/>
    </xf>
    <xf numFmtId="3" fontId="19" fillId="0" borderId="0" applyFont="0" applyFill="0" applyBorder="0" applyAlignment="0" applyProtection="0"/>
    <xf numFmtId="0" fontId="19" fillId="85" borderId="0" applyNumberFormat="0" applyFont="0" applyBorder="0" applyAlignment="0" applyProtection="0"/>
    <xf numFmtId="4" fontId="5" fillId="71" borderId="29" applyNumberFormat="0" applyProtection="0">
      <alignment horizontal="left" vertical="center" indent="1"/>
    </xf>
    <xf numFmtId="4" fontId="5" fillId="71" borderId="29" applyNumberFormat="0" applyProtection="0">
      <alignment horizontal="left" vertical="center" indent="1"/>
    </xf>
    <xf numFmtId="0" fontId="16" fillId="71" borderId="28" applyNumberFormat="0" applyProtection="0">
      <alignment horizontal="left" vertical="top" indent="1"/>
    </xf>
    <xf numFmtId="0" fontId="16" fillId="71" borderId="28" applyNumberFormat="0" applyProtection="0">
      <alignment horizontal="left" vertical="top" indent="1"/>
    </xf>
    <xf numFmtId="0" fontId="16" fillId="71" borderId="28" applyNumberFormat="0" applyProtection="0">
      <alignment horizontal="left" vertical="top" indent="1"/>
    </xf>
    <xf numFmtId="0" fontId="16" fillId="71" borderId="28" applyNumberFormat="0" applyProtection="0">
      <alignment horizontal="left" vertical="top" indent="1"/>
    </xf>
    <xf numFmtId="0" fontId="16" fillId="71" borderId="28" applyNumberFormat="0" applyProtection="0">
      <alignment horizontal="left" vertical="top" indent="1"/>
    </xf>
    <xf numFmtId="0" fontId="16" fillId="71" borderId="28" applyNumberFormat="0" applyProtection="0">
      <alignment horizontal="left" vertical="top" indent="1"/>
    </xf>
    <xf numFmtId="0" fontId="16" fillId="71" borderId="28" applyNumberFormat="0" applyProtection="0">
      <alignment horizontal="left" vertical="top" indent="1"/>
    </xf>
    <xf numFmtId="0" fontId="16" fillId="71" borderId="28" applyNumberFormat="0" applyProtection="0">
      <alignment horizontal="left" vertical="top" indent="1"/>
    </xf>
    <xf numFmtId="0" fontId="16" fillId="72" borderId="28" applyNumberFormat="0" applyProtection="0">
      <alignment horizontal="left" vertical="top" indent="1"/>
    </xf>
    <xf numFmtId="0" fontId="16" fillId="72" borderId="28" applyNumberFormat="0" applyProtection="0">
      <alignment horizontal="left" vertical="top" indent="1"/>
    </xf>
    <xf numFmtId="0" fontId="16" fillId="72" borderId="28" applyNumberFormat="0" applyProtection="0">
      <alignment horizontal="left" vertical="top" indent="1"/>
    </xf>
    <xf numFmtId="0" fontId="16" fillId="72" borderId="28" applyNumberFormat="0" applyProtection="0">
      <alignment horizontal="left" vertical="top" indent="1"/>
    </xf>
    <xf numFmtId="0" fontId="16" fillId="72" borderId="28" applyNumberFormat="0" applyProtection="0">
      <alignment horizontal="left" vertical="top" indent="1"/>
    </xf>
    <xf numFmtId="0" fontId="16" fillId="72" borderId="28" applyNumberFormat="0" applyProtection="0">
      <alignment horizontal="left" vertical="top" indent="1"/>
    </xf>
    <xf numFmtId="0" fontId="16" fillId="72" borderId="28" applyNumberFormat="0" applyProtection="0">
      <alignment horizontal="left" vertical="top" indent="1"/>
    </xf>
    <xf numFmtId="0" fontId="16" fillId="72" borderId="28" applyNumberFormat="0" applyProtection="0">
      <alignment horizontal="left" vertical="top" indent="1"/>
    </xf>
    <xf numFmtId="0" fontId="16" fillId="76" borderId="28" applyNumberFormat="0" applyProtection="0">
      <alignment horizontal="left" vertical="top" indent="1"/>
    </xf>
    <xf numFmtId="0" fontId="16" fillId="76" borderId="28" applyNumberFormat="0" applyProtection="0">
      <alignment horizontal="left" vertical="top" indent="1"/>
    </xf>
    <xf numFmtId="0" fontId="16" fillId="76" borderId="28" applyNumberFormat="0" applyProtection="0">
      <alignment horizontal="left" vertical="top" indent="1"/>
    </xf>
    <xf numFmtId="0" fontId="16" fillId="76" borderId="28" applyNumberFormat="0" applyProtection="0">
      <alignment horizontal="left" vertical="top" indent="1"/>
    </xf>
    <xf numFmtId="0" fontId="16" fillId="76" borderId="28" applyNumberFormat="0" applyProtection="0">
      <alignment horizontal="left" vertical="top" indent="1"/>
    </xf>
    <xf numFmtId="0" fontId="16" fillId="76" borderId="28" applyNumberFormat="0" applyProtection="0">
      <alignment horizontal="left" vertical="top" indent="1"/>
    </xf>
    <xf numFmtId="0" fontId="16" fillId="76" borderId="28" applyNumberFormat="0" applyProtection="0">
      <alignment horizontal="left" vertical="top" indent="1"/>
    </xf>
    <xf numFmtId="0" fontId="16" fillId="76" borderId="28" applyNumberFormat="0" applyProtection="0">
      <alignment horizontal="left" vertical="top" indent="1"/>
    </xf>
    <xf numFmtId="0" fontId="16" fillId="73" borderId="28" applyNumberFormat="0" applyProtection="0">
      <alignment horizontal="left" vertical="top" indent="1"/>
    </xf>
    <xf numFmtId="0" fontId="16" fillId="73" borderId="28" applyNumberFormat="0" applyProtection="0">
      <alignment horizontal="left" vertical="top" indent="1"/>
    </xf>
    <xf numFmtId="0" fontId="16" fillId="73" borderId="28" applyNumberFormat="0" applyProtection="0">
      <alignment horizontal="left" vertical="top" indent="1"/>
    </xf>
    <xf numFmtId="0" fontId="16" fillId="73" borderId="28" applyNumberFormat="0" applyProtection="0">
      <alignment horizontal="left" vertical="top" indent="1"/>
    </xf>
    <xf numFmtId="0" fontId="16" fillId="73" borderId="28" applyNumberFormat="0" applyProtection="0">
      <alignment horizontal="left" vertical="top" indent="1"/>
    </xf>
    <xf numFmtId="0" fontId="16" fillId="73" borderId="28" applyNumberFormat="0" applyProtection="0">
      <alignment horizontal="left" vertical="top" indent="1"/>
    </xf>
    <xf numFmtId="0" fontId="16" fillId="73" borderId="28" applyNumberFormat="0" applyProtection="0">
      <alignment horizontal="left" vertical="top" indent="1"/>
    </xf>
    <xf numFmtId="0" fontId="16" fillId="73" borderId="28" applyNumberFormat="0" applyProtection="0">
      <alignment horizontal="left" vertical="top" indent="1"/>
    </xf>
    <xf numFmtId="0" fontId="16" fillId="77" borderId="30" applyNumberFormat="0">
      <protection locked="0"/>
    </xf>
    <xf numFmtId="0" fontId="16" fillId="77" borderId="30" applyNumberFormat="0">
      <protection locked="0"/>
    </xf>
    <xf numFmtId="0" fontId="16" fillId="77" borderId="30" applyNumberFormat="0">
      <protection locked="0"/>
    </xf>
    <xf numFmtId="0" fontId="16" fillId="77" borderId="30" applyNumberFormat="0">
      <protection locked="0"/>
    </xf>
    <xf numFmtId="0" fontId="16" fillId="77" borderId="30" applyNumberFormat="0">
      <protection locked="0"/>
    </xf>
    <xf numFmtId="0" fontId="16" fillId="77" borderId="30" applyNumberFormat="0">
      <protection locked="0"/>
    </xf>
    <xf numFmtId="0" fontId="16" fillId="77" borderId="30" applyNumberFormat="0">
      <protection locked="0"/>
    </xf>
    <xf numFmtId="0" fontId="16" fillId="77" borderId="30" applyNumberFormat="0">
      <protection locked="0"/>
    </xf>
    <xf numFmtId="0" fontId="20" fillId="0" borderId="0" applyNumberFormat="0" applyFill="0" applyBorder="0" applyAlignment="0" applyProtection="0"/>
    <xf numFmtId="0" fontId="34" fillId="0" borderId="20" applyNumberFormat="0" applyFill="0" applyAlignment="0" applyProtection="0"/>
    <xf numFmtId="0" fontId="34" fillId="0" borderId="20"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44" fontId="71" fillId="0" borderId="0" applyFont="0" applyFill="0" applyBorder="0" applyAlignment="0" applyProtection="0"/>
    <xf numFmtId="0" fontId="72" fillId="0" borderId="0"/>
    <xf numFmtId="9" fontId="75"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2" fillId="8" borderId="1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5" fillId="3" borderId="0" applyNumberFormat="0" applyBorder="0" applyAlignment="0" applyProtection="0"/>
    <xf numFmtId="0" fontId="29" fillId="6" borderId="15" applyNumberFormat="0" applyAlignment="0" applyProtection="0"/>
    <xf numFmtId="0" fontId="31" fillId="7" borderId="1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6" fillId="0" borderId="0" applyFont="0" applyFill="0" applyBorder="0" applyAlignment="0" applyProtection="0"/>
    <xf numFmtId="43" fontId="8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4" fillId="2" borderId="0" applyNumberFormat="0" applyBorder="0" applyAlignment="0" applyProtection="0"/>
    <xf numFmtId="0" fontId="21" fillId="0" borderId="12" applyNumberFormat="0" applyFill="0" applyAlignment="0" applyProtection="0"/>
    <xf numFmtId="0" fontId="22" fillId="0" borderId="13" applyNumberFormat="0" applyFill="0" applyAlignment="0" applyProtection="0"/>
    <xf numFmtId="0" fontId="23" fillId="0" borderId="14" applyNumberFormat="0" applyFill="0" applyAlignment="0" applyProtection="0"/>
    <xf numFmtId="0" fontId="23" fillId="0" borderId="0" applyNumberFormat="0" applyFill="0" applyBorder="0" applyAlignment="0" applyProtection="0"/>
    <xf numFmtId="0" fontId="27" fillId="5" borderId="15" applyNumberFormat="0" applyAlignment="0" applyProtection="0"/>
    <xf numFmtId="0" fontId="30" fillId="0" borderId="17" applyNumberFormat="0" applyFill="0" applyAlignment="0" applyProtection="0"/>
    <xf numFmtId="0" fontId="26" fillId="4" borderId="0" applyNumberFormat="0" applyBorder="0" applyAlignment="0" applyProtection="0"/>
    <xf numFmtId="0" fontId="2" fillId="0" borderId="0"/>
    <xf numFmtId="0" fontId="2" fillId="0" borderId="0"/>
    <xf numFmtId="0" fontId="2" fillId="0" borderId="0"/>
    <xf numFmtId="0" fontId="79" fillId="0" borderId="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 fillId="8" borderId="19" applyNumberFormat="0" applyFont="0" applyAlignment="0" applyProtection="0"/>
    <xf numFmtId="0" fontId="28" fillId="6" borderId="16" applyNumberFormat="0" applyAlignment="0" applyProtection="0"/>
    <xf numFmtId="9" fontId="2" fillId="0" borderId="0" applyFont="0" applyFill="0" applyBorder="0" applyAlignment="0" applyProtection="0"/>
    <xf numFmtId="0" fontId="34" fillId="0" borderId="20" applyNumberFormat="0" applyFill="0" applyAlignment="0" applyProtection="0"/>
    <xf numFmtId="0" fontId="32" fillId="0" borderId="0" applyNumberFormat="0" applyFill="0" applyBorder="0" applyAlignment="0" applyProtection="0"/>
    <xf numFmtId="37" fontId="19" fillId="0" borderId="0"/>
    <xf numFmtId="9" fontId="19" fillId="0" borderId="0" applyFont="0" applyFill="0" applyBorder="0" applyAlignment="0" applyProtection="0"/>
    <xf numFmtId="43" fontId="19"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3" fillId="0" borderId="0" applyNumberFormat="0" applyFill="0" applyBorder="0" applyAlignment="0" applyProtection="0"/>
  </cellStyleXfs>
  <cellXfs count="392">
    <xf numFmtId="0" fontId="0" fillId="0" borderId="0" xfId="0"/>
    <xf numFmtId="0" fontId="6" fillId="0" borderId="0" xfId="2" applyFont="1" applyBorder="1"/>
    <xf numFmtId="0" fontId="6" fillId="0" borderId="0" xfId="2" applyFont="1" applyAlignment="1">
      <alignment horizontal="center"/>
    </xf>
    <xf numFmtId="0" fontId="6" fillId="0" borderId="0" xfId="2" applyFont="1" applyBorder="1" applyAlignment="1">
      <alignment horizontal="center"/>
    </xf>
    <xf numFmtId="0" fontId="7" fillId="0" borderId="0" xfId="0" applyFont="1" applyAlignment="1">
      <alignment horizontal="center"/>
    </xf>
    <xf numFmtId="0" fontId="8" fillId="0" borderId="0" xfId="2" applyFont="1" applyBorder="1"/>
    <xf numFmtId="0" fontId="9" fillId="0" borderId="0" xfId="2" applyFont="1" applyBorder="1" applyAlignment="1">
      <alignment horizontal="right"/>
    </xf>
    <xf numFmtId="43" fontId="10" fillId="0" borderId="0" xfId="1" applyFont="1" applyBorder="1" applyAlignment="1">
      <alignment horizontal="right"/>
    </xf>
    <xf numFmtId="43" fontId="11" fillId="0" borderId="0" xfId="1" applyFont="1" applyBorder="1" applyAlignment="1">
      <alignment horizontal="right"/>
    </xf>
    <xf numFmtId="0" fontId="12" fillId="0" borderId="0" xfId="2" applyFont="1" applyBorder="1"/>
    <xf numFmtId="0" fontId="13" fillId="0" borderId="0" xfId="2" applyFont="1" applyBorder="1"/>
    <xf numFmtId="43" fontId="13" fillId="0" borderId="0" xfId="1" applyFont="1" applyBorder="1" applyAlignment="1">
      <alignment horizontal="right"/>
    </xf>
    <xf numFmtId="43" fontId="12" fillId="0" borderId="0" xfId="1" applyFont="1" applyBorder="1" applyAlignment="1">
      <alignment horizontal="right"/>
    </xf>
    <xf numFmtId="0" fontId="0" fillId="0" borderId="0" xfId="0" applyBorder="1"/>
    <xf numFmtId="0" fontId="0" fillId="0" borderId="0" xfId="0" applyBorder="1" applyAlignment="1">
      <alignment horizontal="center"/>
    </xf>
    <xf numFmtId="0" fontId="6" fillId="0" borderId="0" xfId="0" applyFont="1" applyBorder="1" applyAlignment="1">
      <alignment horizontal="center"/>
    </xf>
    <xf numFmtId="0" fontId="15" fillId="0" borderId="0" xfId="0" applyFont="1" applyAlignment="1">
      <alignment horizontal="center"/>
    </xf>
    <xf numFmtId="0" fontId="15" fillId="0" borderId="0" xfId="2" applyFont="1" applyAlignment="1">
      <alignment horizontal="left"/>
    </xf>
    <xf numFmtId="0" fontId="11" fillId="0" borderId="0" xfId="0" applyFont="1" applyAlignment="1">
      <alignment horizontal="centerContinuous"/>
    </xf>
    <xf numFmtId="0" fontId="17" fillId="0" borderId="0" xfId="2" applyFont="1" applyBorder="1"/>
    <xf numFmtId="43" fontId="18" fillId="0" borderId="0" xfId="1" applyFont="1" applyBorder="1" applyAlignment="1">
      <alignment horizontal="center"/>
    </xf>
    <xf numFmtId="43" fontId="18" fillId="0" borderId="0" xfId="1" applyFont="1" applyBorder="1"/>
    <xf numFmtId="0" fontId="14" fillId="0" borderId="0" xfId="2" applyFont="1"/>
    <xf numFmtId="0" fontId="0" fillId="0" borderId="0" xfId="0" applyNumberFormat="1"/>
    <xf numFmtId="0" fontId="16" fillId="0" borderId="0" xfId="0" applyFont="1"/>
    <xf numFmtId="0" fontId="5" fillId="0" borderId="0" xfId="3" applyFont="1" applyBorder="1" applyAlignment="1">
      <alignment horizontal="left"/>
    </xf>
    <xf numFmtId="0" fontId="5" fillId="83" borderId="35" xfId="2" applyFont="1" applyFill="1" applyBorder="1" applyAlignment="1">
      <alignment horizontal="center"/>
    </xf>
    <xf numFmtId="0" fontId="9" fillId="83" borderId="35" xfId="2" applyFont="1" applyFill="1" applyBorder="1" applyAlignment="1">
      <alignment horizontal="right"/>
    </xf>
    <xf numFmtId="0" fontId="13" fillId="83" borderId="35" xfId="2" applyFont="1" applyFill="1" applyBorder="1" applyAlignment="1">
      <alignment horizontal="center"/>
    </xf>
    <xf numFmtId="0" fontId="0" fillId="0" borderId="0" xfId="0" applyAlignment="1">
      <alignment horizontal="center"/>
    </xf>
    <xf numFmtId="0" fontId="56" fillId="0" borderId="0" xfId="0" applyFont="1" applyAlignment="1">
      <alignment horizontal="center"/>
    </xf>
    <xf numFmtId="0" fontId="57" fillId="0" borderId="2" xfId="0" applyFont="1" applyBorder="1" applyAlignment="1">
      <alignment horizontal="center" vertical="center"/>
    </xf>
    <xf numFmtId="0" fontId="57" fillId="0" borderId="0" xfId="0" applyFont="1" applyBorder="1" applyAlignment="1">
      <alignment horizontal="center" vertical="center"/>
    </xf>
    <xf numFmtId="0" fontId="56" fillId="0" borderId="0" xfId="0" applyFont="1"/>
    <xf numFmtId="0" fontId="5" fillId="0" borderId="0" xfId="0" applyFont="1" applyAlignment="1">
      <alignment horizontal="center"/>
    </xf>
    <xf numFmtId="0" fontId="5" fillId="0" borderId="0" xfId="2" quotePrefix="1" applyFont="1" applyAlignment="1">
      <alignment horizontal="center"/>
    </xf>
    <xf numFmtId="0" fontId="5" fillId="0" borderId="0" xfId="0" applyFont="1"/>
    <xf numFmtId="0" fontId="12" fillId="0" borderId="0" xfId="0" applyFont="1" applyAlignment="1">
      <alignment horizontal="center"/>
    </xf>
    <xf numFmtId="0" fontId="10" fillId="0" borderId="0" xfId="0" applyFont="1" applyAlignment="1">
      <alignment horizontal="center"/>
    </xf>
    <xf numFmtId="0" fontId="58" fillId="0" borderId="0" xfId="2" applyFont="1" applyAlignment="1">
      <alignment horizontal="left"/>
    </xf>
    <xf numFmtId="0" fontId="10" fillId="0" borderId="0" xfId="2" applyFont="1" applyAlignment="1">
      <alignment horizontal="left"/>
    </xf>
    <xf numFmtId="0" fontId="12" fillId="0" borderId="0" xfId="0" applyFont="1"/>
    <xf numFmtId="0" fontId="5" fillId="0" borderId="0" xfId="0" quotePrefix="1" applyFont="1" applyFill="1" applyAlignment="1">
      <alignment horizontal="center"/>
    </xf>
    <xf numFmtId="0" fontId="57" fillId="0" borderId="2" xfId="2" applyFont="1" applyBorder="1" applyAlignment="1">
      <alignment horizontal="center" vertical="center" wrapText="1"/>
    </xf>
    <xf numFmtId="0" fontId="57" fillId="0" borderId="2" xfId="2" applyFont="1" applyBorder="1" applyAlignment="1">
      <alignment horizontal="center" vertical="center"/>
    </xf>
    <xf numFmtId="0" fontId="59" fillId="0" borderId="2" xfId="2" applyFont="1" applyBorder="1" applyAlignment="1">
      <alignment horizontal="center" vertical="center" wrapText="1"/>
    </xf>
    <xf numFmtId="43" fontId="59" fillId="0" borderId="2" xfId="1" applyFont="1" applyBorder="1" applyAlignment="1">
      <alignment horizontal="center" vertical="center" wrapText="1"/>
    </xf>
    <xf numFmtId="0" fontId="59" fillId="0" borderId="2" xfId="2" applyFont="1" applyBorder="1" applyAlignment="1">
      <alignment horizontal="center" vertical="center"/>
    </xf>
    <xf numFmtId="0" fontId="59" fillId="0" borderId="36" xfId="2" applyFont="1" applyBorder="1" applyAlignment="1">
      <alignment horizontal="center" vertical="center" wrapText="1"/>
    </xf>
    <xf numFmtId="0" fontId="59" fillId="83" borderId="34" xfId="2" applyFont="1" applyFill="1" applyBorder="1" applyAlignment="1">
      <alignment horizontal="center" vertical="center" wrapText="1"/>
    </xf>
    <xf numFmtId="43" fontId="59" fillId="0" borderId="0" xfId="1" applyFont="1" applyBorder="1" applyAlignment="1">
      <alignment horizontal="center" wrapText="1"/>
    </xf>
    <xf numFmtId="0" fontId="59" fillId="0" borderId="0" xfId="2" applyFont="1" applyBorder="1"/>
    <xf numFmtId="43" fontId="59" fillId="0" borderId="0" xfId="1" applyFont="1" applyBorder="1" applyAlignment="1">
      <alignment wrapText="1"/>
    </xf>
    <xf numFmtId="0" fontId="57" fillId="0" borderId="0" xfId="0" applyFont="1" applyBorder="1"/>
    <xf numFmtId="0" fontId="57" fillId="0" borderId="0" xfId="0" applyFont="1" applyBorder="1" applyAlignment="1">
      <alignment horizontal="center"/>
    </xf>
    <xf numFmtId="0" fontId="57" fillId="0" borderId="0" xfId="0" applyFont="1"/>
    <xf numFmtId="0" fontId="17" fillId="0" borderId="0" xfId="2" applyFont="1" applyBorder="1" applyAlignment="1">
      <alignment horizontal="center"/>
    </xf>
    <xf numFmtId="43" fontId="5" fillId="0" borderId="0" xfId="1" quotePrefix="1" applyFont="1" applyBorder="1" applyAlignment="1">
      <alignment horizontal="center"/>
    </xf>
    <xf numFmtId="0" fontId="5" fillId="0" borderId="0" xfId="2" applyFont="1" applyBorder="1"/>
    <xf numFmtId="0" fontId="5" fillId="0" borderId="0" xfId="0" applyFont="1" applyBorder="1"/>
    <xf numFmtId="0" fontId="5" fillId="0" borderId="0" xfId="0" applyFont="1" applyBorder="1" applyAlignment="1">
      <alignment horizontal="center"/>
    </xf>
    <xf numFmtId="0" fontId="8" fillId="0" borderId="0" xfId="2" applyFont="1" applyBorder="1" applyAlignment="1">
      <alignment horizontal="center"/>
    </xf>
    <xf numFmtId="0" fontId="12" fillId="0" borderId="0" xfId="2" applyFont="1" applyBorder="1" applyAlignment="1">
      <alignment horizontal="center"/>
    </xf>
    <xf numFmtId="0" fontId="60" fillId="0" borderId="0" xfId="2" applyFont="1" applyBorder="1" applyAlignment="1">
      <alignment horizontal="center"/>
    </xf>
    <xf numFmtId="0" fontId="60" fillId="0" borderId="0" xfId="2" applyFont="1" applyAlignment="1">
      <alignment horizontal="center"/>
    </xf>
    <xf numFmtId="0" fontId="12" fillId="0" borderId="0" xfId="2" applyFont="1" applyAlignment="1">
      <alignment horizontal="center"/>
    </xf>
    <xf numFmtId="0" fontId="12" fillId="0" borderId="0" xfId="0" applyFont="1" applyBorder="1"/>
    <xf numFmtId="0" fontId="12" fillId="0" borderId="5" xfId="2" applyFont="1" applyFill="1" applyBorder="1"/>
    <xf numFmtId="0" fontId="12" fillId="0" borderId="0" xfId="0" applyFont="1" applyBorder="1" applyAlignment="1">
      <alignment horizontal="center"/>
    </xf>
    <xf numFmtId="0" fontId="10" fillId="0" borderId="0" xfId="0" quotePrefix="1" applyFont="1" applyAlignment="1">
      <alignment horizontal="center"/>
    </xf>
    <xf numFmtId="0" fontId="60" fillId="0" borderId="0" xfId="2" applyFont="1" applyAlignment="1">
      <alignment horizontal="left" indent="1"/>
    </xf>
    <xf numFmtId="0" fontId="10" fillId="0" borderId="0" xfId="0" applyFont="1" applyAlignment="1">
      <alignment horizontal="center" vertical="center"/>
    </xf>
    <xf numFmtId="0" fontId="56" fillId="0" borderId="0" xfId="3" applyFont="1" applyAlignment="1">
      <alignment horizontal="right"/>
    </xf>
    <xf numFmtId="0" fontId="56" fillId="0" borderId="3" xfId="3" applyFont="1" applyBorder="1" applyAlignment="1">
      <alignment horizontal="left" indent="1"/>
    </xf>
    <xf numFmtId="0" fontId="56" fillId="0" borderId="3" xfId="3" applyFont="1" applyBorder="1"/>
    <xf numFmtId="0" fontId="56" fillId="0" borderId="3" xfId="0" applyFont="1" applyBorder="1"/>
    <xf numFmtId="0" fontId="56" fillId="0" borderId="0" xfId="3" applyFont="1" applyBorder="1"/>
    <xf numFmtId="0" fontId="61" fillId="0" borderId="3" xfId="3" applyFont="1" applyBorder="1"/>
    <xf numFmtId="0" fontId="61" fillId="0" borderId="0" xfId="3" applyFont="1" applyBorder="1"/>
    <xf numFmtId="14" fontId="56" fillId="0" borderId="3" xfId="3" applyNumberFormat="1" applyFont="1" applyBorder="1"/>
    <xf numFmtId="14" fontId="61" fillId="0" borderId="3" xfId="3" applyNumberFormat="1" applyFont="1" applyBorder="1"/>
    <xf numFmtId="4" fontId="56" fillId="0" borderId="0" xfId="3" applyNumberFormat="1" applyFont="1" applyBorder="1"/>
    <xf numFmtId="0" fontId="56" fillId="0" borderId="0" xfId="3" applyFont="1" applyBorder="1" applyAlignment="1">
      <alignment horizontal="left"/>
    </xf>
    <xf numFmtId="0" fontId="61" fillId="0" borderId="0" xfId="3" applyFont="1"/>
    <xf numFmtId="0" fontId="56" fillId="83" borderId="4" xfId="3" applyFont="1" applyFill="1" applyBorder="1" applyAlignment="1">
      <alignment horizontal="right"/>
    </xf>
    <xf numFmtId="0" fontId="56" fillId="83" borderId="33" xfId="3" applyFont="1" applyFill="1" applyBorder="1"/>
    <xf numFmtId="0" fontId="56" fillId="83" borderId="5" xfId="0" applyFont="1" applyFill="1" applyBorder="1"/>
    <xf numFmtId="0" fontId="56" fillId="83" borderId="6" xfId="3" applyFont="1" applyFill="1" applyBorder="1"/>
    <xf numFmtId="0" fontId="56" fillId="83" borderId="7" xfId="0" applyFont="1" applyFill="1" applyBorder="1" applyAlignment="1">
      <alignment horizontal="right"/>
    </xf>
    <xf numFmtId="0" fontId="56" fillId="83" borderId="0" xfId="0" applyFont="1" applyFill="1" applyBorder="1"/>
    <xf numFmtId="0" fontId="56" fillId="83" borderId="8" xfId="0" applyFont="1" applyFill="1" applyBorder="1"/>
    <xf numFmtId="0" fontId="56" fillId="83" borderId="9" xfId="0" applyFont="1" applyFill="1" applyBorder="1" applyAlignment="1">
      <alignment horizontal="right"/>
    </xf>
    <xf numFmtId="0" fontId="56" fillId="83" borderId="10" xfId="0" applyFont="1" applyFill="1" applyBorder="1"/>
    <xf numFmtId="0" fontId="56" fillId="83" borderId="11" xfId="0" applyFont="1" applyFill="1" applyBorder="1"/>
    <xf numFmtId="0" fontId="62" fillId="0" borderId="0" xfId="0" applyFont="1"/>
    <xf numFmtId="0" fontId="63" fillId="0" borderId="0" xfId="3" applyFont="1"/>
    <xf numFmtId="39" fontId="12" fillId="0" borderId="0" xfId="253" applyNumberFormat="1" applyFont="1"/>
    <xf numFmtId="39" fontId="10" fillId="0" borderId="1" xfId="253" applyNumberFormat="1" applyFont="1" applyBorder="1" applyAlignment="1">
      <alignment horizontal="right" vertical="center"/>
    </xf>
    <xf numFmtId="0" fontId="66" fillId="0" borderId="0" xfId="2" applyFont="1" applyFill="1" applyBorder="1" applyAlignment="1">
      <alignment horizontal="center"/>
    </xf>
    <xf numFmtId="43" fontId="66" fillId="0" borderId="0" xfId="1" applyFont="1" applyFill="1" applyBorder="1" applyAlignment="1">
      <alignment horizontal="right"/>
    </xf>
    <xf numFmtId="43" fontId="60" fillId="0" borderId="0" xfId="253" applyFont="1" applyBorder="1" applyAlignment="1">
      <alignment horizontal="center"/>
    </xf>
    <xf numFmtId="7" fontId="64" fillId="0" borderId="37" xfId="51" applyNumberFormat="1" applyFont="1" applyBorder="1"/>
    <xf numFmtId="0" fontId="7" fillId="0" borderId="0" xfId="0" applyFont="1"/>
    <xf numFmtId="0" fontId="18" fillId="0" borderId="0" xfId="0" applyFont="1"/>
    <xf numFmtId="0" fontId="68" fillId="0" borderId="0" xfId="48" applyFont="1"/>
    <xf numFmtId="0" fontId="0" fillId="86" borderId="2" xfId="0" applyFill="1" applyBorder="1" applyAlignment="1">
      <alignment vertical="top"/>
    </xf>
    <xf numFmtId="0" fontId="0" fillId="33" borderId="2" xfId="0" applyFill="1" applyBorder="1" applyAlignment="1">
      <alignment vertical="top"/>
    </xf>
    <xf numFmtId="0" fontId="5" fillId="0" borderId="0" xfId="0" applyFont="1" applyAlignment="1">
      <alignment vertical="top"/>
    </xf>
    <xf numFmtId="4" fontId="0" fillId="33" borderId="2" xfId="0" applyNumberFormat="1" applyFill="1" applyBorder="1" applyAlignment="1">
      <alignment horizontal="right" vertical="top"/>
    </xf>
    <xf numFmtId="39" fontId="0" fillId="0" borderId="0" xfId="0" applyNumberFormat="1"/>
    <xf numFmtId="164" fontId="56" fillId="0" borderId="3" xfId="3" quotePrefix="1" applyNumberFormat="1" applyFont="1" applyFill="1" applyBorder="1" applyAlignment="1">
      <alignment horizontal="left" indent="1"/>
    </xf>
    <xf numFmtId="0" fontId="56" fillId="0" borderId="0" xfId="3" applyFont="1" applyFill="1" applyBorder="1"/>
    <xf numFmtId="1" fontId="56" fillId="0" borderId="3" xfId="3" quotePrefix="1" applyNumberFormat="1" applyFont="1" applyFill="1" applyBorder="1"/>
    <xf numFmtId="0" fontId="5" fillId="0" borderId="0" xfId="0" applyFont="1" applyAlignment="1">
      <alignment horizontal="left"/>
    </xf>
    <xf numFmtId="0" fontId="5" fillId="0" borderId="0" xfId="0" applyFont="1" applyAlignment="1">
      <alignment vertical="top" wrapText="1"/>
    </xf>
    <xf numFmtId="0" fontId="73" fillId="0" borderId="0" xfId="0" applyFont="1"/>
    <xf numFmtId="0" fontId="5" fillId="0" borderId="0" xfId="0" applyFont="1" applyAlignment="1">
      <alignment horizontal="right"/>
    </xf>
    <xf numFmtId="0" fontId="74" fillId="0" borderId="0" xfId="0" applyFont="1" applyAlignment="1">
      <alignment horizontal="center" vertical="top" wrapText="1"/>
    </xf>
    <xf numFmtId="1" fontId="56" fillId="83" borderId="33" xfId="3" applyNumberFormat="1" applyFont="1" applyFill="1" applyBorder="1"/>
    <xf numFmtId="43" fontId="0" fillId="0" borderId="0" xfId="253" applyFont="1"/>
    <xf numFmtId="0" fontId="0" fillId="0" borderId="0" xfId="0" applyAlignment="1">
      <alignment horizontal="right"/>
    </xf>
    <xf numFmtId="0" fontId="77" fillId="92" borderId="43" xfId="0" applyFont="1" applyFill="1" applyBorder="1" applyAlignment="1">
      <alignment horizontal="center"/>
    </xf>
    <xf numFmtId="0" fontId="77" fillId="93" borderId="45" xfId="0" applyFont="1" applyFill="1" applyBorder="1"/>
    <xf numFmtId="0" fontId="79" fillId="0" borderId="46" xfId="0" applyFont="1" applyBorder="1"/>
    <xf numFmtId="0" fontId="77" fillId="93" borderId="47" xfId="0" applyFont="1" applyFill="1" applyBorder="1"/>
    <xf numFmtId="0" fontId="80" fillId="94" borderId="46" xfId="0" applyFont="1" applyFill="1" applyBorder="1"/>
    <xf numFmtId="0" fontId="77" fillId="93" borderId="48" xfId="0" applyFont="1" applyFill="1" applyBorder="1"/>
    <xf numFmtId="0" fontId="78" fillId="93" borderId="46" xfId="0" applyFont="1" applyFill="1" applyBorder="1"/>
    <xf numFmtId="0" fontId="77" fillId="93" borderId="46" xfId="0" applyFont="1" applyFill="1" applyBorder="1"/>
    <xf numFmtId="0" fontId="80" fillId="0" borderId="49" xfId="0" applyFont="1" applyBorder="1"/>
    <xf numFmtId="0" fontId="77" fillId="92" borderId="44" xfId="0" applyFont="1" applyFill="1" applyBorder="1"/>
    <xf numFmtId="0" fontId="12" fillId="0" borderId="0" xfId="0" applyFont="1" applyAlignment="1">
      <alignment vertical="top" wrapText="1"/>
    </xf>
    <xf numFmtId="0" fontId="77" fillId="92" borderId="44" xfId="0" applyFont="1" applyFill="1" applyBorder="1" applyAlignment="1">
      <alignment horizontal="center"/>
    </xf>
    <xf numFmtId="4" fontId="0" fillId="91" borderId="0" xfId="0" applyNumberFormat="1" applyFill="1"/>
    <xf numFmtId="167" fontId="79" fillId="0" borderId="46" xfId="0" applyNumberFormat="1" applyFont="1" applyBorder="1"/>
    <xf numFmtId="167" fontId="0" fillId="0" borderId="0" xfId="0" applyNumberFormat="1"/>
    <xf numFmtId="167" fontId="80" fillId="94" borderId="46" xfId="0" applyNumberFormat="1" applyFont="1" applyFill="1" applyBorder="1"/>
    <xf numFmtId="167" fontId="78" fillId="93" borderId="46" xfId="0" applyNumberFormat="1" applyFont="1" applyFill="1" applyBorder="1"/>
    <xf numFmtId="167" fontId="80" fillId="0" borderId="49" xfId="0" applyNumberFormat="1" applyFont="1" applyBorder="1"/>
    <xf numFmtId="0" fontId="76" fillId="0" borderId="0" xfId="0" applyFont="1"/>
    <xf numFmtId="0" fontId="5" fillId="95" borderId="46" xfId="0" applyFont="1" applyFill="1" applyBorder="1"/>
    <xf numFmtId="167" fontId="77" fillId="95" borderId="46" xfId="0" applyNumberFormat="1" applyFont="1" applyFill="1" applyBorder="1"/>
    <xf numFmtId="167" fontId="80" fillId="94" borderId="46" xfId="253" applyNumberFormat="1" applyFont="1" applyFill="1" applyBorder="1"/>
    <xf numFmtId="167" fontId="79" fillId="0" borderId="46" xfId="253" applyNumberFormat="1" applyFont="1" applyFill="1" applyBorder="1"/>
    <xf numFmtId="43" fontId="78" fillId="93" borderId="46" xfId="253" applyFont="1" applyFill="1" applyBorder="1"/>
    <xf numFmtId="0" fontId="79" fillId="0" borderId="46" xfId="0" applyFont="1" applyFill="1" applyBorder="1"/>
    <xf numFmtId="167" fontId="79" fillId="96" borderId="46" xfId="0" applyNumberFormat="1" applyFont="1" applyFill="1" applyBorder="1"/>
    <xf numFmtId="43" fontId="0" fillId="88" borderId="0" xfId="253" applyFont="1" applyFill="1"/>
    <xf numFmtId="43" fontId="0" fillId="89" borderId="0" xfId="253" applyFont="1" applyFill="1"/>
    <xf numFmtId="43" fontId="0" fillId="97" borderId="0" xfId="253" applyFont="1" applyFill="1"/>
    <xf numFmtId="43" fontId="0" fillId="98" borderId="0" xfId="253" applyFont="1" applyFill="1"/>
    <xf numFmtId="43" fontId="0" fillId="99" borderId="0" xfId="253" applyFont="1" applyFill="1"/>
    <xf numFmtId="167" fontId="5" fillId="0" borderId="0" xfId="566" applyNumberFormat="1" applyFont="1" applyFill="1"/>
    <xf numFmtId="0" fontId="2" fillId="0" borderId="0" xfId="565"/>
    <xf numFmtId="0" fontId="5" fillId="0" borderId="0" xfId="704"/>
    <xf numFmtId="0" fontId="7" fillId="0" borderId="0" xfId="704" applyFont="1"/>
    <xf numFmtId="0" fontId="5" fillId="0" borderId="0" xfId="704" applyFont="1"/>
    <xf numFmtId="43" fontId="2" fillId="0" borderId="0" xfId="679" applyFont="1"/>
    <xf numFmtId="0" fontId="5" fillId="0" borderId="0" xfId="704" applyFont="1" applyAlignment="1">
      <alignment horizontal="right"/>
    </xf>
    <xf numFmtId="0" fontId="77" fillId="92" borderId="43" xfId="704" applyFont="1" applyFill="1" applyBorder="1" applyAlignment="1">
      <alignment horizontal="center"/>
    </xf>
    <xf numFmtId="167" fontId="5" fillId="0" borderId="0" xfId="704" applyNumberFormat="1"/>
    <xf numFmtId="0" fontId="5" fillId="0" borderId="0" xfId="704" applyAlignment="1">
      <alignment horizontal="center"/>
    </xf>
    <xf numFmtId="167" fontId="5" fillId="0" borderId="1" xfId="704" applyNumberFormat="1" applyBorder="1"/>
    <xf numFmtId="0" fontId="5" fillId="0" borderId="0" xfId="704" applyFont="1" applyAlignment="1">
      <alignment horizontal="center"/>
    </xf>
    <xf numFmtId="0" fontId="77" fillId="92" borderId="44" xfId="704" applyFont="1" applyFill="1" applyBorder="1"/>
    <xf numFmtId="0" fontId="77" fillId="92" borderId="44" xfId="704" applyFont="1" applyFill="1" applyBorder="1" applyAlignment="1">
      <alignment horizontal="center"/>
    </xf>
    <xf numFmtId="0" fontId="77" fillId="93" borderId="45" xfId="704" applyFont="1" applyFill="1" applyBorder="1"/>
    <xf numFmtId="0" fontId="79" fillId="0" borderId="46" xfId="704" applyFont="1" applyBorder="1"/>
    <xf numFmtId="167" fontId="79" fillId="0" borderId="46" xfId="704" applyNumberFormat="1" applyFont="1" applyBorder="1"/>
    <xf numFmtId="0" fontId="77" fillId="93" borderId="47" xfId="704" applyFont="1" applyFill="1" applyBorder="1"/>
    <xf numFmtId="0" fontId="80" fillId="94" borderId="46" xfId="704" applyFont="1" applyFill="1" applyBorder="1"/>
    <xf numFmtId="167" fontId="80" fillId="94" borderId="46" xfId="704" applyNumberFormat="1" applyFont="1" applyFill="1" applyBorder="1"/>
    <xf numFmtId="0" fontId="77" fillId="93" borderId="48" xfId="704" applyFont="1" applyFill="1" applyBorder="1"/>
    <xf numFmtId="0" fontId="78" fillId="93" borderId="46" xfId="704" applyFont="1" applyFill="1" applyBorder="1"/>
    <xf numFmtId="167" fontId="78" fillId="93" borderId="46" xfId="704" applyNumberFormat="1" applyFont="1" applyFill="1" applyBorder="1"/>
    <xf numFmtId="167" fontId="79" fillId="0" borderId="46" xfId="679" applyNumberFormat="1" applyFont="1" applyFill="1" applyBorder="1"/>
    <xf numFmtId="167" fontId="80" fillId="94" borderId="46" xfId="679" applyNumberFormat="1" applyFont="1" applyFill="1" applyBorder="1"/>
    <xf numFmtId="0" fontId="77" fillId="93" borderId="46" xfId="704" applyFont="1" applyFill="1" applyBorder="1"/>
    <xf numFmtId="0" fontId="5" fillId="95" borderId="46" xfId="704" applyFont="1" applyFill="1" applyBorder="1"/>
    <xf numFmtId="167" fontId="77" fillId="95" borderId="46" xfId="704" applyNumberFormat="1" applyFont="1" applyFill="1" applyBorder="1"/>
    <xf numFmtId="0" fontId="77" fillId="95" borderId="46" xfId="704" applyFont="1" applyFill="1" applyBorder="1"/>
    <xf numFmtId="0" fontId="80" fillId="0" borderId="49" xfId="704" applyFont="1" applyBorder="1"/>
    <xf numFmtId="167" fontId="80" fillId="0" borderId="49" xfId="704" applyNumberFormat="1" applyFont="1" applyBorder="1"/>
    <xf numFmtId="167" fontId="5" fillId="0" borderId="0" xfId="704" applyNumberFormat="1" applyFill="1"/>
    <xf numFmtId="0" fontId="79" fillId="0" borderId="46" xfId="704" applyFont="1" applyFill="1" applyBorder="1"/>
    <xf numFmtId="167" fontId="5" fillId="0" borderId="0" xfId="566" applyNumberFormat="1" applyFont="1"/>
    <xf numFmtId="0" fontId="5" fillId="96" borderId="46" xfId="704" applyFont="1" applyFill="1" applyBorder="1"/>
    <xf numFmtId="167" fontId="77" fillId="100" borderId="46" xfId="704" applyNumberFormat="1" applyFont="1" applyFill="1" applyBorder="1"/>
    <xf numFmtId="43" fontId="5" fillId="0" borderId="1" xfId="704" applyNumberFormat="1" applyBorder="1"/>
    <xf numFmtId="43" fontId="80" fillId="0" borderId="49" xfId="0" applyNumberFormat="1" applyFont="1" applyBorder="1"/>
    <xf numFmtId="0" fontId="82" fillId="0" borderId="0" xfId="0" applyFont="1"/>
    <xf numFmtId="44" fontId="77" fillId="95" borderId="46" xfId="562" applyFont="1" applyFill="1" applyBorder="1"/>
    <xf numFmtId="4" fontId="5" fillId="0" borderId="0" xfId="0" applyNumberFormat="1" applyFont="1"/>
    <xf numFmtId="43" fontId="0" fillId="0" borderId="0" xfId="0" applyNumberFormat="1" applyFill="1"/>
    <xf numFmtId="43" fontId="0" fillId="0" borderId="0" xfId="0" applyNumberFormat="1"/>
    <xf numFmtId="43" fontId="0" fillId="0" borderId="1" xfId="0" applyNumberFormat="1" applyBorder="1"/>
    <xf numFmtId="43" fontId="79" fillId="0" borderId="46" xfId="0" applyNumberFormat="1" applyFont="1" applyBorder="1"/>
    <xf numFmtId="43" fontId="80" fillId="94" borderId="46" xfId="0" applyNumberFormat="1" applyFont="1" applyFill="1" applyBorder="1"/>
    <xf numFmtId="43" fontId="78" fillId="93" borderId="46" xfId="0" applyNumberFormat="1" applyFont="1" applyFill="1" applyBorder="1"/>
    <xf numFmtId="43" fontId="77" fillId="95" borderId="46" xfId="0" applyNumberFormat="1" applyFont="1" applyFill="1" applyBorder="1"/>
    <xf numFmtId="43" fontId="0" fillId="89" borderId="1" xfId="0" applyNumberFormat="1" applyFill="1" applyBorder="1"/>
    <xf numFmtId="167" fontId="7" fillId="0" borderId="0" xfId="0" applyNumberFormat="1" applyFont="1"/>
    <xf numFmtId="167" fontId="83" fillId="0" borderId="0" xfId="0" applyNumberFormat="1" applyFont="1"/>
    <xf numFmtId="0" fontId="0" fillId="0" borderId="0" xfId="0" applyFill="1"/>
    <xf numFmtId="4" fontId="0" fillId="0" borderId="0" xfId="0" applyNumberFormat="1"/>
    <xf numFmtId="167" fontId="5" fillId="0" borderId="0" xfId="0" applyNumberFormat="1" applyFont="1"/>
    <xf numFmtId="10" fontId="0" fillId="0" borderId="0" xfId="564" applyNumberFormat="1" applyFont="1"/>
    <xf numFmtId="0" fontId="79" fillId="0" borderId="0" xfId="704" applyNumberFormat="1" applyFont="1" applyFill="1" applyBorder="1"/>
    <xf numFmtId="168" fontId="5" fillId="0" borderId="1" xfId="704" applyNumberFormat="1" applyBorder="1"/>
    <xf numFmtId="43" fontId="5" fillId="0" borderId="0" xfId="253" applyFont="1"/>
    <xf numFmtId="43" fontId="12" fillId="0" borderId="0" xfId="253" applyFont="1" applyAlignment="1">
      <alignment vertical="top" wrapText="1"/>
    </xf>
    <xf numFmtId="43" fontId="83" fillId="0" borderId="0" xfId="0" applyNumberFormat="1" applyFont="1"/>
    <xf numFmtId="0" fontId="77" fillId="0" borderId="0" xfId="0" applyFont="1" applyFill="1" applyBorder="1" applyAlignment="1">
      <alignment horizontal="center"/>
    </xf>
    <xf numFmtId="43" fontId="0" fillId="0" borderId="0" xfId="0" applyNumberFormat="1" applyFill="1" applyBorder="1"/>
    <xf numFmtId="167" fontId="0" fillId="0" borderId="0" xfId="0" applyNumberFormat="1" applyFill="1"/>
    <xf numFmtId="167" fontId="79" fillId="0" borderId="0" xfId="0" applyNumberFormat="1" applyFont="1" applyFill="1" applyBorder="1"/>
    <xf numFmtId="167" fontId="80" fillId="0" borderId="0" xfId="0" applyNumberFormat="1" applyFont="1" applyFill="1" applyBorder="1"/>
    <xf numFmtId="167" fontId="78" fillId="0" borderId="0" xfId="0" applyNumberFormat="1" applyFont="1" applyFill="1" applyBorder="1"/>
    <xf numFmtId="44" fontId="77" fillId="0" borderId="0" xfId="562" applyFont="1" applyFill="1" applyBorder="1"/>
    <xf numFmtId="167" fontId="77" fillId="0" borderId="0" xfId="0" applyNumberFormat="1" applyFont="1" applyFill="1" applyBorder="1"/>
    <xf numFmtId="43" fontId="80" fillId="0" borderId="0" xfId="0" applyNumberFormat="1" applyFont="1" applyFill="1" applyBorder="1"/>
    <xf numFmtId="0" fontId="7" fillId="0" borderId="0" xfId="0" applyFont="1" applyFill="1"/>
    <xf numFmtId="167" fontId="74" fillId="0" borderId="0" xfId="0" applyNumberFormat="1" applyFont="1" applyFill="1" applyBorder="1"/>
    <xf numFmtId="167" fontId="74" fillId="0" borderId="0" xfId="0" applyNumberFormat="1" applyFont="1" applyFill="1" applyBorder="1" applyAlignment="1">
      <alignment horizontal="right"/>
    </xf>
    <xf numFmtId="0" fontId="84" fillId="0" borderId="0" xfId="0" applyFont="1" applyFill="1" applyBorder="1"/>
    <xf numFmtId="0" fontId="84" fillId="0" borderId="0" xfId="0" applyFont="1" applyFill="1" applyBorder="1" applyAlignment="1">
      <alignment horizontal="center"/>
    </xf>
    <xf numFmtId="43" fontId="84" fillId="0" borderId="0" xfId="0" applyNumberFormat="1" applyFont="1" applyFill="1" applyBorder="1"/>
    <xf numFmtId="167" fontId="84" fillId="0" borderId="0" xfId="0" applyNumberFormat="1" applyFont="1" applyFill="1" applyBorder="1"/>
    <xf numFmtId="167" fontId="84" fillId="0" borderId="0" xfId="253" applyNumberFormat="1" applyFont="1" applyFill="1" applyBorder="1"/>
    <xf numFmtId="167" fontId="74" fillId="0" borderId="0" xfId="253" applyNumberFormat="1" applyFont="1" applyFill="1" applyBorder="1"/>
    <xf numFmtId="44" fontId="84" fillId="0" borderId="0" xfId="562" applyFont="1" applyFill="1" applyBorder="1"/>
    <xf numFmtId="43" fontId="74" fillId="0" borderId="0" xfId="0" applyNumberFormat="1" applyFont="1" applyFill="1" applyBorder="1"/>
    <xf numFmtId="167" fontId="7" fillId="0" borderId="0" xfId="0" applyNumberFormat="1" applyFont="1" applyFill="1" applyBorder="1"/>
    <xf numFmtId="167" fontId="5" fillId="0" borderId="0" xfId="0" applyNumberFormat="1" applyFont="1" applyFill="1" applyBorder="1"/>
    <xf numFmtId="167" fontId="74" fillId="0" borderId="0" xfId="253" applyNumberFormat="1" applyFont="1" applyFill="1" applyBorder="1" applyAlignment="1">
      <alignment horizontal="right" vertical="top"/>
    </xf>
    <xf numFmtId="167" fontId="5" fillId="0" borderId="0" xfId="253" applyNumberFormat="1" applyFont="1" applyFill="1" applyBorder="1" applyAlignment="1">
      <alignment vertical="top" wrapText="1"/>
    </xf>
    <xf numFmtId="167" fontId="84" fillId="0" borderId="0" xfId="0" applyNumberFormat="1" applyFont="1" applyFill="1" applyBorder="1" applyAlignment="1">
      <alignment horizontal="right" vertical="top"/>
    </xf>
    <xf numFmtId="43" fontId="5" fillId="0" borderId="0" xfId="0" applyNumberFormat="1" applyFont="1" applyFill="1"/>
    <xf numFmtId="43" fontId="7" fillId="0" borderId="0" xfId="0" applyNumberFormat="1" applyFont="1" applyFill="1"/>
    <xf numFmtId="43" fontId="5" fillId="0" borderId="0" xfId="0" applyNumberFormat="1" applyFont="1" applyFill="1" applyAlignment="1">
      <alignment horizontal="center"/>
    </xf>
    <xf numFmtId="0" fontId="77" fillId="93" borderId="50" xfId="704" applyFont="1" applyFill="1" applyBorder="1"/>
    <xf numFmtId="44" fontId="78" fillId="95" borderId="39" xfId="562" applyFont="1" applyFill="1" applyBorder="1"/>
    <xf numFmtId="167" fontId="85" fillId="0" borderId="0" xfId="0" applyNumberFormat="1" applyFont="1" applyFill="1" applyBorder="1"/>
    <xf numFmtId="167" fontId="86" fillId="0" borderId="0" xfId="0" applyNumberFormat="1" applyFont="1" applyFill="1" applyBorder="1"/>
    <xf numFmtId="167" fontId="86" fillId="0" borderId="0" xfId="0" applyNumberFormat="1" applyFont="1" applyFill="1" applyBorder="1" applyAlignment="1">
      <alignment horizontal="right"/>
    </xf>
    <xf numFmtId="0" fontId="13" fillId="83" borderId="0" xfId="2" applyFont="1" applyFill="1" applyBorder="1" applyAlignment="1">
      <alignment horizontal="center"/>
    </xf>
    <xf numFmtId="44" fontId="77" fillId="0" borderId="46" xfId="562" applyFont="1" applyFill="1" applyBorder="1"/>
    <xf numFmtId="43" fontId="5" fillId="0" borderId="0" xfId="0" applyNumberFormat="1" applyFont="1" applyAlignment="1">
      <alignment horizontal="right"/>
    </xf>
    <xf numFmtId="43" fontId="77" fillId="95" borderId="0" xfId="0" applyNumberFormat="1" applyFont="1" applyFill="1" applyBorder="1"/>
    <xf numFmtId="0" fontId="80" fillId="0" borderId="0" xfId="0" applyFont="1" applyBorder="1"/>
    <xf numFmtId="43" fontId="80" fillId="0" borderId="0" xfId="0" applyNumberFormat="1" applyFont="1" applyBorder="1"/>
    <xf numFmtId="167" fontId="80" fillId="0" borderId="0" xfId="0" applyNumberFormat="1" applyFont="1" applyBorder="1"/>
    <xf numFmtId="0" fontId="80" fillId="0" borderId="0" xfId="704" applyFont="1" applyBorder="1"/>
    <xf numFmtId="167" fontId="80" fillId="0" borderId="0" xfId="704" applyNumberFormat="1" applyFont="1" applyBorder="1"/>
    <xf numFmtId="0" fontId="5" fillId="0" borderId="46" xfId="0" applyFont="1" applyFill="1" applyBorder="1"/>
    <xf numFmtId="43" fontId="7" fillId="0" borderId="0" xfId="0" applyNumberFormat="1" applyFont="1"/>
    <xf numFmtId="167" fontId="79" fillId="101" borderId="46" xfId="679" applyNumberFormat="1" applyFont="1" applyFill="1" applyBorder="1"/>
    <xf numFmtId="167" fontId="79" fillId="101" borderId="46" xfId="704" applyNumberFormat="1" applyFont="1" applyFill="1" applyBorder="1"/>
    <xf numFmtId="0" fontId="77" fillId="0" borderId="50" xfId="0" applyFont="1" applyFill="1" applyBorder="1"/>
    <xf numFmtId="0" fontId="5" fillId="0" borderId="0" xfId="0" applyFont="1" applyFill="1" applyBorder="1" applyAlignment="1">
      <alignment horizontal="center"/>
    </xf>
    <xf numFmtId="43" fontId="5" fillId="0" borderId="0" xfId="0" applyNumberFormat="1" applyFont="1" applyFill="1" applyBorder="1"/>
    <xf numFmtId="0" fontId="5" fillId="0" borderId="0" xfId="0" applyFont="1" applyFill="1" applyBorder="1"/>
    <xf numFmtId="167" fontId="79" fillId="0" borderId="46" xfId="0" applyNumberFormat="1" applyFont="1" applyFill="1" applyBorder="1"/>
    <xf numFmtId="0" fontId="5" fillId="84" borderId="0" xfId="0" applyFont="1" applyFill="1"/>
    <xf numFmtId="0" fontId="0" fillId="84" borderId="0" xfId="0" applyFill="1"/>
    <xf numFmtId="167" fontId="74" fillId="0" borderId="0" xfId="0" applyNumberFormat="1" applyFont="1" applyFill="1" applyBorder="1" applyAlignment="1">
      <alignment horizontal="right" vertical="top"/>
    </xf>
    <xf numFmtId="0" fontId="5" fillId="0" borderId="0" xfId="562" applyNumberFormat="1" applyFont="1" applyFill="1" applyBorder="1" applyAlignment="1">
      <alignment vertical="top" wrapText="1"/>
    </xf>
    <xf numFmtId="43" fontId="86" fillId="0" borderId="40" xfId="0" applyNumberFormat="1" applyFont="1" applyFill="1" applyBorder="1"/>
    <xf numFmtId="167" fontId="84" fillId="0" borderId="0" xfId="0" applyNumberFormat="1" applyFont="1" applyFill="1" applyBorder="1" applyAlignment="1">
      <alignment horizontal="right"/>
    </xf>
    <xf numFmtId="0" fontId="5" fillId="0" borderId="0" xfId="0" applyNumberFormat="1" applyFont="1" applyFill="1" applyBorder="1" applyAlignment="1">
      <alignment vertical="top" wrapText="1"/>
    </xf>
    <xf numFmtId="0" fontId="80" fillId="0" borderId="0" xfId="0" applyFont="1" applyBorder="1" applyAlignment="1">
      <alignment horizontal="right"/>
    </xf>
    <xf numFmtId="43" fontId="80" fillId="84" borderId="46" xfId="562" applyNumberFormat="1" applyFont="1" applyFill="1" applyBorder="1"/>
    <xf numFmtId="7" fontId="0" fillId="0" borderId="0" xfId="0" applyNumberFormat="1"/>
    <xf numFmtId="44" fontId="5" fillId="0" borderId="0" xfId="562" applyFont="1" applyFill="1" applyBorder="1"/>
    <xf numFmtId="0" fontId="5" fillId="0" borderId="0" xfId="0" applyFont="1" applyFill="1"/>
    <xf numFmtId="44" fontId="5" fillId="0" borderId="3" xfId="562" applyFont="1" applyFill="1" applyBorder="1"/>
    <xf numFmtId="0" fontId="77" fillId="93" borderId="0" xfId="0" applyFont="1" applyFill="1" applyBorder="1"/>
    <xf numFmtId="0" fontId="77" fillId="95" borderId="0" xfId="0" applyFont="1" applyFill="1" applyBorder="1"/>
    <xf numFmtId="43" fontId="80" fillId="84" borderId="0" xfId="562" applyNumberFormat="1" applyFont="1" applyFill="1" applyBorder="1"/>
    <xf numFmtId="0" fontId="77" fillId="93" borderId="0" xfId="704" applyFont="1" applyFill="1" applyBorder="1"/>
    <xf numFmtId="0" fontId="77" fillId="95" borderId="0" xfId="704" applyFont="1" applyFill="1" applyBorder="1"/>
    <xf numFmtId="167" fontId="77" fillId="95" borderId="0" xfId="704" applyNumberFormat="1" applyFont="1" applyFill="1" applyBorder="1"/>
    <xf numFmtId="167" fontId="77" fillId="100" borderId="0" xfId="704" applyNumberFormat="1" applyFont="1" applyFill="1" applyBorder="1"/>
    <xf numFmtId="167" fontId="5" fillId="0" borderId="0" xfId="0" applyNumberFormat="1" applyFont="1" applyFill="1" applyBorder="1" applyAlignment="1">
      <alignment horizontal="right"/>
    </xf>
    <xf numFmtId="0" fontId="5" fillId="0" borderId="0" xfId="253" applyNumberFormat="1" applyFont="1" applyFill="1" applyBorder="1" applyAlignment="1">
      <alignment vertical="top" wrapText="1"/>
    </xf>
    <xf numFmtId="43" fontId="0" fillId="0" borderId="0" xfId="0" applyNumberFormat="1" applyBorder="1"/>
    <xf numFmtId="43" fontId="0" fillId="84" borderId="0" xfId="0" applyNumberFormat="1" applyFill="1" applyBorder="1"/>
    <xf numFmtId="167" fontId="77" fillId="95" borderId="0" xfId="0" applyNumberFormat="1" applyFont="1" applyFill="1" applyBorder="1"/>
    <xf numFmtId="44" fontId="77" fillId="95" borderId="0" xfId="562" applyFont="1" applyFill="1" applyBorder="1"/>
    <xf numFmtId="0" fontId="77" fillId="92" borderId="0" xfId="704" applyFont="1" applyFill="1" applyBorder="1" applyAlignment="1">
      <alignment horizontal="center"/>
    </xf>
    <xf numFmtId="0" fontId="18" fillId="0" borderId="0" xfId="0" applyFont="1" applyAlignment="1">
      <alignment horizontal="left"/>
    </xf>
    <xf numFmtId="0" fontId="5" fillId="0" borderId="40" xfId="0" applyFont="1" applyBorder="1"/>
    <xf numFmtId="43" fontId="0" fillId="0" borderId="40" xfId="0" applyNumberFormat="1" applyBorder="1"/>
    <xf numFmtId="43" fontId="0" fillId="0" borderId="40" xfId="0" applyNumberFormat="1" applyFill="1" applyBorder="1"/>
    <xf numFmtId="44" fontId="77" fillId="0" borderId="50" xfId="562" applyFont="1" applyFill="1" applyBorder="1"/>
    <xf numFmtId="43" fontId="80" fillId="0" borderId="0" xfId="562" applyNumberFormat="1" applyFont="1" applyFill="1" applyBorder="1"/>
    <xf numFmtId="0" fontId="77" fillId="0" borderId="0" xfId="704" applyFont="1" applyFill="1" applyBorder="1"/>
    <xf numFmtId="167" fontId="77" fillId="0" borderId="0" xfId="704" applyNumberFormat="1" applyFont="1" applyFill="1" applyBorder="1"/>
    <xf numFmtId="0" fontId="77" fillId="0" borderId="0" xfId="0" applyFont="1" applyFill="1" applyBorder="1"/>
    <xf numFmtId="167" fontId="77" fillId="0" borderId="50" xfId="0" applyNumberFormat="1" applyFont="1" applyFill="1" applyBorder="1"/>
    <xf numFmtId="43" fontId="77" fillId="0" borderId="50" xfId="0" applyNumberFormat="1" applyFont="1" applyFill="1" applyBorder="1"/>
    <xf numFmtId="43" fontId="77" fillId="0" borderId="0" xfId="0" applyNumberFormat="1" applyFont="1" applyFill="1" applyBorder="1"/>
    <xf numFmtId="0" fontId="77" fillId="93" borderId="50" xfId="0" applyFont="1" applyFill="1" applyBorder="1"/>
    <xf numFmtId="0" fontId="5" fillId="95" borderId="50" xfId="0" applyFont="1" applyFill="1" applyBorder="1"/>
    <xf numFmtId="167" fontId="78" fillId="93" borderId="50" xfId="0" applyNumberFormat="1" applyFont="1" applyFill="1" applyBorder="1"/>
    <xf numFmtId="0" fontId="78" fillId="93" borderId="40" xfId="0" applyFont="1" applyFill="1" applyBorder="1"/>
    <xf numFmtId="0" fontId="78" fillId="95" borderId="40" xfId="0" applyFont="1" applyFill="1" applyBorder="1"/>
    <xf numFmtId="167" fontId="78" fillId="93" borderId="40" xfId="0" applyNumberFormat="1" applyFont="1" applyFill="1" applyBorder="1"/>
    <xf numFmtId="167" fontId="78" fillId="95" borderId="40" xfId="0" applyNumberFormat="1" applyFont="1" applyFill="1" applyBorder="1"/>
    <xf numFmtId="43" fontId="78" fillId="95" borderId="40" xfId="0" applyNumberFormat="1" applyFont="1" applyFill="1" applyBorder="1"/>
    <xf numFmtId="0" fontId="5" fillId="0" borderId="50" xfId="0" applyFont="1" applyFill="1" applyBorder="1"/>
    <xf numFmtId="43" fontId="80" fillId="0" borderId="50" xfId="562" applyNumberFormat="1" applyFont="1" applyFill="1" applyBorder="1"/>
    <xf numFmtId="43" fontId="7" fillId="0" borderId="40" xfId="0" applyNumberFormat="1" applyFont="1" applyBorder="1"/>
    <xf numFmtId="43" fontId="78" fillId="95" borderId="52" xfId="0" applyNumberFormat="1" applyFont="1" applyFill="1" applyBorder="1"/>
    <xf numFmtId="43" fontId="80" fillId="84" borderId="50" xfId="562" applyNumberFormat="1" applyFont="1" applyFill="1" applyBorder="1"/>
    <xf numFmtId="0" fontId="78" fillId="95" borderId="40" xfId="0" applyFont="1" applyFill="1" applyBorder="1" applyAlignment="1">
      <alignment horizontal="center"/>
    </xf>
    <xf numFmtId="167" fontId="84" fillId="0" borderId="0" xfId="0" applyNumberFormat="1" applyFont="1" applyFill="1" applyBorder="1" applyAlignment="1"/>
    <xf numFmtId="43" fontId="78" fillId="93" borderId="50" xfId="0" applyNumberFormat="1" applyFont="1" applyFill="1" applyBorder="1"/>
    <xf numFmtId="0" fontId="5" fillId="0" borderId="0" xfId="0" applyFont="1" applyFill="1" applyAlignment="1">
      <alignment horizontal="right"/>
    </xf>
    <xf numFmtId="44" fontId="5" fillId="0" borderId="3" xfId="562" applyFont="1" applyFill="1" applyBorder="1" applyAlignment="1">
      <alignment horizontal="right"/>
    </xf>
    <xf numFmtId="167" fontId="85" fillId="0" borderId="0" xfId="0" applyNumberFormat="1" applyFont="1" applyFill="1" applyBorder="1" applyAlignment="1">
      <alignment horizontal="right"/>
    </xf>
    <xf numFmtId="0" fontId="87" fillId="0" borderId="0" xfId="0" applyFont="1"/>
    <xf numFmtId="0" fontId="89" fillId="0" borderId="0" xfId="0" applyFont="1"/>
    <xf numFmtId="0" fontId="90" fillId="0" borderId="0" xfId="0" applyFont="1"/>
    <xf numFmtId="0" fontId="91" fillId="0" borderId="0" xfId="0" applyFont="1" applyAlignment="1">
      <alignment vertical="top" wrapText="1"/>
    </xf>
    <xf numFmtId="0" fontId="90" fillId="0" borderId="0" xfId="0" applyFont="1" applyAlignment="1">
      <alignment wrapText="1"/>
    </xf>
    <xf numFmtId="0" fontId="92" fillId="0" borderId="0" xfId="0" applyFont="1" applyAlignment="1">
      <alignment vertical="top" wrapText="1"/>
    </xf>
    <xf numFmtId="0" fontId="1" fillId="0" borderId="0" xfId="48" applyFont="1"/>
    <xf numFmtId="0" fontId="1" fillId="0" borderId="0" xfId="48" applyFont="1" applyAlignment="1">
      <alignment horizontal="right"/>
    </xf>
    <xf numFmtId="0" fontId="90" fillId="0" borderId="0" xfId="0" applyFont="1" applyAlignment="1">
      <alignment horizontal="right"/>
    </xf>
    <xf numFmtId="44" fontId="90" fillId="0" borderId="0" xfId="562" applyFont="1"/>
    <xf numFmtId="0" fontId="90" fillId="0" borderId="0" xfId="0" applyFont="1" applyBorder="1"/>
    <xf numFmtId="0" fontId="90" fillId="0" borderId="0" xfId="0" applyFont="1" applyBorder="1" applyAlignment="1">
      <alignment horizontal="right"/>
    </xf>
    <xf numFmtId="43" fontId="90" fillId="0" borderId="0" xfId="253" applyFont="1" applyBorder="1"/>
    <xf numFmtId="44" fontId="90" fillId="0" borderId="0" xfId="562" applyFont="1" applyBorder="1"/>
    <xf numFmtId="0" fontId="79" fillId="88" borderId="46" xfId="0" applyFont="1" applyFill="1" applyBorder="1"/>
    <xf numFmtId="167" fontId="79" fillId="88" borderId="46" xfId="0" applyNumberFormat="1" applyFont="1" applyFill="1" applyBorder="1"/>
    <xf numFmtId="43" fontId="79" fillId="88" borderId="46" xfId="0" applyNumberFormat="1" applyFont="1" applyFill="1" applyBorder="1"/>
    <xf numFmtId="0" fontId="77" fillId="93" borderId="55" xfId="0" applyFont="1" applyFill="1" applyBorder="1"/>
    <xf numFmtId="0" fontId="77" fillId="93" borderId="55" xfId="704" applyFont="1" applyFill="1" applyBorder="1"/>
    <xf numFmtId="43" fontId="74" fillId="0" borderId="0" xfId="0" applyNumberFormat="1" applyFont="1"/>
    <xf numFmtId="43" fontId="78" fillId="95" borderId="41" xfId="0" applyNumberFormat="1" applyFont="1" applyFill="1" applyBorder="1"/>
    <xf numFmtId="43" fontId="74" fillId="0" borderId="37" xfId="0" applyNumberFormat="1" applyFont="1" applyFill="1" applyBorder="1"/>
    <xf numFmtId="5" fontId="0" fillId="0" borderId="0" xfId="0" applyNumberFormat="1"/>
    <xf numFmtId="43" fontId="79" fillId="0" borderId="46" xfId="0" applyNumberFormat="1" applyFont="1" applyFill="1" applyBorder="1"/>
    <xf numFmtId="43" fontId="0" fillId="89" borderId="51" xfId="0" applyNumberFormat="1" applyFill="1" applyBorder="1"/>
    <xf numFmtId="167" fontId="0" fillId="87" borderId="0" xfId="0" applyNumberFormat="1" applyFill="1"/>
    <xf numFmtId="167" fontId="78" fillId="87" borderId="53" xfId="0" applyNumberFormat="1" applyFont="1" applyFill="1" applyBorder="1"/>
    <xf numFmtId="167" fontId="7" fillId="87" borderId="54" xfId="0" applyNumberFormat="1" applyFont="1" applyFill="1" applyBorder="1"/>
    <xf numFmtId="43" fontId="0" fillId="98" borderId="3" xfId="0" applyNumberFormat="1" applyFill="1" applyBorder="1"/>
    <xf numFmtId="43" fontId="79" fillId="0" borderId="0" xfId="0" applyNumberFormat="1" applyFont="1" applyBorder="1"/>
    <xf numFmtId="44" fontId="5" fillId="0" borderId="1" xfId="562" applyFont="1" applyFill="1" applyBorder="1"/>
    <xf numFmtId="44" fontId="78" fillId="98" borderId="53" xfId="562" applyFont="1" applyFill="1" applyBorder="1"/>
    <xf numFmtId="167" fontId="7" fillId="98" borderId="54" xfId="0" applyNumberFormat="1" applyFont="1" applyFill="1" applyBorder="1"/>
    <xf numFmtId="167" fontId="80" fillId="0" borderId="3" xfId="0" applyNumberFormat="1" applyFont="1" applyBorder="1"/>
    <xf numFmtId="43" fontId="80" fillId="0" borderId="3" xfId="0" applyNumberFormat="1" applyFont="1" applyBorder="1"/>
    <xf numFmtId="4" fontId="90" fillId="0" borderId="0" xfId="0" applyNumberFormat="1" applyFont="1"/>
    <xf numFmtId="7" fontId="90" fillId="0" borderId="0" xfId="0" applyNumberFormat="1" applyFont="1"/>
    <xf numFmtId="0" fontId="0" fillId="33" borderId="42" xfId="0" applyFont="1" applyFill="1" applyBorder="1" applyAlignment="1">
      <alignment vertical="top"/>
    </xf>
    <xf numFmtId="4" fontId="7" fillId="91" borderId="0" xfId="0" applyNumberFormat="1" applyFont="1" applyFill="1"/>
    <xf numFmtId="167" fontId="0" fillId="0" borderId="40" xfId="0" applyNumberFormat="1" applyBorder="1"/>
    <xf numFmtId="4" fontId="0" fillId="102" borderId="2" xfId="0" applyNumberFormat="1" applyFill="1" applyBorder="1" applyAlignment="1">
      <alignment horizontal="right" vertical="top"/>
    </xf>
    <xf numFmtId="0" fontId="34" fillId="84" borderId="0" xfId="0" applyFont="1" applyFill="1"/>
    <xf numFmtId="167" fontId="0" fillId="84" borderId="0" xfId="253" applyNumberFormat="1" applyFont="1" applyFill="1"/>
    <xf numFmtId="0" fontId="94" fillId="84" borderId="0" xfId="706" applyFont="1" applyFill="1"/>
    <xf numFmtId="17" fontId="0" fillId="84" borderId="0" xfId="0" quotePrefix="1" applyNumberFormat="1" applyFill="1" applyAlignment="1">
      <alignment horizontal="center"/>
    </xf>
    <xf numFmtId="17" fontId="0" fillId="84" borderId="0" xfId="0" quotePrefix="1" applyNumberFormat="1" applyFill="1" applyAlignment="1"/>
    <xf numFmtId="17" fontId="34" fillId="84" borderId="0" xfId="0" quotePrefix="1" applyNumberFormat="1" applyFont="1" applyFill="1" applyAlignment="1">
      <alignment horizontal="center"/>
    </xf>
    <xf numFmtId="0" fontId="34" fillId="84" borderId="3" xfId="0" applyFont="1" applyFill="1" applyBorder="1" applyAlignment="1">
      <alignment horizontal="center"/>
    </xf>
    <xf numFmtId="167" fontId="0" fillId="84" borderId="0" xfId="253" applyNumberFormat="1" applyFont="1" applyFill="1" applyAlignment="1">
      <alignment horizontal="center"/>
    </xf>
    <xf numFmtId="167" fontId="0" fillId="84" borderId="0" xfId="253" applyNumberFormat="1" applyFont="1" applyFill="1" applyBorder="1"/>
    <xf numFmtId="167" fontId="0" fillId="84" borderId="0" xfId="0" applyNumberFormat="1" applyFill="1"/>
    <xf numFmtId="167" fontId="0" fillId="84" borderId="0" xfId="0" applyNumberFormat="1" applyFill="1" applyAlignment="1">
      <alignment horizontal="center"/>
    </xf>
    <xf numFmtId="167" fontId="0" fillId="84" borderId="3" xfId="253" applyNumberFormat="1" applyFont="1" applyFill="1" applyBorder="1"/>
    <xf numFmtId="167" fontId="0" fillId="84" borderId="0" xfId="253" applyNumberFormat="1" applyFont="1" applyFill="1" applyBorder="1" applyAlignment="1">
      <alignment horizontal="center"/>
    </xf>
    <xf numFmtId="167" fontId="34" fillId="84" borderId="0" xfId="253" applyNumberFormat="1" applyFont="1" applyFill="1"/>
    <xf numFmtId="167" fontId="0" fillId="84" borderId="3" xfId="0" applyNumberFormat="1" applyFill="1" applyBorder="1"/>
    <xf numFmtId="0" fontId="95" fillId="84" borderId="0" xfId="706" applyFont="1" applyFill="1"/>
    <xf numFmtId="167" fontId="0" fillId="84" borderId="0" xfId="0" applyNumberFormat="1" applyFill="1" applyBorder="1"/>
    <xf numFmtId="17" fontId="34" fillId="84" borderId="0" xfId="0" quotePrefix="1" applyNumberFormat="1" applyFont="1" applyFill="1" applyBorder="1" applyAlignment="1">
      <alignment horizontal="center"/>
    </xf>
    <xf numFmtId="17" fontId="0" fillId="84" borderId="0" xfId="0" quotePrefix="1" applyNumberFormat="1" applyFill="1" applyBorder="1" applyAlignment="1">
      <alignment horizontal="center"/>
    </xf>
    <xf numFmtId="17" fontId="34" fillId="84" borderId="0" xfId="0" quotePrefix="1" applyNumberFormat="1" applyFont="1" applyFill="1" applyBorder="1" applyAlignment="1"/>
    <xf numFmtId="0" fontId="11" fillId="0" borderId="0" xfId="0" applyFont="1" applyAlignment="1">
      <alignment horizontal="center"/>
    </xf>
    <xf numFmtId="0" fontId="91" fillId="0" borderId="0" xfId="0" applyFont="1" applyAlignment="1">
      <alignment horizontal="left" wrapText="1"/>
    </xf>
    <xf numFmtId="0" fontId="91" fillId="0" borderId="0" xfId="0" applyFont="1" applyAlignment="1">
      <alignment horizontal="left" vertical="top" wrapText="1"/>
    </xf>
    <xf numFmtId="0" fontId="79" fillId="0" borderId="0" xfId="0" applyNumberFormat="1" applyFont="1" applyFill="1" applyBorder="1" applyAlignment="1">
      <alignment horizontal="left" vertical="top" wrapText="1"/>
    </xf>
    <xf numFmtId="0" fontId="5" fillId="0" borderId="0" xfId="0" applyNumberFormat="1" applyFont="1" applyFill="1" applyBorder="1" applyAlignment="1">
      <alignment horizontal="left" vertical="top" wrapText="1"/>
    </xf>
    <xf numFmtId="0" fontId="5" fillId="0" borderId="0" xfId="562" applyNumberFormat="1" applyFont="1" applyFill="1" applyBorder="1" applyAlignment="1">
      <alignment horizontal="left" vertical="top" wrapText="1"/>
    </xf>
    <xf numFmtId="0" fontId="77" fillId="0" borderId="0" xfId="0" applyFont="1" applyFill="1" applyBorder="1" applyAlignment="1">
      <alignment horizontal="left"/>
    </xf>
    <xf numFmtId="0" fontId="5" fillId="90" borderId="0" xfId="0" applyFont="1" applyFill="1" applyAlignment="1">
      <alignment horizontal="left" vertical="top" wrapText="1"/>
    </xf>
    <xf numFmtId="0" fontId="5" fillId="0" borderId="0" xfId="253" applyNumberFormat="1" applyFont="1" applyFill="1" applyBorder="1" applyAlignment="1">
      <alignment horizontal="left" vertical="top" wrapText="1"/>
    </xf>
    <xf numFmtId="0" fontId="5" fillId="0" borderId="0" xfId="0" applyFont="1" applyFill="1" applyAlignment="1">
      <alignment horizontal="left" vertical="top" wrapText="1"/>
    </xf>
  </cellXfs>
  <cellStyles count="707">
    <cellStyle name="20% - Accent1" xfId="21" builtinId="30" customBuiltin="1"/>
    <cellStyle name="20% - Accent1 2" xfId="119" xr:uid="{00000000-0005-0000-0000-000001000000}"/>
    <cellStyle name="20% - Accent1 2 2" xfId="255" xr:uid="{00000000-0005-0000-0000-000002000000}"/>
    <cellStyle name="20% - Accent1 2 3" xfId="582" xr:uid="{00000000-0005-0000-0000-000001000000}"/>
    <cellStyle name="20% - Accent1 2_Support June 2013" xfId="256" xr:uid="{00000000-0005-0000-0000-000003000000}"/>
    <cellStyle name="20% - Accent1 3" xfId="136" xr:uid="{00000000-0005-0000-0000-000004000000}"/>
    <cellStyle name="20% - Accent1 3 2" xfId="583" xr:uid="{00000000-0005-0000-0000-000002000000}"/>
    <cellStyle name="20% - Accent1 4" xfId="257" xr:uid="{00000000-0005-0000-0000-000005000000}"/>
    <cellStyle name="20% - Accent1 4 2" xfId="584" xr:uid="{00000000-0005-0000-0000-000003000000}"/>
    <cellStyle name="20% - Accent1 5" xfId="569" xr:uid="{00000000-0005-0000-0000-000038020000}"/>
    <cellStyle name="20% - Accent2" xfId="25" builtinId="34" customBuiltin="1"/>
    <cellStyle name="20% - Accent2 2" xfId="120" xr:uid="{00000000-0005-0000-0000-000007000000}"/>
    <cellStyle name="20% - Accent2 2 2" xfId="258" xr:uid="{00000000-0005-0000-0000-000008000000}"/>
    <cellStyle name="20% - Accent2 2 3" xfId="585" xr:uid="{00000000-0005-0000-0000-000005000000}"/>
    <cellStyle name="20% - Accent2 2_Support June 2013" xfId="259" xr:uid="{00000000-0005-0000-0000-000009000000}"/>
    <cellStyle name="20% - Accent2 3" xfId="137" xr:uid="{00000000-0005-0000-0000-00000A000000}"/>
    <cellStyle name="20% - Accent2 3 2" xfId="586" xr:uid="{00000000-0005-0000-0000-000006000000}"/>
    <cellStyle name="20% - Accent2 4" xfId="260" xr:uid="{00000000-0005-0000-0000-00000B000000}"/>
    <cellStyle name="20% - Accent2 4 2" xfId="587" xr:uid="{00000000-0005-0000-0000-000007000000}"/>
    <cellStyle name="20% - Accent2 5" xfId="571" xr:uid="{00000000-0005-0000-0000-00003C020000}"/>
    <cellStyle name="20% - Accent3" xfId="29" builtinId="38" customBuiltin="1"/>
    <cellStyle name="20% - Accent3 2" xfId="121" xr:uid="{00000000-0005-0000-0000-00000D000000}"/>
    <cellStyle name="20% - Accent3 2 2" xfId="261" xr:uid="{00000000-0005-0000-0000-00000E000000}"/>
    <cellStyle name="20% - Accent3 2 3" xfId="588" xr:uid="{00000000-0005-0000-0000-000009000000}"/>
    <cellStyle name="20% - Accent3 2_Support June 2013" xfId="262" xr:uid="{00000000-0005-0000-0000-00000F000000}"/>
    <cellStyle name="20% - Accent3 3" xfId="138" xr:uid="{00000000-0005-0000-0000-000010000000}"/>
    <cellStyle name="20% - Accent3 3 2" xfId="589" xr:uid="{00000000-0005-0000-0000-00000A000000}"/>
    <cellStyle name="20% - Accent3 4" xfId="263" xr:uid="{00000000-0005-0000-0000-000011000000}"/>
    <cellStyle name="20% - Accent3 4 2" xfId="590" xr:uid="{00000000-0005-0000-0000-00000B000000}"/>
    <cellStyle name="20% - Accent3 5" xfId="573" xr:uid="{00000000-0005-0000-0000-000040020000}"/>
    <cellStyle name="20% - Accent4" xfId="33" builtinId="42" customBuiltin="1"/>
    <cellStyle name="20% - Accent4 2" xfId="122" xr:uid="{00000000-0005-0000-0000-000013000000}"/>
    <cellStyle name="20% - Accent4 2 2" xfId="264" xr:uid="{00000000-0005-0000-0000-000014000000}"/>
    <cellStyle name="20% - Accent4 2 3" xfId="591" xr:uid="{00000000-0005-0000-0000-00000D000000}"/>
    <cellStyle name="20% - Accent4 2_Support June 2013" xfId="265" xr:uid="{00000000-0005-0000-0000-000015000000}"/>
    <cellStyle name="20% - Accent4 3" xfId="139" xr:uid="{00000000-0005-0000-0000-000016000000}"/>
    <cellStyle name="20% - Accent4 3 2" xfId="592" xr:uid="{00000000-0005-0000-0000-00000E000000}"/>
    <cellStyle name="20% - Accent4 4" xfId="266" xr:uid="{00000000-0005-0000-0000-000017000000}"/>
    <cellStyle name="20% - Accent4 4 2" xfId="593" xr:uid="{00000000-0005-0000-0000-00000F000000}"/>
    <cellStyle name="20% - Accent4 5" xfId="575" xr:uid="{00000000-0005-0000-0000-000044020000}"/>
    <cellStyle name="20% - Accent5" xfId="37" builtinId="46" customBuiltin="1"/>
    <cellStyle name="20% - Accent5 2" xfId="123" xr:uid="{00000000-0005-0000-0000-000019000000}"/>
    <cellStyle name="20% - Accent5 2 2" xfId="267" xr:uid="{00000000-0005-0000-0000-00001A000000}"/>
    <cellStyle name="20% - Accent5 2 3" xfId="594" xr:uid="{00000000-0005-0000-0000-000011000000}"/>
    <cellStyle name="20% - Accent5 2_Support June 2013" xfId="268" xr:uid="{00000000-0005-0000-0000-00001B000000}"/>
    <cellStyle name="20% - Accent5 3" xfId="140" xr:uid="{00000000-0005-0000-0000-00001C000000}"/>
    <cellStyle name="20% - Accent5 3 2" xfId="595" xr:uid="{00000000-0005-0000-0000-000012000000}"/>
    <cellStyle name="20% - Accent5 4" xfId="269" xr:uid="{00000000-0005-0000-0000-00001D000000}"/>
    <cellStyle name="20% - Accent5 4 2" xfId="596" xr:uid="{00000000-0005-0000-0000-000013000000}"/>
    <cellStyle name="20% - Accent5 5" xfId="577" xr:uid="{00000000-0005-0000-0000-000048020000}"/>
    <cellStyle name="20% - Accent6" xfId="41" builtinId="50" customBuiltin="1"/>
    <cellStyle name="20% - Accent6 2" xfId="124" xr:uid="{00000000-0005-0000-0000-00001F000000}"/>
    <cellStyle name="20% - Accent6 2 2" xfId="270" xr:uid="{00000000-0005-0000-0000-000020000000}"/>
    <cellStyle name="20% - Accent6 2 3" xfId="597" xr:uid="{00000000-0005-0000-0000-000015000000}"/>
    <cellStyle name="20% - Accent6 2_Support June 2013" xfId="271" xr:uid="{00000000-0005-0000-0000-000021000000}"/>
    <cellStyle name="20% - Accent6 3" xfId="141" xr:uid="{00000000-0005-0000-0000-000022000000}"/>
    <cellStyle name="20% - Accent6 3 2" xfId="598" xr:uid="{00000000-0005-0000-0000-000016000000}"/>
    <cellStyle name="20% - Accent6 4" xfId="272" xr:uid="{00000000-0005-0000-0000-000023000000}"/>
    <cellStyle name="20% - Accent6 4 2" xfId="599" xr:uid="{00000000-0005-0000-0000-000017000000}"/>
    <cellStyle name="20% - Accent6 5" xfId="579" xr:uid="{00000000-0005-0000-0000-00004C020000}"/>
    <cellStyle name="40% - Accent1" xfId="22" builtinId="31" customBuiltin="1"/>
    <cellStyle name="40% - Accent1 2" xfId="125" xr:uid="{00000000-0005-0000-0000-000025000000}"/>
    <cellStyle name="40% - Accent1 2 2" xfId="273" xr:uid="{00000000-0005-0000-0000-000026000000}"/>
    <cellStyle name="40% - Accent1 2 3" xfId="600" xr:uid="{00000000-0005-0000-0000-000019000000}"/>
    <cellStyle name="40% - Accent1 2_Support June 2013" xfId="274" xr:uid="{00000000-0005-0000-0000-000027000000}"/>
    <cellStyle name="40% - Accent1 3" xfId="142" xr:uid="{00000000-0005-0000-0000-000028000000}"/>
    <cellStyle name="40% - Accent1 3 2" xfId="601" xr:uid="{00000000-0005-0000-0000-00001A000000}"/>
    <cellStyle name="40% - Accent1 4" xfId="275" xr:uid="{00000000-0005-0000-0000-000029000000}"/>
    <cellStyle name="40% - Accent1 4 2" xfId="602" xr:uid="{00000000-0005-0000-0000-00001B000000}"/>
    <cellStyle name="40% - Accent1 5" xfId="570" xr:uid="{00000000-0005-0000-0000-000050020000}"/>
    <cellStyle name="40% - Accent2" xfId="26" builtinId="35" customBuiltin="1"/>
    <cellStyle name="40% - Accent2 2" xfId="126" xr:uid="{00000000-0005-0000-0000-00002B000000}"/>
    <cellStyle name="40% - Accent2 2 2" xfId="276" xr:uid="{00000000-0005-0000-0000-00002C000000}"/>
    <cellStyle name="40% - Accent2 2 3" xfId="603" xr:uid="{00000000-0005-0000-0000-00001D000000}"/>
    <cellStyle name="40% - Accent2 2_Support June 2013" xfId="277" xr:uid="{00000000-0005-0000-0000-00002D000000}"/>
    <cellStyle name="40% - Accent2 3" xfId="143" xr:uid="{00000000-0005-0000-0000-00002E000000}"/>
    <cellStyle name="40% - Accent2 3 2" xfId="604" xr:uid="{00000000-0005-0000-0000-00001E000000}"/>
    <cellStyle name="40% - Accent2 4" xfId="278" xr:uid="{00000000-0005-0000-0000-00002F000000}"/>
    <cellStyle name="40% - Accent2 4 2" xfId="605" xr:uid="{00000000-0005-0000-0000-00001F000000}"/>
    <cellStyle name="40% - Accent2 5" xfId="572" xr:uid="{00000000-0005-0000-0000-000054020000}"/>
    <cellStyle name="40% - Accent3" xfId="30" builtinId="39" customBuiltin="1"/>
    <cellStyle name="40% - Accent3 2" xfId="127" xr:uid="{00000000-0005-0000-0000-000031000000}"/>
    <cellStyle name="40% - Accent3 2 2" xfId="279" xr:uid="{00000000-0005-0000-0000-000032000000}"/>
    <cellStyle name="40% - Accent3 2 3" xfId="606" xr:uid="{00000000-0005-0000-0000-000021000000}"/>
    <cellStyle name="40% - Accent3 2_Support June 2013" xfId="280" xr:uid="{00000000-0005-0000-0000-000033000000}"/>
    <cellStyle name="40% - Accent3 3" xfId="144" xr:uid="{00000000-0005-0000-0000-000034000000}"/>
    <cellStyle name="40% - Accent3 3 2" xfId="607" xr:uid="{00000000-0005-0000-0000-000022000000}"/>
    <cellStyle name="40% - Accent3 4" xfId="281" xr:uid="{00000000-0005-0000-0000-000035000000}"/>
    <cellStyle name="40% - Accent3 4 2" xfId="608" xr:uid="{00000000-0005-0000-0000-000023000000}"/>
    <cellStyle name="40% - Accent3 5" xfId="574" xr:uid="{00000000-0005-0000-0000-000058020000}"/>
    <cellStyle name="40% - Accent4" xfId="34" builtinId="43" customBuiltin="1"/>
    <cellStyle name="40% - Accent4 2" xfId="128" xr:uid="{00000000-0005-0000-0000-000037000000}"/>
    <cellStyle name="40% - Accent4 2 2" xfId="282" xr:uid="{00000000-0005-0000-0000-000038000000}"/>
    <cellStyle name="40% - Accent4 2 3" xfId="609" xr:uid="{00000000-0005-0000-0000-000025000000}"/>
    <cellStyle name="40% - Accent4 2_Support June 2013" xfId="283" xr:uid="{00000000-0005-0000-0000-000039000000}"/>
    <cellStyle name="40% - Accent4 3" xfId="145" xr:uid="{00000000-0005-0000-0000-00003A000000}"/>
    <cellStyle name="40% - Accent4 3 2" xfId="610" xr:uid="{00000000-0005-0000-0000-000026000000}"/>
    <cellStyle name="40% - Accent4 4" xfId="284" xr:uid="{00000000-0005-0000-0000-00003B000000}"/>
    <cellStyle name="40% - Accent4 4 2" xfId="611" xr:uid="{00000000-0005-0000-0000-000027000000}"/>
    <cellStyle name="40% - Accent4 5" xfId="576" xr:uid="{00000000-0005-0000-0000-00005C020000}"/>
    <cellStyle name="40% - Accent5" xfId="38" builtinId="47" customBuiltin="1"/>
    <cellStyle name="40% - Accent5 2" xfId="129" xr:uid="{00000000-0005-0000-0000-00003D000000}"/>
    <cellStyle name="40% - Accent5 2 2" xfId="285" xr:uid="{00000000-0005-0000-0000-00003E000000}"/>
    <cellStyle name="40% - Accent5 2 3" xfId="612" xr:uid="{00000000-0005-0000-0000-000029000000}"/>
    <cellStyle name="40% - Accent5 2_Support June 2013" xfId="286" xr:uid="{00000000-0005-0000-0000-00003F000000}"/>
    <cellStyle name="40% - Accent5 3" xfId="146" xr:uid="{00000000-0005-0000-0000-000040000000}"/>
    <cellStyle name="40% - Accent5 3 2" xfId="613" xr:uid="{00000000-0005-0000-0000-00002A000000}"/>
    <cellStyle name="40% - Accent5 4" xfId="287" xr:uid="{00000000-0005-0000-0000-000041000000}"/>
    <cellStyle name="40% - Accent5 4 2" xfId="614" xr:uid="{00000000-0005-0000-0000-00002B000000}"/>
    <cellStyle name="40% - Accent5 5" xfId="578" xr:uid="{00000000-0005-0000-0000-000060020000}"/>
    <cellStyle name="40% - Accent6" xfId="42" builtinId="51" customBuiltin="1"/>
    <cellStyle name="40% - Accent6 2" xfId="130" xr:uid="{00000000-0005-0000-0000-000043000000}"/>
    <cellStyle name="40% - Accent6 2 2" xfId="288" xr:uid="{00000000-0005-0000-0000-000044000000}"/>
    <cellStyle name="40% - Accent6 2 3" xfId="615" xr:uid="{00000000-0005-0000-0000-00002D000000}"/>
    <cellStyle name="40% - Accent6 2_Support June 2013" xfId="289" xr:uid="{00000000-0005-0000-0000-000045000000}"/>
    <cellStyle name="40% - Accent6 3" xfId="147" xr:uid="{00000000-0005-0000-0000-000046000000}"/>
    <cellStyle name="40% - Accent6 3 2" xfId="616" xr:uid="{00000000-0005-0000-0000-00002E000000}"/>
    <cellStyle name="40% - Accent6 4" xfId="290" xr:uid="{00000000-0005-0000-0000-000047000000}"/>
    <cellStyle name="40% - Accent6 4 2" xfId="617" xr:uid="{00000000-0005-0000-0000-00002F000000}"/>
    <cellStyle name="40% - Accent6 5" xfId="580" xr:uid="{00000000-0005-0000-0000-000064020000}"/>
    <cellStyle name="60% - Accent1" xfId="23" builtinId="32" customBuiltin="1"/>
    <cellStyle name="60% - Accent1 2" xfId="291" xr:uid="{00000000-0005-0000-0000-000049000000}"/>
    <cellStyle name="60% - Accent2" xfId="27" builtinId="36" customBuiltin="1"/>
    <cellStyle name="60% - Accent2 2" xfId="292" xr:uid="{00000000-0005-0000-0000-00004B000000}"/>
    <cellStyle name="60% - Accent3" xfId="31" builtinId="40" customBuiltin="1"/>
    <cellStyle name="60% - Accent3 2" xfId="293" xr:uid="{00000000-0005-0000-0000-00004D000000}"/>
    <cellStyle name="60% - Accent4" xfId="35" builtinId="44" customBuiltin="1"/>
    <cellStyle name="60% - Accent4 2" xfId="294" xr:uid="{00000000-0005-0000-0000-00004F000000}"/>
    <cellStyle name="60% - Accent5" xfId="39" builtinId="48" customBuiltin="1"/>
    <cellStyle name="60% - Accent5 2" xfId="295" xr:uid="{00000000-0005-0000-0000-000051000000}"/>
    <cellStyle name="60% - Accent6" xfId="43" builtinId="52" customBuiltin="1"/>
    <cellStyle name="60% - Accent6 2" xfId="296" xr:uid="{00000000-0005-0000-0000-000053000000}"/>
    <cellStyle name="Accent1" xfId="20" builtinId="29" customBuiltin="1"/>
    <cellStyle name="Accent1 - 20%" xfId="157" xr:uid="{00000000-0005-0000-0000-000055000000}"/>
    <cellStyle name="Accent1 - 40%" xfId="158" xr:uid="{00000000-0005-0000-0000-000056000000}"/>
    <cellStyle name="Accent1 - 60%" xfId="159" xr:uid="{00000000-0005-0000-0000-000057000000}"/>
    <cellStyle name="Accent1 10" xfId="297" xr:uid="{00000000-0005-0000-0000-000058000000}"/>
    <cellStyle name="Accent1 11" xfId="298" xr:uid="{00000000-0005-0000-0000-000059000000}"/>
    <cellStyle name="Accent1 12" xfId="299" xr:uid="{00000000-0005-0000-0000-00005A000000}"/>
    <cellStyle name="Accent1 13" xfId="300" xr:uid="{00000000-0005-0000-0000-00005B000000}"/>
    <cellStyle name="Accent1 14" xfId="301" xr:uid="{00000000-0005-0000-0000-00005C000000}"/>
    <cellStyle name="Accent1 15" xfId="302" xr:uid="{00000000-0005-0000-0000-00005D000000}"/>
    <cellStyle name="Accent1 2" xfId="156" xr:uid="{00000000-0005-0000-0000-00005E000000}"/>
    <cellStyle name="Accent1 2 2" xfId="303" xr:uid="{00000000-0005-0000-0000-00005F000000}"/>
    <cellStyle name="Accent1 2_Support June 2013" xfId="304" xr:uid="{00000000-0005-0000-0000-000060000000}"/>
    <cellStyle name="Accent1 3" xfId="241" xr:uid="{00000000-0005-0000-0000-000061000000}"/>
    <cellStyle name="Accent1 4" xfId="305" xr:uid="{00000000-0005-0000-0000-000062000000}"/>
    <cellStyle name="Accent1 5" xfId="306" xr:uid="{00000000-0005-0000-0000-000063000000}"/>
    <cellStyle name="Accent1 6" xfId="307" xr:uid="{00000000-0005-0000-0000-000064000000}"/>
    <cellStyle name="Accent1 7" xfId="308" xr:uid="{00000000-0005-0000-0000-000065000000}"/>
    <cellStyle name="Accent1 8" xfId="309" xr:uid="{00000000-0005-0000-0000-000066000000}"/>
    <cellStyle name="Accent1 9" xfId="310" xr:uid="{00000000-0005-0000-0000-000067000000}"/>
    <cellStyle name="Accent2" xfId="24" builtinId="33" customBuiltin="1"/>
    <cellStyle name="Accent2 - 20%" xfId="161" xr:uid="{00000000-0005-0000-0000-000069000000}"/>
    <cellStyle name="Accent2 - 40%" xfId="162" xr:uid="{00000000-0005-0000-0000-00006A000000}"/>
    <cellStyle name="Accent2 - 60%" xfId="163" xr:uid="{00000000-0005-0000-0000-00006B000000}"/>
    <cellStyle name="Accent2 10" xfId="311" xr:uid="{00000000-0005-0000-0000-00006C000000}"/>
    <cellStyle name="Accent2 11" xfId="312" xr:uid="{00000000-0005-0000-0000-00006D000000}"/>
    <cellStyle name="Accent2 12" xfId="313" xr:uid="{00000000-0005-0000-0000-00006E000000}"/>
    <cellStyle name="Accent2 13" xfId="314" xr:uid="{00000000-0005-0000-0000-00006F000000}"/>
    <cellStyle name="Accent2 14" xfId="315" xr:uid="{00000000-0005-0000-0000-000070000000}"/>
    <cellStyle name="Accent2 15" xfId="316" xr:uid="{00000000-0005-0000-0000-000071000000}"/>
    <cellStyle name="Accent2 2" xfId="160" xr:uid="{00000000-0005-0000-0000-000072000000}"/>
    <cellStyle name="Accent2 2 2" xfId="317" xr:uid="{00000000-0005-0000-0000-000073000000}"/>
    <cellStyle name="Accent2 2_Support June 2013" xfId="318" xr:uid="{00000000-0005-0000-0000-000074000000}"/>
    <cellStyle name="Accent2 3" xfId="245" xr:uid="{00000000-0005-0000-0000-000075000000}"/>
    <cellStyle name="Accent2 4" xfId="319" xr:uid="{00000000-0005-0000-0000-000076000000}"/>
    <cellStyle name="Accent2 5" xfId="320" xr:uid="{00000000-0005-0000-0000-000077000000}"/>
    <cellStyle name="Accent2 6" xfId="321" xr:uid="{00000000-0005-0000-0000-000078000000}"/>
    <cellStyle name="Accent2 7" xfId="322" xr:uid="{00000000-0005-0000-0000-000079000000}"/>
    <cellStyle name="Accent2 8" xfId="323" xr:uid="{00000000-0005-0000-0000-00007A000000}"/>
    <cellStyle name="Accent2 9" xfId="324" xr:uid="{00000000-0005-0000-0000-00007B000000}"/>
    <cellStyle name="Accent3" xfId="28" builtinId="37" customBuiltin="1"/>
    <cellStyle name="Accent3 - 20%" xfId="165" xr:uid="{00000000-0005-0000-0000-00007D000000}"/>
    <cellStyle name="Accent3 - 40%" xfId="166" xr:uid="{00000000-0005-0000-0000-00007E000000}"/>
    <cellStyle name="Accent3 - 60%" xfId="167" xr:uid="{00000000-0005-0000-0000-00007F000000}"/>
    <cellStyle name="Accent3 10" xfId="325" xr:uid="{00000000-0005-0000-0000-000080000000}"/>
    <cellStyle name="Accent3 11" xfId="326" xr:uid="{00000000-0005-0000-0000-000081000000}"/>
    <cellStyle name="Accent3 12" xfId="327" xr:uid="{00000000-0005-0000-0000-000082000000}"/>
    <cellStyle name="Accent3 13" xfId="328" xr:uid="{00000000-0005-0000-0000-000083000000}"/>
    <cellStyle name="Accent3 14" xfId="329" xr:uid="{00000000-0005-0000-0000-000084000000}"/>
    <cellStyle name="Accent3 15" xfId="330" xr:uid="{00000000-0005-0000-0000-000085000000}"/>
    <cellStyle name="Accent3 2" xfId="164" xr:uid="{00000000-0005-0000-0000-000086000000}"/>
    <cellStyle name="Accent3 2 2" xfId="331" xr:uid="{00000000-0005-0000-0000-000087000000}"/>
    <cellStyle name="Accent3 2_Support June 2013" xfId="332" xr:uid="{00000000-0005-0000-0000-000088000000}"/>
    <cellStyle name="Accent3 3" xfId="242" xr:uid="{00000000-0005-0000-0000-000089000000}"/>
    <cellStyle name="Accent3 4" xfId="333" xr:uid="{00000000-0005-0000-0000-00008A000000}"/>
    <cellStyle name="Accent3 5" xfId="334" xr:uid="{00000000-0005-0000-0000-00008B000000}"/>
    <cellStyle name="Accent3 6" xfId="335" xr:uid="{00000000-0005-0000-0000-00008C000000}"/>
    <cellStyle name="Accent3 7" xfId="336" xr:uid="{00000000-0005-0000-0000-00008D000000}"/>
    <cellStyle name="Accent3 8" xfId="337" xr:uid="{00000000-0005-0000-0000-00008E000000}"/>
    <cellStyle name="Accent3 9" xfId="338" xr:uid="{00000000-0005-0000-0000-00008F000000}"/>
    <cellStyle name="Accent4" xfId="32" builtinId="41" customBuiltin="1"/>
    <cellStyle name="Accent4 - 20%" xfId="169" xr:uid="{00000000-0005-0000-0000-000091000000}"/>
    <cellStyle name="Accent4 - 40%" xfId="170" xr:uid="{00000000-0005-0000-0000-000092000000}"/>
    <cellStyle name="Accent4 - 60%" xfId="171" xr:uid="{00000000-0005-0000-0000-000093000000}"/>
    <cellStyle name="Accent4 10" xfId="339" xr:uid="{00000000-0005-0000-0000-000094000000}"/>
    <cellStyle name="Accent4 11" xfId="340" xr:uid="{00000000-0005-0000-0000-000095000000}"/>
    <cellStyle name="Accent4 12" xfId="341" xr:uid="{00000000-0005-0000-0000-000096000000}"/>
    <cellStyle name="Accent4 13" xfId="342" xr:uid="{00000000-0005-0000-0000-000097000000}"/>
    <cellStyle name="Accent4 14" xfId="343" xr:uid="{00000000-0005-0000-0000-000098000000}"/>
    <cellStyle name="Accent4 15" xfId="344" xr:uid="{00000000-0005-0000-0000-000099000000}"/>
    <cellStyle name="Accent4 2" xfId="168" xr:uid="{00000000-0005-0000-0000-00009A000000}"/>
    <cellStyle name="Accent4 2 2" xfId="345" xr:uid="{00000000-0005-0000-0000-00009B000000}"/>
    <cellStyle name="Accent4 2_Support June 2013" xfId="346" xr:uid="{00000000-0005-0000-0000-00009C000000}"/>
    <cellStyle name="Accent4 3" xfId="244" xr:uid="{00000000-0005-0000-0000-00009D000000}"/>
    <cellStyle name="Accent4 4" xfId="347" xr:uid="{00000000-0005-0000-0000-00009E000000}"/>
    <cellStyle name="Accent4 5" xfId="348" xr:uid="{00000000-0005-0000-0000-00009F000000}"/>
    <cellStyle name="Accent4 6" xfId="349" xr:uid="{00000000-0005-0000-0000-0000A0000000}"/>
    <cellStyle name="Accent4 7" xfId="350" xr:uid="{00000000-0005-0000-0000-0000A1000000}"/>
    <cellStyle name="Accent4 8" xfId="351" xr:uid="{00000000-0005-0000-0000-0000A2000000}"/>
    <cellStyle name="Accent4 9" xfId="352" xr:uid="{00000000-0005-0000-0000-0000A3000000}"/>
    <cellStyle name="Accent5" xfId="36" builtinId="45" customBuiltin="1"/>
    <cellStyle name="Accent5 - 20%" xfId="173" xr:uid="{00000000-0005-0000-0000-0000A5000000}"/>
    <cellStyle name="Accent5 - 40%" xfId="174" xr:uid="{00000000-0005-0000-0000-0000A6000000}"/>
    <cellStyle name="Accent5 - 60%" xfId="175" xr:uid="{00000000-0005-0000-0000-0000A7000000}"/>
    <cellStyle name="Accent5 10" xfId="353" xr:uid="{00000000-0005-0000-0000-0000A8000000}"/>
    <cellStyle name="Accent5 11" xfId="354" xr:uid="{00000000-0005-0000-0000-0000A9000000}"/>
    <cellStyle name="Accent5 12" xfId="355" xr:uid="{00000000-0005-0000-0000-0000AA000000}"/>
    <cellStyle name="Accent5 13" xfId="356" xr:uid="{00000000-0005-0000-0000-0000AB000000}"/>
    <cellStyle name="Accent5 14" xfId="357" xr:uid="{00000000-0005-0000-0000-0000AC000000}"/>
    <cellStyle name="Accent5 15" xfId="358" xr:uid="{00000000-0005-0000-0000-0000AD000000}"/>
    <cellStyle name="Accent5 2" xfId="172" xr:uid="{00000000-0005-0000-0000-0000AE000000}"/>
    <cellStyle name="Accent5 2 2" xfId="359" xr:uid="{00000000-0005-0000-0000-0000AF000000}"/>
    <cellStyle name="Accent5 2_Support June 2013" xfId="360" xr:uid="{00000000-0005-0000-0000-0000B0000000}"/>
    <cellStyle name="Accent5 3" xfId="246" xr:uid="{00000000-0005-0000-0000-0000B1000000}"/>
    <cellStyle name="Accent5 4" xfId="361" xr:uid="{00000000-0005-0000-0000-0000B2000000}"/>
    <cellStyle name="Accent5 5" xfId="362" xr:uid="{00000000-0005-0000-0000-0000B3000000}"/>
    <cellStyle name="Accent5 6" xfId="363" xr:uid="{00000000-0005-0000-0000-0000B4000000}"/>
    <cellStyle name="Accent5 7" xfId="364" xr:uid="{00000000-0005-0000-0000-0000B5000000}"/>
    <cellStyle name="Accent5 8" xfId="365" xr:uid="{00000000-0005-0000-0000-0000B6000000}"/>
    <cellStyle name="Accent5 9" xfId="366" xr:uid="{00000000-0005-0000-0000-0000B7000000}"/>
    <cellStyle name="Accent6" xfId="40" builtinId="49" customBuiltin="1"/>
    <cellStyle name="Accent6 - 20%" xfId="177" xr:uid="{00000000-0005-0000-0000-0000B9000000}"/>
    <cellStyle name="Accent6 - 40%" xfId="178" xr:uid="{00000000-0005-0000-0000-0000BA000000}"/>
    <cellStyle name="Accent6 - 60%" xfId="179" xr:uid="{00000000-0005-0000-0000-0000BB000000}"/>
    <cellStyle name="Accent6 10" xfId="367" xr:uid="{00000000-0005-0000-0000-0000BC000000}"/>
    <cellStyle name="Accent6 11" xfId="368" xr:uid="{00000000-0005-0000-0000-0000BD000000}"/>
    <cellStyle name="Accent6 12" xfId="369" xr:uid="{00000000-0005-0000-0000-0000BE000000}"/>
    <cellStyle name="Accent6 13" xfId="370" xr:uid="{00000000-0005-0000-0000-0000BF000000}"/>
    <cellStyle name="Accent6 14" xfId="371" xr:uid="{00000000-0005-0000-0000-0000C0000000}"/>
    <cellStyle name="Accent6 15" xfId="372" xr:uid="{00000000-0005-0000-0000-0000C1000000}"/>
    <cellStyle name="Accent6 2" xfId="176" xr:uid="{00000000-0005-0000-0000-0000C2000000}"/>
    <cellStyle name="Accent6 2 2" xfId="373" xr:uid="{00000000-0005-0000-0000-0000C3000000}"/>
    <cellStyle name="Accent6 2_Support June 2013" xfId="374" xr:uid="{00000000-0005-0000-0000-0000C4000000}"/>
    <cellStyle name="Accent6 3" xfId="243" xr:uid="{00000000-0005-0000-0000-0000C5000000}"/>
    <cellStyle name="Accent6 4" xfId="375" xr:uid="{00000000-0005-0000-0000-0000C6000000}"/>
    <cellStyle name="Accent6 5" xfId="376" xr:uid="{00000000-0005-0000-0000-0000C7000000}"/>
    <cellStyle name="Accent6 6" xfId="377" xr:uid="{00000000-0005-0000-0000-0000C8000000}"/>
    <cellStyle name="Accent6 7" xfId="378" xr:uid="{00000000-0005-0000-0000-0000C9000000}"/>
    <cellStyle name="Accent6 8" xfId="379" xr:uid="{00000000-0005-0000-0000-0000CA000000}"/>
    <cellStyle name="Accent6 9" xfId="380" xr:uid="{00000000-0005-0000-0000-0000CB000000}"/>
    <cellStyle name="Bad" xfId="10" builtinId="27" customBuiltin="1"/>
    <cellStyle name="Bad 2" xfId="180" xr:uid="{00000000-0005-0000-0000-0000CD000000}"/>
    <cellStyle name="Bad 2 2" xfId="381" xr:uid="{00000000-0005-0000-0000-0000CE000000}"/>
    <cellStyle name="Bad 2_Support June 2013" xfId="382" xr:uid="{00000000-0005-0000-0000-0000CF000000}"/>
    <cellStyle name="Bad 3" xfId="618" xr:uid="{00000000-0005-0000-0000-00006E000000}"/>
    <cellStyle name="Calculation" xfId="14" builtinId="22" customBuiltin="1"/>
    <cellStyle name="Calculation 2" xfId="181" xr:uid="{00000000-0005-0000-0000-0000D1000000}"/>
    <cellStyle name="Calculation 2 2" xfId="383" xr:uid="{00000000-0005-0000-0000-0000D2000000}"/>
    <cellStyle name="Calculation 2_Support June 2013" xfId="384" xr:uid="{00000000-0005-0000-0000-0000D3000000}"/>
    <cellStyle name="Calculation 3" xfId="619" xr:uid="{00000000-0005-0000-0000-000071000000}"/>
    <cellStyle name="Check Cell" xfId="16" builtinId="23" customBuiltin="1"/>
    <cellStyle name="Check Cell 2" xfId="182" xr:uid="{00000000-0005-0000-0000-0000D5000000}"/>
    <cellStyle name="Check Cell 2 2" xfId="385" xr:uid="{00000000-0005-0000-0000-0000D6000000}"/>
    <cellStyle name="Check Cell 2_Support June 2013" xfId="386" xr:uid="{00000000-0005-0000-0000-0000D7000000}"/>
    <cellStyle name="Check Cell 3" xfId="620" xr:uid="{00000000-0005-0000-0000-000074000000}"/>
    <cellStyle name="Comma" xfId="253" builtinId="3"/>
    <cellStyle name="Comma 10" xfId="74" xr:uid="{00000000-0005-0000-0000-0000D9000000}"/>
    <cellStyle name="Comma 10 2" xfId="621" xr:uid="{00000000-0005-0000-0000-000076000000}"/>
    <cellStyle name="Comma 11" xfId="133" xr:uid="{00000000-0005-0000-0000-0000DA000000}"/>
    <cellStyle name="Comma 11 2" xfId="134" xr:uid="{00000000-0005-0000-0000-0000DB000000}"/>
    <cellStyle name="Comma 11 3" xfId="150" xr:uid="{00000000-0005-0000-0000-0000DC000000}"/>
    <cellStyle name="Comma 11 3 2" xfId="679" xr:uid="{00000000-0005-0000-0000-00007A000000}"/>
    <cellStyle name="Comma 11 4" xfId="678" xr:uid="{00000000-0005-0000-0000-00007B000000}"/>
    <cellStyle name="Comma 12" xfId="151" xr:uid="{00000000-0005-0000-0000-0000DD000000}"/>
    <cellStyle name="Comma 13" xfId="47" xr:uid="{00000000-0005-0000-0000-0000DE000000}"/>
    <cellStyle name="Comma 14" xfId="45" xr:uid="{00000000-0005-0000-0000-0000DF000000}"/>
    <cellStyle name="Comma 14 2" xfId="676" xr:uid="{00000000-0005-0000-0000-00007E000000}"/>
    <cellStyle name="Comma 15" xfId="566" xr:uid="{00000000-0005-0000-0000-00006B020000}"/>
    <cellStyle name="Comma 2" xfId="51" xr:uid="{00000000-0005-0000-0000-0000E0000000}"/>
    <cellStyle name="Comma 2 2" xfId="387" xr:uid="{00000000-0005-0000-0000-0000E1000000}"/>
    <cellStyle name="Comma 2 2 2" xfId="388" xr:uid="{00000000-0005-0000-0000-0000E2000000}"/>
    <cellStyle name="Comma 2 2 2 2" xfId="389" xr:uid="{00000000-0005-0000-0000-0000E3000000}"/>
    <cellStyle name="Comma 2 2 3" xfId="622" xr:uid="{00000000-0005-0000-0000-000080000000}"/>
    <cellStyle name="Comma 2 3" xfId="390" xr:uid="{00000000-0005-0000-0000-0000E4000000}"/>
    <cellStyle name="Comma 2 3 2" xfId="391" xr:uid="{00000000-0005-0000-0000-0000E5000000}"/>
    <cellStyle name="Comma 3" xfId="118" xr:uid="{00000000-0005-0000-0000-0000E6000000}"/>
    <cellStyle name="Comma 3 2" xfId="392" xr:uid="{00000000-0005-0000-0000-0000E7000000}"/>
    <cellStyle name="Comma 3 2 2" xfId="623" xr:uid="{00000000-0005-0000-0000-000083000000}"/>
    <cellStyle name="Comma 3 3" xfId="393" xr:uid="{00000000-0005-0000-0000-0000E8000000}"/>
    <cellStyle name="Comma 3 3 2" xfId="680" xr:uid="{00000000-0005-0000-0000-000084000000}"/>
    <cellStyle name="Comma 4" xfId="64" xr:uid="{00000000-0005-0000-0000-0000E9000000}"/>
    <cellStyle name="Comma 4 2" xfId="394" xr:uid="{00000000-0005-0000-0000-0000EA000000}"/>
    <cellStyle name="Comma 4 2 2" xfId="625" xr:uid="{00000000-0005-0000-0000-000086000000}"/>
    <cellStyle name="Comma 4 3" xfId="624" xr:uid="{00000000-0005-0000-0000-000085000000}"/>
    <cellStyle name="Comma 4_Support June 2013" xfId="395" xr:uid="{00000000-0005-0000-0000-0000EB000000}"/>
    <cellStyle name="Comma 5" xfId="63" xr:uid="{00000000-0005-0000-0000-0000EC000000}"/>
    <cellStyle name="Comma 5 2" xfId="396" xr:uid="{00000000-0005-0000-0000-0000ED000000}"/>
    <cellStyle name="Comma 5 3" xfId="397" xr:uid="{00000000-0005-0000-0000-0000EE000000}"/>
    <cellStyle name="Comma 5 4" xfId="626" xr:uid="{00000000-0005-0000-0000-000087000000}"/>
    <cellStyle name="Comma 6" xfId="67" xr:uid="{00000000-0005-0000-0000-0000EF000000}"/>
    <cellStyle name="Comma 6 2" xfId="398" xr:uid="{00000000-0005-0000-0000-0000F0000000}"/>
    <cellStyle name="Comma 6 3" xfId="627" xr:uid="{00000000-0005-0000-0000-000088000000}"/>
    <cellStyle name="Comma 7" xfId="62" xr:uid="{00000000-0005-0000-0000-0000F1000000}"/>
    <cellStyle name="Comma 7 2" xfId="399" xr:uid="{00000000-0005-0000-0000-0000F2000000}"/>
    <cellStyle name="Comma 7 2 2" xfId="400" xr:uid="{00000000-0005-0000-0000-0000F3000000}"/>
    <cellStyle name="Comma 7 2 2 2" xfId="401" xr:uid="{00000000-0005-0000-0000-0000F4000000}"/>
    <cellStyle name="Comma 7 2 3" xfId="402" xr:uid="{00000000-0005-0000-0000-0000F5000000}"/>
    <cellStyle name="Comma 7 3" xfId="403" xr:uid="{00000000-0005-0000-0000-0000F6000000}"/>
    <cellStyle name="Comma 7 4" xfId="628" xr:uid="{00000000-0005-0000-0000-000089000000}"/>
    <cellStyle name="Comma 8" xfId="71" xr:uid="{00000000-0005-0000-0000-0000F7000000}"/>
    <cellStyle name="Comma 8 2" xfId="404" xr:uid="{00000000-0005-0000-0000-0000F8000000}"/>
    <cellStyle name="Comma 8 3" xfId="629" xr:uid="{00000000-0005-0000-0000-00008A000000}"/>
    <cellStyle name="Comma 9" xfId="73" xr:uid="{00000000-0005-0000-0000-0000F9000000}"/>
    <cellStyle name="Comma 9 2" xfId="405" xr:uid="{00000000-0005-0000-0000-0000FA000000}"/>
    <cellStyle name="Comma 9 3" xfId="630" xr:uid="{00000000-0005-0000-0000-00008B000000}"/>
    <cellStyle name="Comma_JVJED" xfId="1" xr:uid="{00000000-0005-0000-0000-0000FB000000}"/>
    <cellStyle name="Currency" xfId="562" builtinId="4"/>
    <cellStyle name="Currency 2" xfId="406" xr:uid="{00000000-0005-0000-0000-0000FD000000}"/>
    <cellStyle name="Currency 2 2" xfId="407" xr:uid="{00000000-0005-0000-0000-0000FE000000}"/>
    <cellStyle name="Currency 3" xfId="408" xr:uid="{00000000-0005-0000-0000-0000FF000000}"/>
    <cellStyle name="Currency 3 2" xfId="409" xr:uid="{00000000-0005-0000-0000-000000010000}"/>
    <cellStyle name="Currency 4" xfId="410" xr:uid="{00000000-0005-0000-0000-000001010000}"/>
    <cellStyle name="Currency 5" xfId="411" xr:uid="{00000000-0005-0000-0000-000002010000}"/>
    <cellStyle name="Currency 6" xfId="567" xr:uid="{00000000-0005-0000-0000-00007B020000}"/>
    <cellStyle name="Emphasis 1" xfId="183" xr:uid="{00000000-0005-0000-0000-000003010000}"/>
    <cellStyle name="Emphasis 2" xfId="184" xr:uid="{00000000-0005-0000-0000-000004010000}"/>
    <cellStyle name="Emphasis 3" xfId="185" xr:uid="{00000000-0005-0000-0000-000005010000}"/>
    <cellStyle name="Explanatory Text" xfId="18" builtinId="53" customBuiltin="1"/>
    <cellStyle name="Explanatory Text 2" xfId="412" xr:uid="{00000000-0005-0000-0000-000007010000}"/>
    <cellStyle name="Good" xfId="9" builtinId="26" customBuiltin="1"/>
    <cellStyle name="Good 2" xfId="186" xr:uid="{00000000-0005-0000-0000-000009010000}"/>
    <cellStyle name="Good 2 2" xfId="413" xr:uid="{00000000-0005-0000-0000-00000A010000}"/>
    <cellStyle name="Good 2_Support June 2013" xfId="414" xr:uid="{00000000-0005-0000-0000-00000B010000}"/>
    <cellStyle name="Good 3" xfId="631" xr:uid="{00000000-0005-0000-0000-000099000000}"/>
    <cellStyle name="Heading 1" xfId="5" builtinId="16" customBuiltin="1"/>
    <cellStyle name="Heading 1 2" xfId="187" xr:uid="{00000000-0005-0000-0000-00000D010000}"/>
    <cellStyle name="Heading 1 2 2" xfId="415" xr:uid="{00000000-0005-0000-0000-00000E010000}"/>
    <cellStyle name="Heading 1 2_Support June 2013" xfId="416" xr:uid="{00000000-0005-0000-0000-00000F010000}"/>
    <cellStyle name="Heading 1 3" xfId="632" xr:uid="{00000000-0005-0000-0000-00009C000000}"/>
    <cellStyle name="Heading 2" xfId="6" builtinId="17" customBuiltin="1"/>
    <cellStyle name="Heading 2 2" xfId="188" xr:uid="{00000000-0005-0000-0000-000011010000}"/>
    <cellStyle name="Heading 2 2 2" xfId="417" xr:uid="{00000000-0005-0000-0000-000012010000}"/>
    <cellStyle name="Heading 2 2_Support June 2013" xfId="418" xr:uid="{00000000-0005-0000-0000-000013010000}"/>
    <cellStyle name="Heading 2 3" xfId="633" xr:uid="{00000000-0005-0000-0000-00009F000000}"/>
    <cellStyle name="Heading 3" xfId="7" builtinId="18" customBuiltin="1"/>
    <cellStyle name="Heading 3 2" xfId="189" xr:uid="{00000000-0005-0000-0000-000015010000}"/>
    <cellStyle name="Heading 3 2 2" xfId="419" xr:uid="{00000000-0005-0000-0000-000016010000}"/>
    <cellStyle name="Heading 3 2_Support June 2013" xfId="420" xr:uid="{00000000-0005-0000-0000-000017010000}"/>
    <cellStyle name="Heading 3 3" xfId="634" xr:uid="{00000000-0005-0000-0000-0000A2000000}"/>
    <cellStyle name="Heading 4" xfId="8" builtinId="19" customBuiltin="1"/>
    <cellStyle name="Heading 4 2" xfId="190" xr:uid="{00000000-0005-0000-0000-000019010000}"/>
    <cellStyle name="Heading 4 2 2" xfId="421" xr:uid="{00000000-0005-0000-0000-00001A010000}"/>
    <cellStyle name="Heading 4 2_Support June 2013" xfId="422" xr:uid="{00000000-0005-0000-0000-00001B010000}"/>
    <cellStyle name="Heading 4 3" xfId="635" xr:uid="{00000000-0005-0000-0000-0000A5000000}"/>
    <cellStyle name="Hyperlink" xfId="706" builtinId="8"/>
    <cellStyle name="Input" xfId="12" builtinId="20" customBuiltin="1"/>
    <cellStyle name="Input 2" xfId="191" xr:uid="{00000000-0005-0000-0000-00001D010000}"/>
    <cellStyle name="Input 2 2" xfId="423" xr:uid="{00000000-0005-0000-0000-00001E010000}"/>
    <cellStyle name="Input 2_Support June 2013" xfId="424" xr:uid="{00000000-0005-0000-0000-00001F010000}"/>
    <cellStyle name="Input 3" xfId="636" xr:uid="{00000000-0005-0000-0000-0000A8000000}"/>
    <cellStyle name="Linked Cell" xfId="15" builtinId="24" customBuiltin="1"/>
    <cellStyle name="Linked Cell 2" xfId="192" xr:uid="{00000000-0005-0000-0000-000021010000}"/>
    <cellStyle name="Linked Cell 2 2" xfId="425" xr:uid="{00000000-0005-0000-0000-000022010000}"/>
    <cellStyle name="Linked Cell 2_Support June 2013" xfId="426" xr:uid="{00000000-0005-0000-0000-000023010000}"/>
    <cellStyle name="Linked Cell 3" xfId="637" xr:uid="{00000000-0005-0000-0000-0000AB000000}"/>
    <cellStyle name="Neutral" xfId="11" builtinId="28" customBuiltin="1"/>
    <cellStyle name="Neutral 2" xfId="193" xr:uid="{00000000-0005-0000-0000-000025010000}"/>
    <cellStyle name="Neutral 2 2" xfId="427" xr:uid="{00000000-0005-0000-0000-000026010000}"/>
    <cellStyle name="Neutral 2_Support June 2013" xfId="428" xr:uid="{00000000-0005-0000-0000-000027010000}"/>
    <cellStyle name="Neutral 3" xfId="638" xr:uid="{00000000-0005-0000-0000-0000AE000000}"/>
    <cellStyle name="Normal" xfId="0" builtinId="0"/>
    <cellStyle name="Normal 10" xfId="58" xr:uid="{00000000-0005-0000-0000-000029010000}"/>
    <cellStyle name="Normal 10 2" xfId="83" xr:uid="{00000000-0005-0000-0000-00002A010000}"/>
    <cellStyle name="Normal 10 2 2" xfId="681" xr:uid="{00000000-0005-0000-0000-0000B2000000}"/>
    <cellStyle name="Normal 10 3" xfId="94" xr:uid="{00000000-0005-0000-0000-00002B010000}"/>
    <cellStyle name="Normal 10 3 2" xfId="682" xr:uid="{00000000-0005-0000-0000-0000B4000000}"/>
    <cellStyle name="Normal 10 4" xfId="113" xr:uid="{00000000-0005-0000-0000-00002C010000}"/>
    <cellStyle name="Normal 10 4 2" xfId="683" xr:uid="{00000000-0005-0000-0000-0000B6000000}"/>
    <cellStyle name="Normal 10 5" xfId="677" xr:uid="{00000000-0005-0000-0000-0000B7000000}"/>
    <cellStyle name="Normal 11" xfId="66" xr:uid="{00000000-0005-0000-0000-00002D010000}"/>
    <cellStyle name="Normal 11 2" xfId="84" xr:uid="{00000000-0005-0000-0000-00002E010000}"/>
    <cellStyle name="Normal 11 2 2" xfId="685" xr:uid="{00000000-0005-0000-0000-0000BA000000}"/>
    <cellStyle name="Normal 11 3" xfId="95" xr:uid="{00000000-0005-0000-0000-00002F010000}"/>
    <cellStyle name="Normal 11 3 2" xfId="686" xr:uid="{00000000-0005-0000-0000-0000BC000000}"/>
    <cellStyle name="Normal 11 4" xfId="114" xr:uid="{00000000-0005-0000-0000-000030010000}"/>
    <cellStyle name="Normal 11 4 2" xfId="687" xr:uid="{00000000-0005-0000-0000-0000BE000000}"/>
    <cellStyle name="Normal 11 5" xfId="684" xr:uid="{00000000-0005-0000-0000-0000BF000000}"/>
    <cellStyle name="Normal 12" xfId="135" xr:uid="{00000000-0005-0000-0000-000031010000}"/>
    <cellStyle name="Normal 12 2" xfId="639" xr:uid="{00000000-0005-0000-0000-0000C0000000}"/>
    <cellStyle name="Normal 13" xfId="155" xr:uid="{00000000-0005-0000-0000-000032010000}"/>
    <cellStyle name="Normal 14" xfId="240" xr:uid="{00000000-0005-0000-0000-000033010000}"/>
    <cellStyle name="Normal 15" xfId="46" xr:uid="{00000000-0005-0000-0000-000034010000}"/>
    <cellStyle name="Normal 15 2" xfId="254" xr:uid="{00000000-0005-0000-0000-000035010000}"/>
    <cellStyle name="Normal 15 3" xfId="640" xr:uid="{00000000-0005-0000-0000-0000C3000000}"/>
    <cellStyle name="Normal 16" xfId="44" xr:uid="{00000000-0005-0000-0000-000036010000}"/>
    <cellStyle name="Normal 16 2" xfId="674" xr:uid="{00000000-0005-0000-0000-0000C4000000}"/>
    <cellStyle name="Normal 17" xfId="563" xr:uid="{00000000-0005-0000-0000-000037010000}"/>
    <cellStyle name="Normal 17 2" xfId="704" xr:uid="{00000000-0005-0000-0000-0000C5000000}"/>
    <cellStyle name="Normal 18" xfId="565" xr:uid="{00000000-0005-0000-0000-000084020000}"/>
    <cellStyle name="Normal 2" xfId="48" xr:uid="{00000000-0005-0000-0000-000038010000}"/>
    <cellStyle name="Normal 2 2" xfId="152" xr:uid="{00000000-0005-0000-0000-000039010000}"/>
    <cellStyle name="Normal 2 2 2" xfId="429" xr:uid="{00000000-0005-0000-0000-00003A010000}"/>
    <cellStyle name="Normal 2 2 2 2" xfId="688" xr:uid="{00000000-0005-0000-0000-0000C8000000}"/>
    <cellStyle name="Normal 2 2_Support June 2013" xfId="430" xr:uid="{00000000-0005-0000-0000-00003B010000}"/>
    <cellStyle name="Normal 2 3" xfId="431" xr:uid="{00000000-0005-0000-0000-00003C010000}"/>
    <cellStyle name="Normal 2 4" xfId="432" xr:uid="{00000000-0005-0000-0000-00003D010000}"/>
    <cellStyle name="Normal 2 5" xfId="433" xr:uid="{00000000-0005-0000-0000-00003E010000}"/>
    <cellStyle name="Normal 2 6" xfId="434" xr:uid="{00000000-0005-0000-0000-00003F010000}"/>
    <cellStyle name="Normal 2 7" xfId="435" xr:uid="{00000000-0005-0000-0000-000040010000}"/>
    <cellStyle name="Normal 2 8" xfId="436" xr:uid="{00000000-0005-0000-0000-000041010000}"/>
    <cellStyle name="Normal 2_Support June 2013" xfId="437" xr:uid="{00000000-0005-0000-0000-000042010000}"/>
    <cellStyle name="Normal 22" xfId="705" xr:uid="{F41EF0CE-3141-40CD-B66E-2A45E4083420}"/>
    <cellStyle name="Normal 3" xfId="117" xr:uid="{00000000-0005-0000-0000-000043010000}"/>
    <cellStyle name="Normal 3 2" xfId="438" xr:uid="{00000000-0005-0000-0000-000044010000}"/>
    <cellStyle name="Normal 3 2 2" xfId="641" xr:uid="{00000000-0005-0000-0000-0000CA000000}"/>
    <cellStyle name="Normal 3 3" xfId="439" xr:uid="{00000000-0005-0000-0000-000045010000}"/>
    <cellStyle name="Normal 3 3 2" xfId="689" xr:uid="{00000000-0005-0000-0000-0000CB000000}"/>
    <cellStyle name="Normal 3_Support June 2013" xfId="440" xr:uid="{00000000-0005-0000-0000-000046010000}"/>
    <cellStyle name="Normal 4" xfId="75" xr:uid="{00000000-0005-0000-0000-000047010000}"/>
    <cellStyle name="Normal 4 2" xfId="115" xr:uid="{00000000-0005-0000-0000-000048010000}"/>
    <cellStyle name="Normal 4 2 2" xfId="690" xr:uid="{00000000-0005-0000-0000-0000CE000000}"/>
    <cellStyle name="Normal 4 3" xfId="441" xr:uid="{00000000-0005-0000-0000-000049010000}"/>
    <cellStyle name="Normal 4 3 2" xfId="691" xr:uid="{00000000-0005-0000-0000-0000D0000000}"/>
    <cellStyle name="Normal 4 4" xfId="642" xr:uid="{00000000-0005-0000-0000-0000CC000000}"/>
    <cellStyle name="Normal 5" xfId="53" xr:uid="{00000000-0005-0000-0000-00004A010000}"/>
    <cellStyle name="Normal 5 2" xfId="78" xr:uid="{00000000-0005-0000-0000-00004B010000}"/>
    <cellStyle name="Normal 5 2 2" xfId="442" xr:uid="{00000000-0005-0000-0000-00004C010000}"/>
    <cellStyle name="Normal 5 2 2 2" xfId="443" xr:uid="{00000000-0005-0000-0000-00004D010000}"/>
    <cellStyle name="Normal 5 2 2 2 2" xfId="444" xr:uid="{00000000-0005-0000-0000-00004E010000}"/>
    <cellStyle name="Normal 5 2 2 3" xfId="445" xr:uid="{00000000-0005-0000-0000-00004F010000}"/>
    <cellStyle name="Normal 5 2 2 4" xfId="693" xr:uid="{00000000-0005-0000-0000-0000D3000000}"/>
    <cellStyle name="Normal 5 2 3" xfId="446" xr:uid="{00000000-0005-0000-0000-000050010000}"/>
    <cellStyle name="Normal 5 2 4" xfId="447" xr:uid="{00000000-0005-0000-0000-000051010000}"/>
    <cellStyle name="Normal 5 3" xfId="90" xr:uid="{00000000-0005-0000-0000-000052010000}"/>
    <cellStyle name="Normal 5 3 2" xfId="448" xr:uid="{00000000-0005-0000-0000-000053010000}"/>
    <cellStyle name="Normal 5 3 2 2" xfId="694" xr:uid="{00000000-0005-0000-0000-0000D5000000}"/>
    <cellStyle name="Normal 5 3 3" xfId="449" xr:uid="{00000000-0005-0000-0000-000054010000}"/>
    <cellStyle name="Normal 5 4" xfId="109" xr:uid="{00000000-0005-0000-0000-000055010000}"/>
    <cellStyle name="Normal 5 4 2" xfId="450" xr:uid="{00000000-0005-0000-0000-000056010000}"/>
    <cellStyle name="Normal 5 5" xfId="451" xr:uid="{00000000-0005-0000-0000-000057010000}"/>
    <cellStyle name="Normal 5 5 2" xfId="692" xr:uid="{00000000-0005-0000-0000-0000D8000000}"/>
    <cellStyle name="Normal 5_Support June 2013" xfId="452" xr:uid="{00000000-0005-0000-0000-000058010000}"/>
    <cellStyle name="Normal 6" xfId="52" xr:uid="{00000000-0005-0000-0000-000059010000}"/>
    <cellStyle name="Normal 6 2" xfId="77" xr:uid="{00000000-0005-0000-0000-00005A010000}"/>
    <cellStyle name="Normal 6 2 2" xfId="453" xr:uid="{00000000-0005-0000-0000-00005B010000}"/>
    <cellStyle name="Normal 6 2 2 2" xfId="454" xr:uid="{00000000-0005-0000-0000-00005C010000}"/>
    <cellStyle name="Normal 6 2 2 3" xfId="696" xr:uid="{00000000-0005-0000-0000-0000DB000000}"/>
    <cellStyle name="Normal 6 2 3" xfId="455" xr:uid="{00000000-0005-0000-0000-00005D010000}"/>
    <cellStyle name="Normal 6 2 4" xfId="456" xr:uid="{00000000-0005-0000-0000-00005E010000}"/>
    <cellStyle name="Normal 6 3" xfId="89" xr:uid="{00000000-0005-0000-0000-00005F010000}"/>
    <cellStyle name="Normal 6 3 2" xfId="457" xr:uid="{00000000-0005-0000-0000-000060010000}"/>
    <cellStyle name="Normal 6 3 2 2" xfId="697" xr:uid="{00000000-0005-0000-0000-0000DD000000}"/>
    <cellStyle name="Normal 6 3 3" xfId="458" xr:uid="{00000000-0005-0000-0000-000061010000}"/>
    <cellStyle name="Normal 6 4" xfId="108" xr:uid="{00000000-0005-0000-0000-000062010000}"/>
    <cellStyle name="Normal 6 4 2" xfId="459" xr:uid="{00000000-0005-0000-0000-000063010000}"/>
    <cellStyle name="Normal 6 5" xfId="460" xr:uid="{00000000-0005-0000-0000-000064010000}"/>
    <cellStyle name="Normal 6 5 2" xfId="695" xr:uid="{00000000-0005-0000-0000-0000E0000000}"/>
    <cellStyle name="Normal 6_Support June 2013" xfId="461" xr:uid="{00000000-0005-0000-0000-000065010000}"/>
    <cellStyle name="Normal 7" xfId="55" xr:uid="{00000000-0005-0000-0000-000066010000}"/>
    <cellStyle name="Normal 7 2" xfId="80" xr:uid="{00000000-0005-0000-0000-000067010000}"/>
    <cellStyle name="Normal 7 2 2" xfId="462" xr:uid="{00000000-0005-0000-0000-000068010000}"/>
    <cellStyle name="Normal 7 2 2 2" xfId="463" xr:uid="{00000000-0005-0000-0000-000069010000}"/>
    <cellStyle name="Normal 7 2 2 3" xfId="698" xr:uid="{00000000-0005-0000-0000-0000E3000000}"/>
    <cellStyle name="Normal 7 2 3" xfId="464" xr:uid="{00000000-0005-0000-0000-00006A010000}"/>
    <cellStyle name="Normal 7 2 4" xfId="465" xr:uid="{00000000-0005-0000-0000-00006B010000}"/>
    <cellStyle name="Normal 7 3" xfId="92" xr:uid="{00000000-0005-0000-0000-00006C010000}"/>
    <cellStyle name="Normal 7 3 2" xfId="466" xr:uid="{00000000-0005-0000-0000-00006D010000}"/>
    <cellStyle name="Normal 7 3 2 2" xfId="699" xr:uid="{00000000-0005-0000-0000-0000E5000000}"/>
    <cellStyle name="Normal 7 3 3" xfId="467" xr:uid="{00000000-0005-0000-0000-00006E010000}"/>
    <cellStyle name="Normal 7 4" xfId="111" xr:uid="{00000000-0005-0000-0000-00006F010000}"/>
    <cellStyle name="Normal 7 4 2" xfId="468" xr:uid="{00000000-0005-0000-0000-000070010000}"/>
    <cellStyle name="Normal 7 5" xfId="469" xr:uid="{00000000-0005-0000-0000-000071010000}"/>
    <cellStyle name="Normal 8" xfId="56" xr:uid="{00000000-0005-0000-0000-000072010000}"/>
    <cellStyle name="Normal 8 2" xfId="81" xr:uid="{00000000-0005-0000-0000-000073010000}"/>
    <cellStyle name="Normal 8 2 2" xfId="470" xr:uid="{00000000-0005-0000-0000-000074010000}"/>
    <cellStyle name="Normal 8 2 2 2" xfId="471" xr:uid="{00000000-0005-0000-0000-000075010000}"/>
    <cellStyle name="Normal 8 2 2 3" xfId="700" xr:uid="{00000000-0005-0000-0000-0000EB000000}"/>
    <cellStyle name="Normal 8 2 3" xfId="472" xr:uid="{00000000-0005-0000-0000-000076010000}"/>
    <cellStyle name="Normal 8 2 4" xfId="473" xr:uid="{00000000-0005-0000-0000-000077010000}"/>
    <cellStyle name="Normal 8 3" xfId="93" xr:uid="{00000000-0005-0000-0000-000078010000}"/>
    <cellStyle name="Normal 8 3 2" xfId="474" xr:uid="{00000000-0005-0000-0000-000079010000}"/>
    <cellStyle name="Normal 8 4" xfId="112" xr:uid="{00000000-0005-0000-0000-00007A010000}"/>
    <cellStyle name="Normal 8 4 2" xfId="701" xr:uid="{00000000-0005-0000-0000-0000EF000000}"/>
    <cellStyle name="Normal 8 5" xfId="475" xr:uid="{00000000-0005-0000-0000-00007B010000}"/>
    <cellStyle name="Normal 9" xfId="54" xr:uid="{00000000-0005-0000-0000-00007C010000}"/>
    <cellStyle name="Normal 9 2" xfId="79" xr:uid="{00000000-0005-0000-0000-00007D010000}"/>
    <cellStyle name="Normal 9 2 2" xfId="476" xr:uid="{00000000-0005-0000-0000-00007E010000}"/>
    <cellStyle name="Normal 9 2 2 2" xfId="702" xr:uid="{00000000-0005-0000-0000-0000F3000000}"/>
    <cellStyle name="Normal 9 2 3" xfId="477" xr:uid="{00000000-0005-0000-0000-00007F010000}"/>
    <cellStyle name="Normal 9 3" xfId="91" xr:uid="{00000000-0005-0000-0000-000080010000}"/>
    <cellStyle name="Normal 9 3 2" xfId="478" xr:uid="{00000000-0005-0000-0000-000081010000}"/>
    <cellStyle name="Normal 9 4" xfId="110" xr:uid="{00000000-0005-0000-0000-000082010000}"/>
    <cellStyle name="Normal 9 4 2" xfId="703" xr:uid="{00000000-0005-0000-0000-0000F7000000}"/>
    <cellStyle name="Normal 9 5" xfId="479" xr:uid="{00000000-0005-0000-0000-000083010000}"/>
    <cellStyle name="Normal_afudc" xfId="3" xr:uid="{00000000-0005-0000-0000-000084010000}"/>
    <cellStyle name="Normal_JVJED" xfId="2" xr:uid="{00000000-0005-0000-0000-000085010000}"/>
    <cellStyle name="Note 10" xfId="72" xr:uid="{00000000-0005-0000-0000-000086010000}"/>
    <cellStyle name="Note 10 2" xfId="480" xr:uid="{00000000-0005-0000-0000-000087010000}"/>
    <cellStyle name="Note 10 3" xfId="643" xr:uid="{00000000-0005-0000-0000-0000FD000000}"/>
    <cellStyle name="Note 11" xfId="76" xr:uid="{00000000-0005-0000-0000-000088010000}"/>
    <cellStyle name="Note 11 2" xfId="481" xr:uid="{00000000-0005-0000-0000-000089010000}"/>
    <cellStyle name="Note 11 3" xfId="644" xr:uid="{00000000-0005-0000-0000-0000FE000000}"/>
    <cellStyle name="Note 12" xfId="86" xr:uid="{00000000-0005-0000-0000-00008A010000}"/>
    <cellStyle name="Note 12 2" xfId="482" xr:uid="{00000000-0005-0000-0000-00008B010000}"/>
    <cellStyle name="Note 12 3" xfId="645" xr:uid="{00000000-0005-0000-0000-0000FF000000}"/>
    <cellStyle name="Note 13" xfId="85" xr:uid="{00000000-0005-0000-0000-00008C010000}"/>
    <cellStyle name="Note 13 2" xfId="483" xr:uid="{00000000-0005-0000-0000-00008D010000}"/>
    <cellStyle name="Note 13 3" xfId="646" xr:uid="{00000000-0005-0000-0000-000000010000}"/>
    <cellStyle name="Note 14" xfId="82" xr:uid="{00000000-0005-0000-0000-00008E010000}"/>
    <cellStyle name="Note 14 2" xfId="484" xr:uid="{00000000-0005-0000-0000-00008F010000}"/>
    <cellStyle name="Note 14 3" xfId="647" xr:uid="{00000000-0005-0000-0000-000001010000}"/>
    <cellStyle name="Note 15" xfId="88" xr:uid="{00000000-0005-0000-0000-000090010000}"/>
    <cellStyle name="Note 15 2" xfId="485" xr:uid="{00000000-0005-0000-0000-000091010000}"/>
    <cellStyle name="Note 15 3" xfId="648" xr:uid="{00000000-0005-0000-0000-000002010000}"/>
    <cellStyle name="Note 16" xfId="87" xr:uid="{00000000-0005-0000-0000-000092010000}"/>
    <cellStyle name="Note 16 2" xfId="486" xr:uid="{00000000-0005-0000-0000-000093010000}"/>
    <cellStyle name="Note 16 3" xfId="649" xr:uid="{00000000-0005-0000-0000-000003010000}"/>
    <cellStyle name="Note 17" xfId="104" xr:uid="{00000000-0005-0000-0000-000094010000}"/>
    <cellStyle name="Note 17 2" xfId="487" xr:uid="{00000000-0005-0000-0000-000095010000}"/>
    <cellStyle name="Note 17 3" xfId="650" xr:uid="{00000000-0005-0000-0000-000004010000}"/>
    <cellStyle name="Note 18" xfId="97" xr:uid="{00000000-0005-0000-0000-000096010000}"/>
    <cellStyle name="Note 18 2" xfId="488" xr:uid="{00000000-0005-0000-0000-000097010000}"/>
    <cellStyle name="Note 18 3" xfId="651" xr:uid="{00000000-0005-0000-0000-000005010000}"/>
    <cellStyle name="Note 18_Support June 2013" xfId="489" xr:uid="{00000000-0005-0000-0000-000098010000}"/>
    <cellStyle name="Note 19" xfId="99" xr:uid="{00000000-0005-0000-0000-000099010000}"/>
    <cellStyle name="Note 19 2" xfId="652" xr:uid="{00000000-0005-0000-0000-000006010000}"/>
    <cellStyle name="Note 2" xfId="57" xr:uid="{00000000-0005-0000-0000-00009A010000}"/>
    <cellStyle name="Note 2 2" xfId="490" xr:uid="{00000000-0005-0000-0000-00009B010000}"/>
    <cellStyle name="Note 2 3" xfId="653" xr:uid="{00000000-0005-0000-0000-000007010000}"/>
    <cellStyle name="Note 20" xfId="102" xr:uid="{00000000-0005-0000-0000-00009C010000}"/>
    <cellStyle name="Note 20 2" xfId="654" xr:uid="{00000000-0005-0000-0000-000008010000}"/>
    <cellStyle name="Note 21" xfId="98" xr:uid="{00000000-0005-0000-0000-00009D010000}"/>
    <cellStyle name="Note 21 2" xfId="655" xr:uid="{00000000-0005-0000-0000-000009010000}"/>
    <cellStyle name="Note 22" xfId="96" xr:uid="{00000000-0005-0000-0000-00009E010000}"/>
    <cellStyle name="Note 22 2" xfId="656" xr:uid="{00000000-0005-0000-0000-00000A010000}"/>
    <cellStyle name="Note 23" xfId="105" xr:uid="{00000000-0005-0000-0000-00009F010000}"/>
    <cellStyle name="Note 23 2" xfId="657" xr:uid="{00000000-0005-0000-0000-00000B010000}"/>
    <cellStyle name="Note 24" xfId="101" xr:uid="{00000000-0005-0000-0000-0000A0010000}"/>
    <cellStyle name="Note 24 2" xfId="658" xr:uid="{00000000-0005-0000-0000-00000C010000}"/>
    <cellStyle name="Note 25" xfId="107" xr:uid="{00000000-0005-0000-0000-0000A1010000}"/>
    <cellStyle name="Note 25 2" xfId="659" xr:uid="{00000000-0005-0000-0000-00000D010000}"/>
    <cellStyle name="Note 26" xfId="100" xr:uid="{00000000-0005-0000-0000-0000A2010000}"/>
    <cellStyle name="Note 26 2" xfId="660" xr:uid="{00000000-0005-0000-0000-00000E010000}"/>
    <cellStyle name="Note 27" xfId="106" xr:uid="{00000000-0005-0000-0000-0000A3010000}"/>
    <cellStyle name="Note 27 2" xfId="661" xr:uid="{00000000-0005-0000-0000-00000F010000}"/>
    <cellStyle name="Note 28" xfId="103" xr:uid="{00000000-0005-0000-0000-0000A4010000}"/>
    <cellStyle name="Note 28 2" xfId="662" xr:uid="{00000000-0005-0000-0000-000010010000}"/>
    <cellStyle name="Note 29" xfId="131" xr:uid="{00000000-0005-0000-0000-0000A5010000}"/>
    <cellStyle name="Note 3" xfId="69" xr:uid="{00000000-0005-0000-0000-0000A6010000}"/>
    <cellStyle name="Note 3 2" xfId="491" xr:uid="{00000000-0005-0000-0000-0000A7010000}"/>
    <cellStyle name="Note 3 3" xfId="663" xr:uid="{00000000-0005-0000-0000-000012010000}"/>
    <cellStyle name="Note 30" xfId="148" xr:uid="{00000000-0005-0000-0000-0000A8010000}"/>
    <cellStyle name="Note 31" xfId="153" xr:uid="{00000000-0005-0000-0000-0000A9010000}"/>
    <cellStyle name="Note 32" xfId="194" xr:uid="{00000000-0005-0000-0000-0000AA010000}"/>
    <cellStyle name="Note 33" xfId="247" xr:uid="{00000000-0005-0000-0000-0000AB010000}"/>
    <cellStyle name="Note 34" xfId="49" xr:uid="{00000000-0005-0000-0000-0000AC010000}"/>
    <cellStyle name="Note 35" xfId="492" xr:uid="{00000000-0005-0000-0000-0000AD010000}"/>
    <cellStyle name="Note 36" xfId="568" xr:uid="{00000000-0005-0000-0000-0000A5020000}"/>
    <cellStyle name="Note 4" xfId="59" xr:uid="{00000000-0005-0000-0000-0000AE010000}"/>
    <cellStyle name="Note 4 2" xfId="493" xr:uid="{00000000-0005-0000-0000-0000AF010000}"/>
    <cellStyle name="Note 4 3" xfId="664" xr:uid="{00000000-0005-0000-0000-000018010000}"/>
    <cellStyle name="Note 5" xfId="60" xr:uid="{00000000-0005-0000-0000-0000B0010000}"/>
    <cellStyle name="Note 5 2" xfId="494" xr:uid="{00000000-0005-0000-0000-0000B1010000}"/>
    <cellStyle name="Note 5 3" xfId="665" xr:uid="{00000000-0005-0000-0000-000019010000}"/>
    <cellStyle name="Note 6" xfId="68" xr:uid="{00000000-0005-0000-0000-0000B2010000}"/>
    <cellStyle name="Note 6 2" xfId="495" xr:uid="{00000000-0005-0000-0000-0000B3010000}"/>
    <cellStyle name="Note 6 3" xfId="666" xr:uid="{00000000-0005-0000-0000-00001A010000}"/>
    <cellStyle name="Note 7" xfId="61" xr:uid="{00000000-0005-0000-0000-0000B4010000}"/>
    <cellStyle name="Note 7 2" xfId="496" xr:uid="{00000000-0005-0000-0000-0000B5010000}"/>
    <cellStyle name="Note 7 3" xfId="667" xr:uid="{00000000-0005-0000-0000-00001B010000}"/>
    <cellStyle name="Note 8" xfId="65" xr:uid="{00000000-0005-0000-0000-0000B6010000}"/>
    <cellStyle name="Note 8 2" xfId="497" xr:uid="{00000000-0005-0000-0000-0000B7010000}"/>
    <cellStyle name="Note 8 3" xfId="668" xr:uid="{00000000-0005-0000-0000-00001C010000}"/>
    <cellStyle name="Note 9" xfId="70" xr:uid="{00000000-0005-0000-0000-0000B8010000}"/>
    <cellStyle name="Note 9 2" xfId="498" xr:uid="{00000000-0005-0000-0000-0000B9010000}"/>
    <cellStyle name="Note 9 3" xfId="669" xr:uid="{00000000-0005-0000-0000-00001D010000}"/>
    <cellStyle name="Output" xfId="13" builtinId="21" customBuiltin="1"/>
    <cellStyle name="Output 2" xfId="195" xr:uid="{00000000-0005-0000-0000-0000BB010000}"/>
    <cellStyle name="Output 2 2" xfId="499" xr:uid="{00000000-0005-0000-0000-0000BC010000}"/>
    <cellStyle name="Output 2_Support June 2013" xfId="500" xr:uid="{00000000-0005-0000-0000-0000BD010000}"/>
    <cellStyle name="Output 3" xfId="670" xr:uid="{00000000-0005-0000-0000-000020010000}"/>
    <cellStyle name="Percent" xfId="564" builtinId="5"/>
    <cellStyle name="Percent 2" xfId="116" xr:uid="{00000000-0005-0000-0000-0000BF010000}"/>
    <cellStyle name="Percent 2 2" xfId="501" xr:uid="{00000000-0005-0000-0000-0000C0010000}"/>
    <cellStyle name="Percent 2 2 2" xfId="502" xr:uid="{00000000-0005-0000-0000-0000C1010000}"/>
    <cellStyle name="Percent 2 2 2 2" xfId="503" xr:uid="{00000000-0005-0000-0000-0000C2010000}"/>
    <cellStyle name="Percent 2 3" xfId="504" xr:uid="{00000000-0005-0000-0000-0000C3010000}"/>
    <cellStyle name="Percent 2 3 2" xfId="505" xr:uid="{00000000-0005-0000-0000-0000C4010000}"/>
    <cellStyle name="Percent 2 4" xfId="671" xr:uid="{00000000-0005-0000-0000-000022010000}"/>
    <cellStyle name="Percent 3" xfId="132" xr:uid="{00000000-0005-0000-0000-0000C5010000}"/>
    <cellStyle name="Percent 3 2" xfId="506" xr:uid="{00000000-0005-0000-0000-0000C6010000}"/>
    <cellStyle name="Percent 4" xfId="149" xr:uid="{00000000-0005-0000-0000-0000C7010000}"/>
    <cellStyle name="Percent 4 2" xfId="507" xr:uid="{00000000-0005-0000-0000-0000C8010000}"/>
    <cellStyle name="Percent 5" xfId="154" xr:uid="{00000000-0005-0000-0000-0000C9010000}"/>
    <cellStyle name="Percent 6" xfId="50" xr:uid="{00000000-0005-0000-0000-0000CA010000}"/>
    <cellStyle name="Percent 7" xfId="508" xr:uid="{00000000-0005-0000-0000-0000CB010000}"/>
    <cellStyle name="Percent 7 2" xfId="675" xr:uid="{00000000-0005-0000-0000-000027010000}"/>
    <cellStyle name="Percent 8" xfId="581" xr:uid="{00000000-0005-0000-0000-0000C2020000}"/>
    <cellStyle name="PSChar" xfId="509" xr:uid="{00000000-0005-0000-0000-0000CC010000}"/>
    <cellStyle name="PSDate" xfId="510" xr:uid="{00000000-0005-0000-0000-0000CD010000}"/>
    <cellStyle name="PSDec" xfId="511" xr:uid="{00000000-0005-0000-0000-0000CE010000}"/>
    <cellStyle name="PSHeading" xfId="512" xr:uid="{00000000-0005-0000-0000-0000CF010000}"/>
    <cellStyle name="PSInt" xfId="513" xr:uid="{00000000-0005-0000-0000-0000D0010000}"/>
    <cellStyle name="PSSpacer" xfId="514" xr:uid="{00000000-0005-0000-0000-0000D1010000}"/>
    <cellStyle name="SAPBEXaggData" xfId="196" xr:uid="{00000000-0005-0000-0000-0000D2010000}"/>
    <cellStyle name="SAPBEXaggDataEmph" xfId="197" xr:uid="{00000000-0005-0000-0000-0000D3010000}"/>
    <cellStyle name="SAPBEXaggItem" xfId="198" xr:uid="{00000000-0005-0000-0000-0000D4010000}"/>
    <cellStyle name="SAPBEXaggItemX" xfId="199" xr:uid="{00000000-0005-0000-0000-0000D5010000}"/>
    <cellStyle name="SAPBEXchaText" xfId="200" xr:uid="{00000000-0005-0000-0000-0000D6010000}"/>
    <cellStyle name="SAPBEXexcBad7" xfId="201" xr:uid="{00000000-0005-0000-0000-0000D7010000}"/>
    <cellStyle name="SAPBEXexcBad8" xfId="202" xr:uid="{00000000-0005-0000-0000-0000D8010000}"/>
    <cellStyle name="SAPBEXexcBad9" xfId="203" xr:uid="{00000000-0005-0000-0000-0000D9010000}"/>
    <cellStyle name="SAPBEXexcCritical4" xfId="204" xr:uid="{00000000-0005-0000-0000-0000DA010000}"/>
    <cellStyle name="SAPBEXexcCritical5" xfId="205" xr:uid="{00000000-0005-0000-0000-0000DB010000}"/>
    <cellStyle name="SAPBEXexcCritical6" xfId="206" xr:uid="{00000000-0005-0000-0000-0000DC010000}"/>
    <cellStyle name="SAPBEXexcGood1" xfId="207" xr:uid="{00000000-0005-0000-0000-0000DD010000}"/>
    <cellStyle name="SAPBEXexcGood2" xfId="208" xr:uid="{00000000-0005-0000-0000-0000DE010000}"/>
    <cellStyle name="SAPBEXexcGood3" xfId="209" xr:uid="{00000000-0005-0000-0000-0000DF010000}"/>
    <cellStyle name="SAPBEXfilterDrill" xfId="210" xr:uid="{00000000-0005-0000-0000-0000E0010000}"/>
    <cellStyle name="SAPBEXfilterItem" xfId="211" xr:uid="{00000000-0005-0000-0000-0000E1010000}"/>
    <cellStyle name="SAPBEXfilterItem 2" xfId="515" xr:uid="{00000000-0005-0000-0000-0000E2010000}"/>
    <cellStyle name="SAPBEXfilterText" xfId="212" xr:uid="{00000000-0005-0000-0000-0000E3010000}"/>
    <cellStyle name="SAPBEXfilterText 2" xfId="516" xr:uid="{00000000-0005-0000-0000-0000E4010000}"/>
    <cellStyle name="SAPBEXformats" xfId="213" xr:uid="{00000000-0005-0000-0000-0000E5010000}"/>
    <cellStyle name="SAPBEXheaderItem" xfId="214" xr:uid="{00000000-0005-0000-0000-0000E6010000}"/>
    <cellStyle name="SAPBEXheaderText" xfId="215" xr:uid="{00000000-0005-0000-0000-0000E7010000}"/>
    <cellStyle name="SAPBEXHLevel0" xfId="216" xr:uid="{00000000-0005-0000-0000-0000E8010000}"/>
    <cellStyle name="SAPBEXHLevel0X" xfId="217" xr:uid="{00000000-0005-0000-0000-0000E9010000}"/>
    <cellStyle name="SAPBEXHLevel0X 2" xfId="248" xr:uid="{00000000-0005-0000-0000-0000EA010000}"/>
    <cellStyle name="SAPBEXHLevel0X 3" xfId="517" xr:uid="{00000000-0005-0000-0000-0000EB010000}"/>
    <cellStyle name="SAPBEXHLevel0X 3 2" xfId="518" xr:uid="{00000000-0005-0000-0000-0000EC010000}"/>
    <cellStyle name="SAPBEXHLevel0X 4" xfId="519" xr:uid="{00000000-0005-0000-0000-0000ED010000}"/>
    <cellStyle name="SAPBEXHLevel0X 4 2" xfId="520" xr:uid="{00000000-0005-0000-0000-0000EE010000}"/>
    <cellStyle name="SAPBEXHLevel0X 5" xfId="521" xr:uid="{00000000-0005-0000-0000-0000EF010000}"/>
    <cellStyle name="SAPBEXHLevel0X 5 2" xfId="522" xr:uid="{00000000-0005-0000-0000-0000F0010000}"/>
    <cellStyle name="SAPBEXHLevel0X 6" xfId="523" xr:uid="{00000000-0005-0000-0000-0000F1010000}"/>
    <cellStyle name="SAPBEXHLevel0X 7" xfId="524" xr:uid="{00000000-0005-0000-0000-0000F2010000}"/>
    <cellStyle name="SAPBEXHLevel1" xfId="218" xr:uid="{00000000-0005-0000-0000-0000F3010000}"/>
    <cellStyle name="SAPBEXHLevel1X" xfId="219" xr:uid="{00000000-0005-0000-0000-0000F4010000}"/>
    <cellStyle name="SAPBEXHLevel1X 2" xfId="249" xr:uid="{00000000-0005-0000-0000-0000F5010000}"/>
    <cellStyle name="SAPBEXHLevel1X 3" xfId="525" xr:uid="{00000000-0005-0000-0000-0000F6010000}"/>
    <cellStyle name="SAPBEXHLevel1X 3 2" xfId="526" xr:uid="{00000000-0005-0000-0000-0000F7010000}"/>
    <cellStyle name="SAPBEXHLevel1X 4" xfId="527" xr:uid="{00000000-0005-0000-0000-0000F8010000}"/>
    <cellStyle name="SAPBEXHLevel1X 4 2" xfId="528" xr:uid="{00000000-0005-0000-0000-0000F9010000}"/>
    <cellStyle name="SAPBEXHLevel1X 5" xfId="529" xr:uid="{00000000-0005-0000-0000-0000FA010000}"/>
    <cellStyle name="SAPBEXHLevel1X 5 2" xfId="530" xr:uid="{00000000-0005-0000-0000-0000FB010000}"/>
    <cellStyle name="SAPBEXHLevel1X 6" xfId="531" xr:uid="{00000000-0005-0000-0000-0000FC010000}"/>
    <cellStyle name="SAPBEXHLevel1X 7" xfId="532" xr:uid="{00000000-0005-0000-0000-0000FD010000}"/>
    <cellStyle name="SAPBEXHLevel2" xfId="220" xr:uid="{00000000-0005-0000-0000-0000FE010000}"/>
    <cellStyle name="SAPBEXHLevel2X" xfId="221" xr:uid="{00000000-0005-0000-0000-0000FF010000}"/>
    <cellStyle name="SAPBEXHLevel2X 2" xfId="250" xr:uid="{00000000-0005-0000-0000-000000020000}"/>
    <cellStyle name="SAPBEXHLevel2X 3" xfId="533" xr:uid="{00000000-0005-0000-0000-000001020000}"/>
    <cellStyle name="SAPBEXHLevel2X 3 2" xfId="534" xr:uid="{00000000-0005-0000-0000-000002020000}"/>
    <cellStyle name="SAPBEXHLevel2X 4" xfId="535" xr:uid="{00000000-0005-0000-0000-000003020000}"/>
    <cellStyle name="SAPBEXHLevel2X 4 2" xfId="536" xr:uid="{00000000-0005-0000-0000-000004020000}"/>
    <cellStyle name="SAPBEXHLevel2X 5" xfId="537" xr:uid="{00000000-0005-0000-0000-000005020000}"/>
    <cellStyle name="SAPBEXHLevel2X 5 2" xfId="538" xr:uid="{00000000-0005-0000-0000-000006020000}"/>
    <cellStyle name="SAPBEXHLevel2X 6" xfId="539" xr:uid="{00000000-0005-0000-0000-000007020000}"/>
    <cellStyle name="SAPBEXHLevel2X 7" xfId="540" xr:uid="{00000000-0005-0000-0000-000008020000}"/>
    <cellStyle name="SAPBEXHLevel3" xfId="222" xr:uid="{00000000-0005-0000-0000-000009020000}"/>
    <cellStyle name="SAPBEXHLevel3X" xfId="223" xr:uid="{00000000-0005-0000-0000-00000A020000}"/>
    <cellStyle name="SAPBEXHLevel3X 2" xfId="251" xr:uid="{00000000-0005-0000-0000-00000B020000}"/>
    <cellStyle name="SAPBEXHLevel3X 3" xfId="541" xr:uid="{00000000-0005-0000-0000-00000C020000}"/>
    <cellStyle name="SAPBEXHLevel3X 3 2" xfId="542" xr:uid="{00000000-0005-0000-0000-00000D020000}"/>
    <cellStyle name="SAPBEXHLevel3X 4" xfId="543" xr:uid="{00000000-0005-0000-0000-00000E020000}"/>
    <cellStyle name="SAPBEXHLevel3X 4 2" xfId="544" xr:uid="{00000000-0005-0000-0000-00000F020000}"/>
    <cellStyle name="SAPBEXHLevel3X 5" xfId="545" xr:uid="{00000000-0005-0000-0000-000010020000}"/>
    <cellStyle name="SAPBEXHLevel3X 5 2" xfId="546" xr:uid="{00000000-0005-0000-0000-000011020000}"/>
    <cellStyle name="SAPBEXHLevel3X 6" xfId="547" xr:uid="{00000000-0005-0000-0000-000012020000}"/>
    <cellStyle name="SAPBEXHLevel3X 7" xfId="548" xr:uid="{00000000-0005-0000-0000-000013020000}"/>
    <cellStyle name="SAPBEXinputData" xfId="224" xr:uid="{00000000-0005-0000-0000-000014020000}"/>
    <cellStyle name="SAPBEXinputData 2" xfId="252" xr:uid="{00000000-0005-0000-0000-000015020000}"/>
    <cellStyle name="SAPBEXinputData 3" xfId="549" xr:uid="{00000000-0005-0000-0000-000016020000}"/>
    <cellStyle name="SAPBEXinputData 3 2" xfId="550" xr:uid="{00000000-0005-0000-0000-000017020000}"/>
    <cellStyle name="SAPBEXinputData 4" xfId="551" xr:uid="{00000000-0005-0000-0000-000018020000}"/>
    <cellStyle name="SAPBEXinputData 4 2" xfId="552" xr:uid="{00000000-0005-0000-0000-000019020000}"/>
    <cellStyle name="SAPBEXinputData 5" xfId="553" xr:uid="{00000000-0005-0000-0000-00001A020000}"/>
    <cellStyle name="SAPBEXinputData 5 2" xfId="554" xr:uid="{00000000-0005-0000-0000-00001B020000}"/>
    <cellStyle name="SAPBEXinputData 6" xfId="555" xr:uid="{00000000-0005-0000-0000-00001C020000}"/>
    <cellStyle name="SAPBEXinputData 7" xfId="556" xr:uid="{00000000-0005-0000-0000-00001D020000}"/>
    <cellStyle name="SAPBEXItemHeader" xfId="225" xr:uid="{00000000-0005-0000-0000-00001E020000}"/>
    <cellStyle name="SAPBEXresData" xfId="226" xr:uid="{00000000-0005-0000-0000-00001F020000}"/>
    <cellStyle name="SAPBEXresDataEmph" xfId="227" xr:uid="{00000000-0005-0000-0000-000020020000}"/>
    <cellStyle name="SAPBEXresItem" xfId="228" xr:uid="{00000000-0005-0000-0000-000021020000}"/>
    <cellStyle name="SAPBEXresItemX" xfId="229" xr:uid="{00000000-0005-0000-0000-000022020000}"/>
    <cellStyle name="SAPBEXstdData" xfId="230" xr:uid="{00000000-0005-0000-0000-000023020000}"/>
    <cellStyle name="SAPBEXstdDataEmph" xfId="231" xr:uid="{00000000-0005-0000-0000-000024020000}"/>
    <cellStyle name="SAPBEXstdItem" xfId="232" xr:uid="{00000000-0005-0000-0000-000025020000}"/>
    <cellStyle name="SAPBEXstdItemX" xfId="233" xr:uid="{00000000-0005-0000-0000-000026020000}"/>
    <cellStyle name="SAPBEXtitle" xfId="234" xr:uid="{00000000-0005-0000-0000-000027020000}"/>
    <cellStyle name="SAPBEXunassignedItem" xfId="235" xr:uid="{00000000-0005-0000-0000-000028020000}"/>
    <cellStyle name="SAPBEXundefined" xfId="236" xr:uid="{00000000-0005-0000-0000-000029020000}"/>
    <cellStyle name="Sheet Title" xfId="237" xr:uid="{00000000-0005-0000-0000-00002A020000}"/>
    <cellStyle name="Title" xfId="4" builtinId="15" customBuiltin="1"/>
    <cellStyle name="Title 2" xfId="557" xr:uid="{00000000-0005-0000-0000-00002C020000}"/>
    <cellStyle name="Total" xfId="19" builtinId="25" customBuiltin="1"/>
    <cellStyle name="Total 2" xfId="238" xr:uid="{00000000-0005-0000-0000-00002E020000}"/>
    <cellStyle name="Total 2 2" xfId="558" xr:uid="{00000000-0005-0000-0000-00002F020000}"/>
    <cellStyle name="Total 2_Support June 2013" xfId="559" xr:uid="{00000000-0005-0000-0000-000030020000}"/>
    <cellStyle name="Total 3" xfId="672" xr:uid="{00000000-0005-0000-0000-00005C010000}"/>
    <cellStyle name="Warning Text" xfId="17" builtinId="11" customBuiltin="1"/>
    <cellStyle name="Warning Text 2" xfId="239" xr:uid="{00000000-0005-0000-0000-000032020000}"/>
    <cellStyle name="Warning Text 2 2" xfId="560" xr:uid="{00000000-0005-0000-0000-000033020000}"/>
    <cellStyle name="Warning Text 2_Support June 2013" xfId="561" xr:uid="{00000000-0005-0000-0000-000034020000}"/>
    <cellStyle name="Warning Text 3" xfId="673" xr:uid="{00000000-0005-0000-0000-00005F010000}"/>
  </cellStyles>
  <dxfs count="1">
    <dxf>
      <font>
        <color rgb="FF9C0006"/>
      </font>
      <fill>
        <patternFill>
          <bgColor rgb="FFFFC7CE"/>
        </patternFill>
      </fill>
    </dxf>
  </dxfs>
  <tableStyles count="0" defaultTableStyle="TableStyleMedium9"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34289</xdr:colOff>
      <xdr:row>3</xdr:row>
      <xdr:rowOff>58554</xdr:rowOff>
    </xdr:from>
    <xdr:to>
      <xdr:col>9</xdr:col>
      <xdr:colOff>541513</xdr:colOff>
      <xdr:row>22</xdr:row>
      <xdr:rowOff>49530</xdr:rowOff>
    </xdr:to>
    <xdr:pic>
      <xdr:nvPicPr>
        <xdr:cNvPr id="4" name="Picture 3">
          <a:extLst>
            <a:ext uri="{FF2B5EF4-FFF2-40B4-BE49-F238E27FC236}">
              <a16:creationId xmlns:a16="http://schemas.microsoft.com/office/drawing/2014/main" id="{750C022F-9895-4A49-9ED1-A1081FF2DE8A}"/>
            </a:ext>
          </a:extLst>
        </xdr:cNvPr>
        <xdr:cNvPicPr>
          <a:picLocks noChangeAspect="1"/>
        </xdr:cNvPicPr>
      </xdr:nvPicPr>
      <xdr:blipFill>
        <a:blip xmlns:r="http://schemas.openxmlformats.org/officeDocument/2006/relationships" r:embed="rId1"/>
        <a:stretch>
          <a:fillRect/>
        </a:stretch>
      </xdr:blipFill>
      <xdr:spPr>
        <a:xfrm>
          <a:off x="281939" y="696729"/>
          <a:ext cx="6296519" cy="46658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36</xdr:col>
      <xdr:colOff>292099</xdr:colOff>
      <xdr:row>88</xdr:row>
      <xdr:rowOff>29851</xdr:rowOff>
    </xdr:from>
    <xdr:to>
      <xdr:col>41</xdr:col>
      <xdr:colOff>18304</xdr:colOff>
      <xdr:row>111</xdr:row>
      <xdr:rowOff>15918</xdr:rowOff>
    </xdr:to>
    <xdr:pic>
      <xdr:nvPicPr>
        <xdr:cNvPr id="3" name="Picture 2">
          <a:extLst>
            <a:ext uri="{FF2B5EF4-FFF2-40B4-BE49-F238E27FC236}">
              <a16:creationId xmlns:a16="http://schemas.microsoft.com/office/drawing/2014/main" id="{AF28CFD9-571A-456E-B386-A4499951D5F2}"/>
            </a:ext>
          </a:extLst>
        </xdr:cNvPr>
        <xdr:cNvPicPr>
          <a:picLocks noChangeAspect="1"/>
        </xdr:cNvPicPr>
      </xdr:nvPicPr>
      <xdr:blipFill>
        <a:blip xmlns:r="http://schemas.openxmlformats.org/officeDocument/2006/relationships" r:embed="rId1"/>
        <a:stretch>
          <a:fillRect/>
        </a:stretch>
      </xdr:blipFill>
      <xdr:spPr>
        <a:xfrm>
          <a:off x="34531299" y="14412601"/>
          <a:ext cx="6177623" cy="3824006"/>
        </a:xfrm>
        <a:prstGeom prst="rect">
          <a:avLst/>
        </a:prstGeom>
      </xdr:spPr>
    </xdr:pic>
    <xdr:clientData/>
  </xdr:twoCellAnchor>
  <xdr:twoCellAnchor editAs="oneCell">
    <xdr:from>
      <xdr:col>19</xdr:col>
      <xdr:colOff>771796</xdr:colOff>
      <xdr:row>87</xdr:row>
      <xdr:rowOff>17415</xdr:rowOff>
    </xdr:from>
    <xdr:to>
      <xdr:col>25</xdr:col>
      <xdr:colOff>1199333</xdr:colOff>
      <xdr:row>113</xdr:row>
      <xdr:rowOff>130272</xdr:rowOff>
    </xdr:to>
    <xdr:pic>
      <xdr:nvPicPr>
        <xdr:cNvPr id="5" name="Picture 4">
          <a:extLst>
            <a:ext uri="{FF2B5EF4-FFF2-40B4-BE49-F238E27FC236}">
              <a16:creationId xmlns:a16="http://schemas.microsoft.com/office/drawing/2014/main" id="{2EE2AE2F-4959-43CE-B175-153CE0AF3716}"/>
            </a:ext>
          </a:extLst>
        </xdr:cNvPr>
        <xdr:cNvPicPr>
          <a:picLocks noChangeAspect="1"/>
        </xdr:cNvPicPr>
      </xdr:nvPicPr>
      <xdr:blipFill>
        <a:blip xmlns:r="http://schemas.openxmlformats.org/officeDocument/2006/relationships" r:embed="rId2"/>
        <a:stretch>
          <a:fillRect/>
        </a:stretch>
      </xdr:blipFill>
      <xdr:spPr>
        <a:xfrm>
          <a:off x="20624617" y="15910558"/>
          <a:ext cx="7612109" cy="4712071"/>
        </a:xfrm>
        <a:prstGeom prst="rect">
          <a:avLst/>
        </a:prstGeom>
      </xdr:spPr>
    </xdr:pic>
    <xdr:clientData/>
  </xdr:twoCellAnchor>
  <xdr:twoCellAnchor>
    <xdr:from>
      <xdr:col>21</xdr:col>
      <xdr:colOff>40821</xdr:colOff>
      <xdr:row>81</xdr:row>
      <xdr:rowOff>81643</xdr:rowOff>
    </xdr:from>
    <xdr:to>
      <xdr:col>21</xdr:col>
      <xdr:colOff>596809</xdr:colOff>
      <xdr:row>81</xdr:row>
      <xdr:rowOff>106953</xdr:rowOff>
    </xdr:to>
    <xdr:cxnSp macro="">
      <xdr:nvCxnSpPr>
        <xdr:cNvPr id="7" name="Straight Arrow Connector 6">
          <a:extLst>
            <a:ext uri="{FF2B5EF4-FFF2-40B4-BE49-F238E27FC236}">
              <a16:creationId xmlns:a16="http://schemas.microsoft.com/office/drawing/2014/main" id="{3DFC9158-7F9E-4D45-A33E-9D5C11647DEA}"/>
            </a:ext>
          </a:extLst>
        </xdr:cNvPr>
        <xdr:cNvCxnSpPr/>
      </xdr:nvCxnSpPr>
      <xdr:spPr>
        <a:xfrm>
          <a:off x="22764750" y="14913429"/>
          <a:ext cx="555988" cy="2531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40821</xdr:colOff>
      <xdr:row>84</xdr:row>
      <xdr:rowOff>81643</xdr:rowOff>
    </xdr:from>
    <xdr:to>
      <xdr:col>20</xdr:col>
      <xdr:colOff>748393</xdr:colOff>
      <xdr:row>87</xdr:row>
      <xdr:rowOff>27214</xdr:rowOff>
    </xdr:to>
    <xdr:cxnSp macro="">
      <xdr:nvCxnSpPr>
        <xdr:cNvPr id="10" name="Straight Arrow Connector 9">
          <a:extLst>
            <a:ext uri="{FF2B5EF4-FFF2-40B4-BE49-F238E27FC236}">
              <a16:creationId xmlns:a16="http://schemas.microsoft.com/office/drawing/2014/main" id="{E4784928-F8B9-4203-97A3-B68E14F204EE}"/>
            </a:ext>
          </a:extLst>
        </xdr:cNvPr>
        <xdr:cNvCxnSpPr/>
      </xdr:nvCxnSpPr>
      <xdr:spPr>
        <a:xfrm>
          <a:off x="21349607" y="15444107"/>
          <a:ext cx="707572" cy="4762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1292679</xdr:colOff>
      <xdr:row>89</xdr:row>
      <xdr:rowOff>95250</xdr:rowOff>
    </xdr:from>
    <xdr:to>
      <xdr:col>16</xdr:col>
      <xdr:colOff>1306286</xdr:colOff>
      <xdr:row>92</xdr:row>
      <xdr:rowOff>27214</xdr:rowOff>
    </xdr:to>
    <xdr:cxnSp macro="">
      <xdr:nvCxnSpPr>
        <xdr:cNvPr id="12" name="Straight Arrow Connector 11">
          <a:extLst>
            <a:ext uri="{FF2B5EF4-FFF2-40B4-BE49-F238E27FC236}">
              <a16:creationId xmlns:a16="http://schemas.microsoft.com/office/drawing/2014/main" id="{E0FDEB54-102D-464A-A69F-5803A1249EDF}"/>
            </a:ext>
          </a:extLst>
        </xdr:cNvPr>
        <xdr:cNvCxnSpPr/>
      </xdr:nvCxnSpPr>
      <xdr:spPr>
        <a:xfrm>
          <a:off x="17512393" y="16342179"/>
          <a:ext cx="13607" cy="462642"/>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JV'S/DEC_JV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epartments.nwnatural.com/Bank%20Recons/2009/03.2009/Bank%2051%20Recon%200309.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excel/Payroll%20Overhead/proll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departments.nwnatural.com/Documents%20and%20Settings/kba/Local%20Settings/Temporary%20Internet%20Files/OLKB8/PTO%20accrual%20ra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epartments.nwnatural.com/Documents%20and%20Settings/blv/Desktop/in%20progress/2006PurLog.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XXXX-NWN-Exh-KTW-4-Walker-WP15-12-18-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Y"/>
      <sheetName val="OH DISTB"/>
      <sheetName val="JV 92"/>
      <sheetName val="ESTIMATE"/>
      <sheetName val="DEPR"/>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Rec"/>
      <sheetName val="Bank Rec 0309"/>
      <sheetName val="Mar B. Statement"/>
      <sheetName val="Mar GL"/>
      <sheetName val="Checks not In BS"/>
      <sheetName val="Mar Check Register"/>
      <sheetName val="FEB GL"/>
      <sheetName val="FEB BK Statement"/>
      <sheetName val="Feb Check Register"/>
      <sheetName val="Recon pg2"/>
      <sheetName val="Recon pg1"/>
      <sheetName val="Bank Rec 0209"/>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2.32 ANALYSIS"/>
      <sheetName val="WORKSHEET"/>
      <sheetName val="MAI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Officers"/>
      <sheetName val="Exempt"/>
      <sheetName val="Office"/>
      <sheetName val="Field"/>
    </sheetNames>
    <sheetDataSet>
      <sheetData sheetId="0" refreshError="1"/>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intenance Detail"/>
      <sheetName val="Groups"/>
      <sheetName val="Dell Leases-Current"/>
      <sheetName val="Discontinued Maint."/>
      <sheetName val="Dues, Subs, Books"/>
      <sheetName val="Contracts_T&amp;Cs"/>
    </sheetNames>
    <sheetDataSet>
      <sheetData sheetId="0"/>
      <sheetData sheetId="1"/>
      <sheetData sheetId="2">
        <row r="1">
          <cell r="E1" t="str">
            <v>Construction Operation Services</v>
          </cell>
        </row>
        <row r="2">
          <cell r="E2" t="str">
            <v>Customer Acquisition Systems</v>
          </cell>
        </row>
        <row r="3">
          <cell r="E3" t="str">
            <v>Customer Field Services</v>
          </cell>
        </row>
        <row r="4">
          <cell r="E4" t="str">
            <v>Customer Information Systems</v>
          </cell>
        </row>
        <row r="5">
          <cell r="E5" t="str">
            <v>e-Commerce Site &amp; Intranet</v>
          </cell>
        </row>
        <row r="6">
          <cell r="E6" t="str">
            <v>Engineering Systems</v>
          </cell>
        </row>
        <row r="7">
          <cell r="E7" t="str">
            <v>Finance, Acctg, Info Mgmt &amp; Procurement</v>
          </cell>
        </row>
        <row r="8">
          <cell r="E8" t="str">
            <v>Gas Supply Systems</v>
          </cell>
        </row>
        <row r="9">
          <cell r="E9" t="str">
            <v>Grand Total</v>
          </cell>
        </row>
        <row r="10">
          <cell r="E10" t="str">
            <v>Human Resources and Payroll</v>
          </cell>
        </row>
        <row r="11">
          <cell r="E11" t="str">
            <v>Personal Office Technology</v>
          </cell>
        </row>
        <row r="12">
          <cell r="E12" t="str">
            <v>Other</v>
          </cell>
        </row>
        <row r="13">
          <cell r="E13" t="str">
            <v>Reporting and Other Areas</v>
          </cell>
        </row>
        <row r="14">
          <cell r="E14" t="str">
            <v>Sarbanes Oxley Compliance</v>
          </cell>
        </row>
        <row r="15">
          <cell r="E15" t="str">
            <v xml:space="preserve">  Allocate-DB</v>
          </cell>
        </row>
        <row r="16">
          <cell r="E16" t="str">
            <v xml:space="preserve">  Allocate-General Admin</v>
          </cell>
        </row>
        <row r="17">
          <cell r="E17" t="str">
            <v xml:space="preserve">  Allocate-iSeries</v>
          </cell>
        </row>
        <row r="18">
          <cell r="E18" t="str">
            <v xml:space="preserve">  Allocate-Network</v>
          </cell>
        </row>
        <row r="19">
          <cell r="E19" t="str">
            <v xml:space="preserve">  Allocate-NT</v>
          </cell>
        </row>
        <row r="20">
          <cell r="E20" t="str">
            <v xml:space="preserve">  Allocate-Platform General</v>
          </cell>
        </row>
      </sheetData>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port"/>
      <sheetName val="SAP Detail Review"/>
      <sheetName val="Vlookup "/>
    </sheetNames>
    <sheetDataSet>
      <sheetData sheetId="0"/>
      <sheetData sheetId="1">
        <row r="7">
          <cell r="I7">
            <v>-264490.42999999988</v>
          </cell>
        </row>
        <row r="8">
          <cell r="I8">
            <v>412416.52999999933</v>
          </cell>
        </row>
        <row r="9">
          <cell r="I9">
            <v>87233.299999999901</v>
          </cell>
        </row>
        <row r="10">
          <cell r="I10">
            <v>13432.219999999739</v>
          </cell>
        </row>
        <row r="11">
          <cell r="I11">
            <v>-14762.099999999977</v>
          </cell>
        </row>
        <row r="12">
          <cell r="I12">
            <v>257958.05999999997</v>
          </cell>
        </row>
        <row r="15">
          <cell r="I15">
            <v>0.01</v>
          </cell>
        </row>
        <row r="16">
          <cell r="I16">
            <v>5.8207660913467407E-11</v>
          </cell>
        </row>
        <row r="17">
          <cell r="I17">
            <v>1796959.23</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Q4"/>
  <sheetViews>
    <sheetView tabSelected="1" workbookViewId="0">
      <pane xSplit="13" ySplit="21" topLeftCell="N22" activePane="bottomRight" state="frozen"/>
      <selection pane="topRight" activeCell="N1" sqref="N1"/>
      <selection pane="bottomLeft" activeCell="A22" sqref="A22"/>
      <selection pane="bottomRight"/>
    </sheetView>
  </sheetViews>
  <sheetFormatPr defaultRowHeight="12.75" x14ac:dyDescent="0.2"/>
  <cols>
    <col min="7" max="7" width="19.5703125" bestFit="1" customWidth="1"/>
    <col min="10" max="10" width="15.7109375" style="23" customWidth="1"/>
    <col min="13" max="13" width="7.28515625" customWidth="1"/>
    <col min="14" max="14" width="11.5703125" customWidth="1"/>
    <col min="15" max="15" width="35.7109375" customWidth="1"/>
  </cols>
  <sheetData>
    <row r="1" spans="1:17" x14ac:dyDescent="0.2">
      <c r="A1">
        <v>5000</v>
      </c>
      <c r="B1" t="s">
        <v>1</v>
      </c>
      <c r="C1">
        <v>9302020</v>
      </c>
      <c r="D1">
        <v>9302020</v>
      </c>
      <c r="E1" t="s">
        <v>0</v>
      </c>
      <c r="F1" t="s">
        <v>51</v>
      </c>
      <c r="G1" t="s">
        <v>148</v>
      </c>
      <c r="H1">
        <v>184000</v>
      </c>
      <c r="I1" t="s">
        <v>36</v>
      </c>
      <c r="J1" s="23">
        <v>1075958.5500000003</v>
      </c>
      <c r="K1">
        <v>0</v>
      </c>
      <c r="P1" t="s">
        <v>43</v>
      </c>
      <c r="Q1" t="s">
        <v>148</v>
      </c>
    </row>
    <row r="2" spans="1:17" x14ac:dyDescent="0.2">
      <c r="A2">
        <v>5000</v>
      </c>
      <c r="B2" t="s">
        <v>1</v>
      </c>
      <c r="C2">
        <v>9302020</v>
      </c>
      <c r="D2">
        <v>9302020</v>
      </c>
      <c r="E2" t="s">
        <v>0</v>
      </c>
      <c r="F2" t="s">
        <v>51</v>
      </c>
      <c r="G2" t="s">
        <v>148</v>
      </c>
      <c r="H2">
        <v>505400</v>
      </c>
      <c r="I2" t="s">
        <v>37</v>
      </c>
      <c r="J2" s="23">
        <v>1075958.5500000003</v>
      </c>
      <c r="K2">
        <v>0</v>
      </c>
      <c r="M2">
        <v>86600</v>
      </c>
      <c r="N2" t="s">
        <v>52</v>
      </c>
      <c r="P2" t="s">
        <v>43</v>
      </c>
      <c r="Q2" t="s">
        <v>148</v>
      </c>
    </row>
    <row r="3" spans="1:17" x14ac:dyDescent="0.2">
      <c r="A3">
        <v>5000</v>
      </c>
      <c r="B3" t="s">
        <v>1</v>
      </c>
      <c r="C3">
        <v>9302020</v>
      </c>
      <c r="D3">
        <v>9302020</v>
      </c>
      <c r="E3" t="s">
        <v>0</v>
      </c>
      <c r="F3" t="s">
        <v>51</v>
      </c>
      <c r="G3" t="s">
        <v>148</v>
      </c>
      <c r="H3">
        <v>501003</v>
      </c>
      <c r="I3" t="s">
        <v>36</v>
      </c>
      <c r="J3" s="23">
        <v>246508.21999999997</v>
      </c>
      <c r="K3">
        <v>0</v>
      </c>
      <c r="O3" t="s">
        <v>208</v>
      </c>
      <c r="Q3" t="s">
        <v>223</v>
      </c>
    </row>
    <row r="4" spans="1:17" x14ac:dyDescent="0.2">
      <c r="A4">
        <v>5000</v>
      </c>
      <c r="B4" t="s">
        <v>1</v>
      </c>
      <c r="C4">
        <v>9302020</v>
      </c>
      <c r="D4">
        <v>9302020</v>
      </c>
      <c r="E4" t="s">
        <v>0</v>
      </c>
      <c r="F4" t="s">
        <v>51</v>
      </c>
      <c r="G4" t="s">
        <v>148</v>
      </c>
      <c r="H4">
        <v>505400</v>
      </c>
      <c r="I4" t="s">
        <v>37</v>
      </c>
      <c r="J4" s="23">
        <v>246508.21999999997</v>
      </c>
      <c r="K4">
        <v>0</v>
      </c>
      <c r="M4">
        <v>86600</v>
      </c>
      <c r="N4" t="s">
        <v>222</v>
      </c>
      <c r="Q4" t="s">
        <v>223</v>
      </c>
    </row>
  </sheetData>
  <phoneticPr fontId="16" type="noConversion"/>
  <pageMargins left="0.5" right="0.5" top="0.75" bottom="0.75" header="0.5" footer="0.5"/>
  <pageSetup scale="57" fitToHeight="0" orientation="landscape" r:id="rId1"/>
  <headerFooter alignWithMargins="0">
    <oddHeader>&amp;RExh. KTW-4 Walker WP14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79998168889431442"/>
    <pageSetUpPr fitToPage="1"/>
  </sheetPr>
  <dimension ref="A1:V38"/>
  <sheetViews>
    <sheetView topLeftCell="A5" workbookViewId="0">
      <selection activeCell="G17" sqref="G17"/>
    </sheetView>
  </sheetViews>
  <sheetFormatPr defaultRowHeight="12.75" x14ac:dyDescent="0.2"/>
  <cols>
    <col min="1" max="1" width="6.7109375" style="29" customWidth="1"/>
    <col min="2" max="2" width="16.28515625" bestFit="1" customWidth="1"/>
    <col min="3" max="3" width="22.85546875" bestFit="1" customWidth="1"/>
    <col min="4" max="4" width="16.28515625" bestFit="1" customWidth="1"/>
    <col min="5" max="5" width="17.7109375" bestFit="1" customWidth="1"/>
    <col min="6" max="7" width="18.28515625" bestFit="1" customWidth="1"/>
    <col min="8" max="8" width="37.28515625" customWidth="1"/>
    <col min="9" max="9" width="25" customWidth="1"/>
    <col min="10" max="10" width="15.7109375" customWidth="1"/>
    <col min="11" max="11" width="12.7109375" customWidth="1"/>
    <col min="12" max="12" width="14.42578125" customWidth="1"/>
    <col min="13" max="13" width="5.7109375" customWidth="1"/>
  </cols>
  <sheetData>
    <row r="1" spans="1:22" ht="18" x14ac:dyDescent="0.25">
      <c r="A1" s="382" t="s">
        <v>34</v>
      </c>
      <c r="B1" s="382"/>
      <c r="C1" s="382"/>
      <c r="D1" s="382"/>
      <c r="E1" s="382"/>
      <c r="F1" s="382"/>
      <c r="G1" s="382"/>
      <c r="H1" s="382"/>
      <c r="I1" s="18"/>
      <c r="J1" s="18"/>
      <c r="K1" s="18"/>
    </row>
    <row r="2" spans="1:22" ht="20.100000000000001" customHeight="1" x14ac:dyDescent="0.2"/>
    <row r="3" spans="1:22" s="33" customFormat="1" ht="20.100000000000001" customHeight="1" x14ac:dyDescent="0.2">
      <c r="A3" s="30"/>
      <c r="B3" s="31" t="s">
        <v>2</v>
      </c>
      <c r="C3" s="31" t="s">
        <v>3</v>
      </c>
      <c r="D3" s="31" t="s">
        <v>4</v>
      </c>
      <c r="E3" s="31" t="s">
        <v>5</v>
      </c>
      <c r="F3" s="31" t="s">
        <v>6</v>
      </c>
      <c r="G3" s="31" t="s">
        <v>8</v>
      </c>
      <c r="H3" s="31" t="s">
        <v>7</v>
      </c>
      <c r="I3" s="32"/>
    </row>
    <row r="4" spans="1:22" s="36" customFormat="1" ht="16.5" customHeight="1" x14ac:dyDescent="0.2">
      <c r="A4" s="34"/>
      <c r="B4" s="35" t="s">
        <v>25</v>
      </c>
      <c r="C4" s="35" t="s">
        <v>26</v>
      </c>
      <c r="D4" s="35" t="s">
        <v>27</v>
      </c>
      <c r="E4" s="35" t="s">
        <v>27</v>
      </c>
      <c r="F4" s="35" t="s">
        <v>20</v>
      </c>
      <c r="G4" s="35" t="s">
        <v>28</v>
      </c>
      <c r="H4" s="35" t="s">
        <v>29</v>
      </c>
      <c r="I4" s="35"/>
    </row>
    <row r="5" spans="1:22" s="36" customFormat="1" ht="6" customHeight="1" x14ac:dyDescent="0.2">
      <c r="A5" s="34"/>
      <c r="B5" s="35"/>
      <c r="C5" s="35"/>
      <c r="D5" s="35"/>
      <c r="E5" s="35"/>
      <c r="F5" s="35"/>
      <c r="G5" s="35"/>
      <c r="H5" s="35"/>
      <c r="I5" s="35"/>
    </row>
    <row r="6" spans="1:22" s="41" customFormat="1" ht="20.100000000000001" customHeight="1" x14ac:dyDescent="0.25">
      <c r="A6" s="37"/>
      <c r="B6" s="38">
        <v>5000</v>
      </c>
      <c r="C6" s="38" t="s">
        <v>1</v>
      </c>
      <c r="D6" s="69">
        <v>9302020</v>
      </c>
      <c r="E6" s="38">
        <f>D6</f>
        <v>9302020</v>
      </c>
      <c r="F6" s="38" t="s">
        <v>0</v>
      </c>
      <c r="G6" s="38" t="s">
        <v>51</v>
      </c>
      <c r="H6" s="39" t="s">
        <v>148</v>
      </c>
      <c r="I6" s="39"/>
      <c r="J6" s="40" t="s">
        <v>45</v>
      </c>
    </row>
    <row r="7" spans="1:22" ht="20.100000000000001" customHeight="1" x14ac:dyDescent="0.25">
      <c r="B7" s="4"/>
      <c r="C7" s="4"/>
      <c r="D7" s="42" t="s">
        <v>46</v>
      </c>
      <c r="E7" s="42" t="s">
        <v>46</v>
      </c>
      <c r="F7" s="4"/>
      <c r="G7" s="16"/>
      <c r="H7" s="17"/>
      <c r="I7" s="17"/>
      <c r="J7" s="39" t="s">
        <v>47</v>
      </c>
      <c r="K7" s="17"/>
    </row>
    <row r="9" spans="1:22" ht="13.5" thickBot="1" x14ac:dyDescent="0.25"/>
    <row r="10" spans="1:22" s="55" customFormat="1" ht="36.75" customHeight="1" x14ac:dyDescent="0.3">
      <c r="A10" s="43" t="s">
        <v>48</v>
      </c>
      <c r="B10" s="44" t="s">
        <v>9</v>
      </c>
      <c r="C10" s="43" t="s">
        <v>10</v>
      </c>
      <c r="D10" s="43" t="s">
        <v>11</v>
      </c>
      <c r="E10" s="45" t="s">
        <v>30</v>
      </c>
      <c r="F10" s="46" t="s">
        <v>12</v>
      </c>
      <c r="G10" s="46" t="s">
        <v>13</v>
      </c>
      <c r="H10" s="47" t="s">
        <v>14</v>
      </c>
      <c r="I10" s="47" t="s">
        <v>40</v>
      </c>
      <c r="J10" s="31" t="s">
        <v>16</v>
      </c>
      <c r="K10" s="48" t="s">
        <v>17</v>
      </c>
      <c r="L10" s="49" t="s">
        <v>41</v>
      </c>
      <c r="M10" s="50"/>
      <c r="N10" s="51"/>
      <c r="O10" s="52"/>
      <c r="P10" s="51"/>
      <c r="Q10" s="51"/>
      <c r="R10" s="53"/>
      <c r="S10" s="51"/>
      <c r="T10" s="54"/>
      <c r="U10" s="53"/>
      <c r="V10" s="53"/>
    </row>
    <row r="11" spans="1:22" s="36" customFormat="1" ht="15.75" customHeight="1" x14ac:dyDescent="0.2">
      <c r="A11" s="56"/>
      <c r="B11" s="35" t="s">
        <v>22</v>
      </c>
      <c r="C11" s="35" t="s">
        <v>23</v>
      </c>
      <c r="D11" s="35" t="s">
        <v>24</v>
      </c>
      <c r="E11" s="35" t="s">
        <v>31</v>
      </c>
      <c r="F11" s="57" t="s">
        <v>19</v>
      </c>
      <c r="G11" s="57" t="s">
        <v>19</v>
      </c>
      <c r="H11" s="35" t="s">
        <v>15</v>
      </c>
      <c r="I11" s="35" t="s">
        <v>49</v>
      </c>
      <c r="J11" s="57" t="s">
        <v>21</v>
      </c>
      <c r="K11" s="57" t="s">
        <v>20</v>
      </c>
      <c r="L11" s="26" t="s">
        <v>42</v>
      </c>
      <c r="M11" s="20"/>
      <c r="N11" s="58"/>
      <c r="O11" s="21"/>
      <c r="P11" s="19"/>
      <c r="Q11" s="58"/>
      <c r="R11" s="59"/>
      <c r="S11" s="58"/>
      <c r="T11" s="60"/>
      <c r="U11" s="59"/>
      <c r="V11" s="59"/>
    </row>
    <row r="12" spans="1:22" ht="15.6" customHeight="1" x14ac:dyDescent="0.25">
      <c r="A12" s="61"/>
      <c r="B12" s="5"/>
      <c r="E12" s="6"/>
      <c r="F12" s="7"/>
      <c r="G12" s="7"/>
      <c r="H12" s="2"/>
      <c r="I12" s="2"/>
      <c r="K12" s="5"/>
      <c r="L12" s="27"/>
      <c r="M12" s="7"/>
      <c r="N12" s="8"/>
      <c r="O12" s="7"/>
      <c r="P12" s="5"/>
      <c r="Q12" s="5"/>
      <c r="R12" s="13"/>
      <c r="S12" s="1"/>
      <c r="T12" s="14"/>
      <c r="U12" s="13"/>
      <c r="V12" s="13"/>
    </row>
    <row r="13" spans="1:22" s="41" customFormat="1" ht="15.75" x14ac:dyDescent="0.25">
      <c r="A13" s="62">
        <v>1</v>
      </c>
      <c r="B13" s="63">
        <v>184000</v>
      </c>
      <c r="C13" s="63"/>
      <c r="D13" s="63"/>
      <c r="E13" s="63" t="str">
        <f>IF(F13&gt;0,"S","H")</f>
        <v>S</v>
      </c>
      <c r="F13" s="100">
        <f>+G14</f>
        <v>1075958.5500000003</v>
      </c>
      <c r="G13" s="100">
        <f>+F14</f>
        <v>0</v>
      </c>
      <c r="H13" s="70" t="str">
        <f>H6</f>
        <v>Tsfr Net Clearing to BS</v>
      </c>
      <c r="I13" s="65"/>
      <c r="K13" s="10"/>
      <c r="L13" s="28" t="s">
        <v>43</v>
      </c>
      <c r="M13" s="11"/>
      <c r="N13" s="10"/>
      <c r="O13" s="11"/>
      <c r="P13" s="10"/>
      <c r="Q13" s="10"/>
      <c r="R13" s="66"/>
      <c r="S13" s="1"/>
      <c r="T13" s="15"/>
      <c r="U13" s="66"/>
      <c r="V13" s="66"/>
    </row>
    <row r="14" spans="1:22" s="41" customFormat="1" ht="15.75" x14ac:dyDescent="0.25">
      <c r="A14" s="62">
        <f>1+A13</f>
        <v>2</v>
      </c>
      <c r="B14" s="63">
        <v>505400</v>
      </c>
      <c r="C14" s="63">
        <v>86600</v>
      </c>
      <c r="D14" s="63" t="s">
        <v>52</v>
      </c>
      <c r="E14" s="63" t="str">
        <f>IF(F14&gt;0,"S","H")</f>
        <v>H</v>
      </c>
      <c r="F14" s="100">
        <f>IF(Summary!Q19&gt;0, 0, -Summary!Q19)</f>
        <v>0</v>
      </c>
      <c r="G14" s="100">
        <f>-IF(Summary!Q19&lt;0, 0, -Summary!Q19)</f>
        <v>1075958.5500000003</v>
      </c>
      <c r="H14" s="70" t="str">
        <f>H13</f>
        <v>Tsfr Net Clearing to BS</v>
      </c>
      <c r="I14" s="64"/>
      <c r="K14" s="10"/>
      <c r="L14" s="28" t="s">
        <v>43</v>
      </c>
      <c r="M14" s="11"/>
      <c r="N14" s="10"/>
      <c r="O14" s="11"/>
      <c r="P14" s="10"/>
      <c r="Q14" s="10"/>
      <c r="R14" s="66"/>
      <c r="S14" s="1"/>
      <c r="T14" s="15"/>
      <c r="U14" s="66"/>
      <c r="V14" s="66"/>
    </row>
    <row r="15" spans="1:22" s="41" customFormat="1" ht="15.75" x14ac:dyDescent="0.25">
      <c r="A15" s="62">
        <f t="shared" ref="A15:A16" si="0">1+A14</f>
        <v>3</v>
      </c>
      <c r="B15" s="63">
        <v>501003</v>
      </c>
      <c r="C15" s="63"/>
      <c r="D15" s="63"/>
      <c r="E15" s="63" t="str">
        <f t="shared" ref="E15:E16" si="1">IF(F15&gt;0,"S","H")</f>
        <v>S</v>
      </c>
      <c r="F15" s="100">
        <f>Summary!Q25</f>
        <v>246508.21999999997</v>
      </c>
      <c r="G15" s="100">
        <f>F16</f>
        <v>0</v>
      </c>
      <c r="H15" s="70" t="s">
        <v>223</v>
      </c>
      <c r="I15" s="64" t="s">
        <v>208</v>
      </c>
      <c r="K15" s="10"/>
      <c r="L15" s="245"/>
      <c r="M15" s="11"/>
      <c r="N15" s="10"/>
      <c r="O15" s="11"/>
      <c r="P15" s="10"/>
      <c r="Q15" s="10"/>
      <c r="R15" s="66"/>
      <c r="S15" s="1"/>
      <c r="T15" s="15"/>
      <c r="U15" s="66"/>
      <c r="V15" s="66"/>
    </row>
    <row r="16" spans="1:22" s="41" customFormat="1" ht="16.5" thickBot="1" x14ac:dyDescent="0.3">
      <c r="A16" s="62">
        <f t="shared" si="0"/>
        <v>4</v>
      </c>
      <c r="B16" s="63">
        <v>505400</v>
      </c>
      <c r="C16" s="63">
        <v>86600</v>
      </c>
      <c r="D16" s="63" t="s">
        <v>222</v>
      </c>
      <c r="E16" s="63" t="str">
        <f t="shared" si="1"/>
        <v>H</v>
      </c>
      <c r="F16" s="100">
        <f>IF(Summary!Q21&gt;0, 0, -Summary!Q21)</f>
        <v>0</v>
      </c>
      <c r="G16" s="100">
        <f>F15</f>
        <v>246508.21999999997</v>
      </c>
      <c r="H16" s="70" t="s">
        <v>223</v>
      </c>
      <c r="K16" s="10"/>
      <c r="L16" s="245"/>
      <c r="M16" s="11"/>
      <c r="N16" s="10"/>
      <c r="O16" s="11"/>
      <c r="P16" s="10"/>
      <c r="Q16" s="10"/>
      <c r="R16" s="66"/>
      <c r="S16" s="1"/>
      <c r="T16" s="15"/>
      <c r="U16" s="66"/>
      <c r="V16" s="66"/>
    </row>
    <row r="17" spans="1:22" s="41" customFormat="1" ht="15.75" x14ac:dyDescent="0.25">
      <c r="A17" s="37"/>
      <c r="D17" s="9"/>
      <c r="E17" s="9"/>
      <c r="F17" s="96"/>
      <c r="G17" s="96"/>
      <c r="L17" s="67"/>
      <c r="M17" s="12"/>
      <c r="N17" s="12"/>
      <c r="O17" s="12"/>
      <c r="P17" s="9"/>
      <c r="Q17" s="9"/>
      <c r="R17" s="3"/>
      <c r="S17" s="1"/>
      <c r="T17" s="68"/>
      <c r="U17" s="66"/>
      <c r="V17" s="66"/>
    </row>
    <row r="18" spans="1:22" ht="21.6" customHeight="1" thickBot="1" x14ac:dyDescent="0.25">
      <c r="E18" s="71" t="s">
        <v>18</v>
      </c>
      <c r="F18" s="97">
        <f>SUM(F13:F17)</f>
        <v>1322466.7700000003</v>
      </c>
      <c r="G18" s="97">
        <f>SUM(G13:G17)</f>
        <v>1322466.7700000003</v>
      </c>
      <c r="L18" s="13"/>
      <c r="M18" s="13"/>
      <c r="N18" s="13"/>
      <c r="O18" s="13"/>
      <c r="P18" s="98"/>
      <c r="Q18" s="99"/>
      <c r="R18" s="99"/>
      <c r="S18" s="13"/>
      <c r="T18" s="13"/>
      <c r="U18" s="13"/>
      <c r="V18" s="13"/>
    </row>
    <row r="19" spans="1:22" ht="13.5" thickTop="1" x14ac:dyDescent="0.2">
      <c r="B19" s="22"/>
      <c r="G19" s="109">
        <f>F18-G18</f>
        <v>0</v>
      </c>
      <c r="P19" s="98"/>
      <c r="Q19" s="99"/>
      <c r="R19" s="99"/>
    </row>
    <row r="20" spans="1:22" x14ac:dyDescent="0.2">
      <c r="B20" s="22"/>
    </row>
    <row r="21" spans="1:22" x14ac:dyDescent="0.2">
      <c r="B21" s="22"/>
      <c r="F21" s="194"/>
    </row>
    <row r="22" spans="1:22" x14ac:dyDescent="0.2">
      <c r="B22" s="22"/>
    </row>
    <row r="23" spans="1:22" x14ac:dyDescent="0.2">
      <c r="B23" s="22"/>
    </row>
    <row r="24" spans="1:22" x14ac:dyDescent="0.2">
      <c r="B24" s="22"/>
    </row>
    <row r="25" spans="1:22" x14ac:dyDescent="0.2">
      <c r="B25" s="22"/>
    </row>
    <row r="26" spans="1:22" s="33" customFormat="1" ht="14.25" x14ac:dyDescent="0.2">
      <c r="A26" s="30"/>
      <c r="B26" s="72" t="s">
        <v>32</v>
      </c>
      <c r="C26" s="73" t="s">
        <v>68</v>
      </c>
      <c r="D26" s="74"/>
      <c r="E26" s="75"/>
    </row>
    <row r="27" spans="1:22" s="33" customFormat="1" ht="14.25" x14ac:dyDescent="0.2">
      <c r="A27" s="30"/>
      <c r="B27" s="72"/>
      <c r="C27" s="76"/>
      <c r="D27" s="76"/>
    </row>
    <row r="28" spans="1:22" s="33" customFormat="1" ht="14.25" x14ac:dyDescent="0.2">
      <c r="A28" s="30"/>
      <c r="B28" s="72" t="s">
        <v>35</v>
      </c>
      <c r="C28" s="110">
        <v>44111</v>
      </c>
      <c r="D28" s="74"/>
      <c r="E28" s="74"/>
      <c r="F28" s="72" t="s">
        <v>33</v>
      </c>
      <c r="G28" s="74"/>
      <c r="H28" s="74"/>
      <c r="I28" s="72" t="s">
        <v>39</v>
      </c>
      <c r="J28" s="77"/>
      <c r="K28" s="77"/>
      <c r="L28" s="75"/>
      <c r="M28" s="75"/>
    </row>
    <row r="29" spans="1:22" s="33" customFormat="1" ht="14.25" x14ac:dyDescent="0.2">
      <c r="A29" s="30"/>
      <c r="B29" s="72"/>
      <c r="C29" s="111"/>
      <c r="D29" s="76"/>
      <c r="E29" s="76"/>
      <c r="F29" s="72"/>
      <c r="G29" s="76"/>
      <c r="H29" s="76"/>
      <c r="I29" s="72"/>
      <c r="J29" s="78"/>
      <c r="K29" s="78"/>
    </row>
    <row r="30" spans="1:22" s="33" customFormat="1" ht="14.25" x14ac:dyDescent="0.2">
      <c r="A30" s="30"/>
      <c r="B30" s="72" t="s">
        <v>38</v>
      </c>
      <c r="C30" s="112">
        <v>102293596</v>
      </c>
      <c r="D30" s="74"/>
      <c r="E30" s="74"/>
      <c r="F30" s="72" t="s">
        <v>35</v>
      </c>
      <c r="G30" s="79"/>
      <c r="H30" s="74"/>
      <c r="I30" s="72" t="s">
        <v>35</v>
      </c>
      <c r="J30" s="80"/>
      <c r="K30" s="77"/>
      <c r="L30" s="75"/>
      <c r="M30" s="75"/>
    </row>
    <row r="31" spans="1:22" s="33" customFormat="1" ht="14.25" x14ac:dyDescent="0.2">
      <c r="A31" s="30"/>
      <c r="B31" s="72"/>
      <c r="C31" s="111"/>
      <c r="D31" s="76"/>
      <c r="E31" s="76"/>
      <c r="F31" s="76"/>
      <c r="G31" s="81"/>
      <c r="H31" s="81"/>
      <c r="I31" s="82"/>
      <c r="J31" s="94" t="s">
        <v>50</v>
      </c>
      <c r="K31" s="95"/>
      <c r="L31" s="94"/>
    </row>
    <row r="32" spans="1:22" s="33" customFormat="1" ht="15" thickBot="1" x14ac:dyDescent="0.25">
      <c r="A32" s="30"/>
      <c r="B32" s="72"/>
      <c r="C32" s="111"/>
      <c r="D32" s="76"/>
      <c r="E32" s="76"/>
      <c r="F32" s="76"/>
      <c r="G32" s="81"/>
      <c r="H32" s="81"/>
      <c r="I32" s="82"/>
      <c r="K32" s="83"/>
    </row>
    <row r="33" spans="1:13" s="33" customFormat="1" ht="27.6" customHeight="1" x14ac:dyDescent="0.2">
      <c r="A33" s="30"/>
      <c r="B33" s="84" t="s">
        <v>38</v>
      </c>
      <c r="C33" s="118"/>
      <c r="D33" s="85"/>
      <c r="E33" s="86" t="s">
        <v>44</v>
      </c>
      <c r="F33" s="87"/>
      <c r="G33" s="81"/>
      <c r="H33" s="81"/>
      <c r="I33" s="72" t="s">
        <v>39</v>
      </c>
      <c r="J33" s="77"/>
      <c r="K33" s="77"/>
      <c r="L33" s="75"/>
      <c r="M33" s="75"/>
    </row>
    <row r="34" spans="1:13" s="33" customFormat="1" ht="14.25" x14ac:dyDescent="0.2">
      <c r="A34" s="30"/>
      <c r="B34" s="88"/>
      <c r="C34" s="89"/>
      <c r="D34" s="89"/>
      <c r="E34" s="89"/>
      <c r="F34" s="90"/>
      <c r="I34" s="72"/>
      <c r="J34" s="78"/>
    </row>
    <row r="35" spans="1:13" s="33" customFormat="1" ht="25.9" customHeight="1" thickBot="1" x14ac:dyDescent="0.25">
      <c r="A35" s="30"/>
      <c r="B35" s="91" t="s">
        <v>5</v>
      </c>
      <c r="C35" s="92"/>
      <c r="D35" s="92"/>
      <c r="E35" s="92" t="s">
        <v>44</v>
      </c>
      <c r="F35" s="93"/>
      <c r="I35" s="72" t="s">
        <v>35</v>
      </c>
      <c r="J35" s="80"/>
      <c r="K35" s="75"/>
      <c r="L35" s="75"/>
      <c r="M35" s="75"/>
    </row>
    <row r="36" spans="1:13" x14ac:dyDescent="0.2">
      <c r="I36" s="25"/>
      <c r="J36" s="24"/>
    </row>
    <row r="38" spans="1:13" x14ac:dyDescent="0.2">
      <c r="B38" s="22"/>
    </row>
  </sheetData>
  <mergeCells count="1">
    <mergeCell ref="A1:H1"/>
  </mergeCells>
  <printOptions horizontalCentered="1" verticalCentered="1"/>
  <pageMargins left="0.01" right="0.01" top="0.01" bottom="0.01" header="0.01" footer="0.01"/>
  <pageSetup scale="61" orientation="landscape" r:id="rId1"/>
  <headerFooter>
    <oddHeader>&amp;RExh. KTW-4 Walker WP14</oddHeader>
    <oddFooter>&amp;L&amp;11&amp;Z&amp;F&amp;R&amp;11&amp;A</oddFooter>
  </headerFooter>
  <ignoredErrors>
    <ignoredError sqref="B4:H4 B11:I11 K11"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6" tint="0.79998168889431442"/>
    <pageSetUpPr fitToPage="1"/>
  </sheetPr>
  <dimension ref="B1:U43"/>
  <sheetViews>
    <sheetView topLeftCell="A7" workbookViewId="0">
      <selection activeCell="F32" sqref="F32"/>
    </sheetView>
  </sheetViews>
  <sheetFormatPr defaultColWidth="8.85546875" defaultRowHeight="12.75" x14ac:dyDescent="0.2"/>
  <cols>
    <col min="1" max="1" width="3.7109375" style="323" customWidth="1"/>
    <col min="2" max="4" width="8.85546875" style="323"/>
    <col min="5" max="5" width="16.140625" style="323" customWidth="1"/>
    <col min="6" max="6" width="15" style="323" bestFit="1" customWidth="1"/>
    <col min="7" max="14" width="8.85546875" style="323"/>
    <col min="15" max="15" width="14.5703125" style="323" customWidth="1"/>
    <col min="16" max="17" width="8.85546875" style="323"/>
    <col min="18" max="18" width="14.28515625" style="323" bestFit="1" customWidth="1"/>
    <col min="19" max="16384" width="8.85546875" style="323"/>
  </cols>
  <sheetData>
    <row r="1" spans="2:21" s="321" customFormat="1" ht="18.75" x14ac:dyDescent="0.3">
      <c r="B1" s="321" t="s">
        <v>53</v>
      </c>
    </row>
    <row r="2" spans="2:21" s="321" customFormat="1" ht="18.75" x14ac:dyDescent="0.3">
      <c r="B2" s="321" t="s">
        <v>249</v>
      </c>
    </row>
    <row r="3" spans="2:21" ht="15" x14ac:dyDescent="0.25">
      <c r="B3" s="322"/>
      <c r="M3" s="383" t="s">
        <v>250</v>
      </c>
      <c r="N3" s="383"/>
      <c r="O3" s="383"/>
      <c r="P3" s="383"/>
      <c r="Q3" s="383"/>
      <c r="R3" s="383"/>
      <c r="S3" s="383"/>
      <c r="T3" s="383"/>
      <c r="U3" s="383"/>
    </row>
    <row r="4" spans="2:21" ht="51" customHeight="1" x14ac:dyDescent="0.2">
      <c r="M4" s="384" t="s">
        <v>251</v>
      </c>
      <c r="N4" s="384"/>
      <c r="O4" s="384"/>
      <c r="P4" s="384"/>
      <c r="Q4" s="384"/>
      <c r="R4" s="384"/>
      <c r="S4" s="384"/>
      <c r="T4" s="384"/>
      <c r="U4" s="384"/>
    </row>
    <row r="5" spans="2:21" ht="83.25" customHeight="1" x14ac:dyDescent="0.2">
      <c r="M5" s="384"/>
      <c r="N5" s="384"/>
      <c r="O5" s="384"/>
      <c r="P5" s="384"/>
      <c r="Q5" s="384"/>
      <c r="R5" s="384"/>
      <c r="S5" s="384"/>
      <c r="T5" s="384"/>
      <c r="U5" s="384"/>
    </row>
    <row r="6" spans="2:21" ht="12.75" customHeight="1" x14ac:dyDescent="0.2">
      <c r="M6" s="384"/>
      <c r="N6" s="384"/>
      <c r="O6" s="384"/>
      <c r="P6" s="384"/>
      <c r="Q6" s="384"/>
      <c r="R6" s="384"/>
      <c r="S6" s="384"/>
      <c r="T6" s="384"/>
      <c r="U6" s="384"/>
    </row>
    <row r="7" spans="2:21" ht="12.75" customHeight="1" x14ac:dyDescent="0.2">
      <c r="M7" s="384"/>
      <c r="N7" s="384"/>
      <c r="O7" s="384"/>
      <c r="P7" s="384"/>
      <c r="Q7" s="384"/>
      <c r="R7" s="384"/>
      <c r="S7" s="384"/>
      <c r="T7" s="384"/>
      <c r="U7" s="384"/>
    </row>
    <row r="8" spans="2:21" ht="12.75" customHeight="1" x14ac:dyDescent="0.2">
      <c r="M8" s="384"/>
      <c r="N8" s="384"/>
      <c r="O8" s="384"/>
      <c r="P8" s="384"/>
      <c r="Q8" s="384"/>
      <c r="R8" s="384"/>
      <c r="S8" s="384"/>
      <c r="T8" s="384"/>
      <c r="U8" s="384"/>
    </row>
    <row r="9" spans="2:21" ht="12.75" customHeight="1" x14ac:dyDescent="0.2">
      <c r="M9" s="324"/>
      <c r="N9" s="324"/>
      <c r="O9" s="324"/>
      <c r="P9" s="324"/>
      <c r="Q9" s="324"/>
      <c r="R9" s="324"/>
      <c r="S9" s="324"/>
      <c r="T9" s="324"/>
      <c r="U9" s="324"/>
    </row>
    <row r="10" spans="2:21" ht="12.75" customHeight="1" x14ac:dyDescent="0.2">
      <c r="M10" s="384" t="s">
        <v>252</v>
      </c>
      <c r="N10" s="384"/>
      <c r="O10" s="384"/>
      <c r="P10" s="384"/>
      <c r="Q10" s="384"/>
      <c r="R10" s="384"/>
      <c r="S10" s="384"/>
      <c r="T10" s="384"/>
      <c r="U10" s="384"/>
    </row>
    <row r="11" spans="2:21" ht="24" customHeight="1" x14ac:dyDescent="0.2">
      <c r="M11" s="384"/>
      <c r="N11" s="384"/>
      <c r="O11" s="384"/>
      <c r="P11" s="384"/>
      <c r="Q11" s="384"/>
      <c r="R11" s="384"/>
      <c r="S11" s="384"/>
      <c r="T11" s="384"/>
      <c r="U11" s="384"/>
    </row>
    <row r="12" spans="2:21" ht="12.75" customHeight="1" x14ac:dyDescent="0.2">
      <c r="M12" s="324"/>
      <c r="N12" s="325"/>
      <c r="O12" s="324"/>
      <c r="P12" s="324"/>
      <c r="Q12" s="324"/>
      <c r="R12" s="324"/>
      <c r="S12" s="324"/>
      <c r="T12" s="324"/>
      <c r="U12" s="324"/>
    </row>
    <row r="13" spans="2:21" ht="12.75" customHeight="1" x14ac:dyDescent="0.2">
      <c r="M13" s="326"/>
      <c r="N13" s="326"/>
      <c r="O13" s="326"/>
      <c r="P13" s="326"/>
      <c r="Q13" s="326"/>
      <c r="R13" s="326"/>
      <c r="S13" s="326"/>
      <c r="T13" s="326"/>
      <c r="U13" s="326"/>
    </row>
    <row r="25" spans="3:19" ht="15.75" thickBot="1" x14ac:dyDescent="0.3">
      <c r="C25" s="327"/>
      <c r="D25" s="327"/>
      <c r="E25" s="328" t="s">
        <v>54</v>
      </c>
      <c r="F25" s="101">
        <v>1322466.77</v>
      </c>
      <c r="G25" s="104" t="s">
        <v>221</v>
      </c>
      <c r="H25" s="327"/>
      <c r="I25" s="327"/>
    </row>
    <row r="27" spans="3:19" x14ac:dyDescent="0.2">
      <c r="E27" s="329" t="s">
        <v>282</v>
      </c>
      <c r="F27" s="356">
        <f>'SAP detail'!F41</f>
        <v>246508.21999999997</v>
      </c>
      <c r="P27" s="322"/>
      <c r="Q27" s="322"/>
      <c r="R27" s="322"/>
    </row>
    <row r="28" spans="3:19" x14ac:dyDescent="0.2">
      <c r="E28" s="329" t="s">
        <v>151</v>
      </c>
      <c r="F28" s="357">
        <f>F25-F27</f>
        <v>1075958.55</v>
      </c>
      <c r="Q28" s="329"/>
      <c r="R28" s="330"/>
    </row>
    <row r="29" spans="3:19" x14ac:dyDescent="0.2">
      <c r="O29" s="331"/>
      <c r="P29" s="331"/>
      <c r="Q29" s="332"/>
      <c r="R29" s="333"/>
      <c r="S29" s="331"/>
    </row>
    <row r="30" spans="3:19" x14ac:dyDescent="0.2">
      <c r="O30" s="331"/>
      <c r="P30" s="331"/>
      <c r="Q30" s="331"/>
      <c r="R30" s="333"/>
      <c r="S30" s="331"/>
    </row>
    <row r="31" spans="3:19" x14ac:dyDescent="0.2">
      <c r="O31" s="331"/>
      <c r="P31" s="331"/>
      <c r="Q31" s="331"/>
      <c r="R31" s="334"/>
      <c r="S31" s="331"/>
    </row>
    <row r="32" spans="3:19" x14ac:dyDescent="0.2">
      <c r="O32" s="331"/>
      <c r="P32" s="331"/>
      <c r="Q32" s="331"/>
      <c r="R32" s="331"/>
      <c r="S32" s="331"/>
    </row>
    <row r="33" spans="15:19" x14ac:dyDescent="0.2">
      <c r="O33" s="331"/>
      <c r="P33" s="331"/>
      <c r="Q33" s="331"/>
      <c r="R33" s="331"/>
      <c r="S33" s="331"/>
    </row>
    <row r="34" spans="15:19" x14ac:dyDescent="0.2">
      <c r="O34" s="331"/>
      <c r="P34" s="331"/>
      <c r="Q34" s="331"/>
      <c r="R34" s="331"/>
      <c r="S34" s="331"/>
    </row>
    <row r="43" spans="15:19" s="327" customFormat="1" ht="15" x14ac:dyDescent="0.25"/>
  </sheetData>
  <mergeCells count="3">
    <mergeCell ref="M3:U3"/>
    <mergeCell ref="M4:U8"/>
    <mergeCell ref="M10:U11"/>
  </mergeCells>
  <printOptions horizontalCentered="1" verticalCentered="1"/>
  <pageMargins left="0.01" right="0.01" top="0.01" bottom="0.01" header="0.01" footer="0.01"/>
  <pageSetup scale="67" orientation="landscape" r:id="rId1"/>
  <headerFooter>
    <oddHeader>&amp;RExh. KTW-4 Walker WP14</oddHeader>
    <oddFooter>&amp;L&amp;11&amp;Z&amp;F&amp;R&amp;11&amp;A</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AS105"/>
  <sheetViews>
    <sheetView showGridLines="0" topLeftCell="A31" zoomScale="90" zoomScaleNormal="90" workbookViewId="0">
      <selection activeCell="M57" sqref="M57"/>
    </sheetView>
  </sheetViews>
  <sheetFormatPr defaultRowHeight="12.75" outlineLevelCol="1" x14ac:dyDescent="0.2"/>
  <cols>
    <col min="1" max="1" width="3.28515625" customWidth="1"/>
    <col min="2" max="2" width="18.28515625" customWidth="1"/>
    <col min="3" max="3" width="15.28515625" customWidth="1"/>
    <col min="4" max="4" width="44.28515625" customWidth="1"/>
    <col min="5" max="5" width="15.28515625" customWidth="1"/>
    <col min="6" max="6" width="18.28515625" customWidth="1"/>
    <col min="7" max="7" width="14.28515625" customWidth="1"/>
    <col min="8" max="8" width="16" customWidth="1"/>
    <col min="9" max="9" width="19.140625" customWidth="1"/>
    <col min="10" max="10" width="23.7109375" customWidth="1"/>
    <col min="11" max="11" width="15.140625" customWidth="1"/>
    <col min="12" max="12" width="16.7109375" customWidth="1"/>
    <col min="13" max="13" width="17" customWidth="1"/>
    <col min="14" max="15" width="13.28515625" hidden="1" customWidth="1" outlineLevel="1"/>
    <col min="16" max="16" width="2.28515625" hidden="1" customWidth="1" outlineLevel="1"/>
    <col min="17" max="17" width="26.7109375" bestFit="1" customWidth="1" collapsed="1"/>
    <col min="18" max="18" width="15.7109375" style="224" customWidth="1"/>
    <col min="19" max="19" width="10.5703125" style="224" customWidth="1"/>
    <col min="20" max="20" width="21.28515625" style="203" customWidth="1"/>
    <col min="21" max="21" width="20.5703125" style="203" customWidth="1"/>
    <col min="22" max="23" width="15.7109375" style="203" customWidth="1"/>
    <col min="24" max="24" width="10.7109375" customWidth="1"/>
    <col min="25" max="25" width="20.5703125" customWidth="1"/>
    <col min="26" max="26" width="29.5703125" customWidth="1"/>
    <col min="27" max="27" width="26.140625" customWidth="1"/>
    <col min="28" max="28" width="11.28515625" customWidth="1" outlineLevel="1"/>
    <col min="29" max="31" width="18.85546875" customWidth="1" outlineLevel="1"/>
    <col min="32" max="32" width="18.85546875" customWidth="1"/>
    <col min="33" max="39" width="18.85546875" customWidth="1" outlineLevel="1"/>
    <col min="40" max="42" width="18.85546875" customWidth="1"/>
    <col min="43" max="43" width="11.140625" bestFit="1" customWidth="1"/>
    <col min="44" max="44" width="14.28515625" bestFit="1" customWidth="1"/>
    <col min="45" max="45" width="11.140625" bestFit="1" customWidth="1"/>
  </cols>
  <sheetData>
    <row r="1" spans="3:41" ht="20.25" x14ac:dyDescent="0.3">
      <c r="C1" s="139" t="s">
        <v>178</v>
      </c>
    </row>
    <row r="2" spans="3:41" x14ac:dyDescent="0.2">
      <c r="C2" s="107" t="s">
        <v>230</v>
      </c>
      <c r="D2" s="107"/>
      <c r="E2" s="107"/>
      <c r="F2" s="107"/>
      <c r="G2" s="107"/>
      <c r="H2" s="107"/>
      <c r="I2" s="107"/>
      <c r="J2" s="107"/>
      <c r="K2" s="107"/>
      <c r="L2" s="107"/>
      <c r="M2" s="107"/>
      <c r="N2" s="107"/>
      <c r="O2" s="107"/>
      <c r="P2" s="107"/>
      <c r="Q2" s="107"/>
      <c r="R2" s="107"/>
      <c r="S2" s="107"/>
    </row>
    <row r="3" spans="3:41" x14ac:dyDescent="0.2">
      <c r="C3" s="107" t="s">
        <v>246</v>
      </c>
      <c r="D3" s="107"/>
      <c r="E3" s="107"/>
      <c r="F3" s="107"/>
      <c r="G3" s="107"/>
      <c r="H3" s="107"/>
      <c r="I3" s="107"/>
      <c r="J3" s="107"/>
      <c r="K3" s="107"/>
      <c r="L3" s="107"/>
      <c r="M3" s="107"/>
      <c r="N3" s="107"/>
      <c r="O3" s="107"/>
      <c r="P3" s="107"/>
      <c r="Q3" s="107"/>
      <c r="R3" s="107"/>
      <c r="S3" s="107"/>
    </row>
    <row r="4" spans="3:41" ht="15" x14ac:dyDescent="0.25">
      <c r="E4" s="36" t="s">
        <v>181</v>
      </c>
      <c r="L4" s="102"/>
      <c r="M4" s="119"/>
      <c r="R4" s="261"/>
      <c r="S4" s="261"/>
      <c r="T4" s="221" t="s">
        <v>240</v>
      </c>
      <c r="AA4" s="153"/>
      <c r="AB4" s="153"/>
      <c r="AC4" s="156" t="s">
        <v>181</v>
      </c>
      <c r="AD4" s="153"/>
      <c r="AE4" s="153"/>
      <c r="AF4" s="153"/>
      <c r="AG4" s="153"/>
      <c r="AH4" s="153"/>
      <c r="AI4" s="153"/>
      <c r="AJ4" s="155"/>
      <c r="AK4" s="157"/>
      <c r="AL4" s="153"/>
      <c r="AM4" s="153"/>
      <c r="AN4" s="153"/>
      <c r="AO4" s="153"/>
    </row>
    <row r="5" spans="3:41" x14ac:dyDescent="0.2">
      <c r="C5" s="102" t="s">
        <v>182</v>
      </c>
      <c r="D5" s="116"/>
      <c r="E5" s="121" t="s">
        <v>153</v>
      </c>
      <c r="F5" s="121" t="s">
        <v>154</v>
      </c>
      <c r="G5" s="121" t="s">
        <v>155</v>
      </c>
      <c r="H5" s="121" t="s">
        <v>156</v>
      </c>
      <c r="I5" s="121" t="s">
        <v>157</v>
      </c>
      <c r="J5" s="121" t="s">
        <v>158</v>
      </c>
      <c r="K5" s="121" t="s">
        <v>159</v>
      </c>
      <c r="L5" s="121" t="s">
        <v>160</v>
      </c>
      <c r="M5" s="121" t="s">
        <v>161</v>
      </c>
      <c r="N5" s="121" t="s">
        <v>162</v>
      </c>
      <c r="O5" s="121">
        <v>11</v>
      </c>
      <c r="P5" s="121">
        <v>12</v>
      </c>
      <c r="Q5" s="121" t="s">
        <v>184</v>
      </c>
      <c r="R5" s="259"/>
      <c r="S5" s="259"/>
      <c r="T5" s="159" t="s">
        <v>263</v>
      </c>
      <c r="U5" s="159" t="s">
        <v>200</v>
      </c>
      <c r="V5" s="159" t="s">
        <v>201</v>
      </c>
      <c r="W5" s="212"/>
      <c r="AA5" s="155"/>
      <c r="AB5" s="158"/>
      <c r="AC5" s="159" t="s">
        <v>153</v>
      </c>
      <c r="AD5" s="159" t="s">
        <v>154</v>
      </c>
      <c r="AE5" s="159" t="s">
        <v>155</v>
      </c>
      <c r="AF5" s="159" t="s">
        <v>156</v>
      </c>
      <c r="AG5" s="159" t="s">
        <v>157</v>
      </c>
      <c r="AH5" s="159" t="s">
        <v>158</v>
      </c>
      <c r="AI5" s="159" t="s">
        <v>159</v>
      </c>
      <c r="AJ5" s="159" t="s">
        <v>160</v>
      </c>
      <c r="AK5" s="159" t="s">
        <v>161</v>
      </c>
      <c r="AL5" s="159" t="s">
        <v>162</v>
      </c>
      <c r="AM5" s="159">
        <v>11</v>
      </c>
      <c r="AN5" s="159">
        <v>12</v>
      </c>
      <c r="AO5" s="159" t="s">
        <v>180</v>
      </c>
    </row>
    <row r="6" spans="3:41" x14ac:dyDescent="0.2">
      <c r="C6" s="102"/>
      <c r="D6" s="290" t="s">
        <v>234</v>
      </c>
      <c r="E6" s="212"/>
      <c r="F6" s="212"/>
      <c r="G6" s="212"/>
      <c r="H6" s="212"/>
      <c r="I6" s="212"/>
      <c r="J6" s="212"/>
      <c r="K6" s="212"/>
      <c r="L6" s="212"/>
      <c r="M6" s="212"/>
      <c r="N6" s="212"/>
      <c r="O6" s="212"/>
      <c r="P6" s="212"/>
      <c r="Q6" s="212"/>
      <c r="R6" s="259"/>
      <c r="S6" s="259"/>
      <c r="T6" s="289"/>
      <c r="U6" s="289"/>
      <c r="V6" s="289"/>
      <c r="W6" s="212"/>
      <c r="AA6" s="155"/>
      <c r="AB6" s="158"/>
      <c r="AC6" s="289"/>
      <c r="AD6" s="289"/>
      <c r="AE6" s="289"/>
      <c r="AF6" s="289"/>
      <c r="AG6" s="289"/>
      <c r="AH6" s="289"/>
      <c r="AI6" s="289"/>
      <c r="AJ6" s="289"/>
      <c r="AK6" s="289"/>
      <c r="AL6" s="289"/>
      <c r="AM6" s="289"/>
      <c r="AN6" s="289"/>
      <c r="AO6" s="289"/>
    </row>
    <row r="7" spans="3:41" ht="15" x14ac:dyDescent="0.25">
      <c r="C7" s="36"/>
      <c r="D7" t="s">
        <v>169</v>
      </c>
      <c r="E7" s="194">
        <f>VLOOKUP($D7,$B:$P,E$5+3,FALSE)</f>
        <v>596898.37000000011</v>
      </c>
      <c r="F7" s="194">
        <v>99775.970000000205</v>
      </c>
      <c r="G7" s="194">
        <f t="shared" ref="G7:I8" si="0">VLOOKUP($D7,$B:$P,G$5+3,FALSE)</f>
        <v>-19877.810000000056</v>
      </c>
      <c r="H7" s="194">
        <f t="shared" si="0"/>
        <v>-9334.7700000000186</v>
      </c>
      <c r="I7" s="194">
        <f t="shared" si="0"/>
        <v>-75669.110000000102</v>
      </c>
      <c r="J7" s="194">
        <v>-242482.65000000014</v>
      </c>
      <c r="K7" s="194">
        <f t="shared" ref="K7:P8" si="1">VLOOKUP($D7,$B:$P,K$5+3,FALSE)</f>
        <v>-19596.619999999646</v>
      </c>
      <c r="L7" s="194">
        <f t="shared" si="1"/>
        <v>-39027.530000000261</v>
      </c>
      <c r="M7" s="194">
        <f t="shared" si="1"/>
        <v>-148243.22999999998</v>
      </c>
      <c r="N7" s="194">
        <f t="shared" si="1"/>
        <v>0</v>
      </c>
      <c r="O7" s="194">
        <f t="shared" si="1"/>
        <v>0</v>
      </c>
      <c r="P7" s="194">
        <f t="shared" si="1"/>
        <v>0</v>
      </c>
      <c r="Q7" s="194">
        <f>ROUND(SUM(E7:P7),2)</f>
        <v>142442.62</v>
      </c>
      <c r="R7" s="340" t="s">
        <v>67</v>
      </c>
      <c r="S7" s="260"/>
      <c r="T7" s="160">
        <f>SUM(AC7:AK7)</f>
        <v>-264490.42999958852</v>
      </c>
      <c r="U7" s="214">
        <f t="shared" ref="U7:U13" si="2">T7-Q7</f>
        <v>-406933.04999958852</v>
      </c>
      <c r="V7" s="237" t="s">
        <v>265</v>
      </c>
      <c r="W7" s="193"/>
      <c r="X7" s="190"/>
      <c r="AA7" s="153"/>
      <c r="AB7" s="154" t="s">
        <v>169</v>
      </c>
      <c r="AC7" s="160">
        <v>-119226.65999994939</v>
      </c>
      <c r="AD7" s="160">
        <v>78229.160000047414</v>
      </c>
      <c r="AE7" s="160">
        <v>2832.5300000235438</v>
      </c>
      <c r="AF7" s="160">
        <v>-39882.05999995186</v>
      </c>
      <c r="AG7" s="160">
        <v>-143404.81999995187</v>
      </c>
      <c r="AH7" s="160">
        <v>53556.9200000735</v>
      </c>
      <c r="AI7" s="160">
        <v>-75039.589999951888</v>
      </c>
      <c r="AJ7" s="160">
        <v>-11142.179999976186</v>
      </c>
      <c r="AK7" s="160">
        <v>-10413.729999951785</v>
      </c>
      <c r="AL7" s="160">
        <v>-101364.79999995232</v>
      </c>
      <c r="AM7" s="160">
        <v>-10369.129999999888</v>
      </c>
      <c r="AN7" s="183">
        <v>376819.62999999989</v>
      </c>
      <c r="AO7" s="160">
        <v>595.27000045916066</v>
      </c>
    </row>
    <row r="8" spans="3:41" ht="15" x14ac:dyDescent="0.25">
      <c r="C8" s="36"/>
      <c r="D8" t="s">
        <v>173</v>
      </c>
      <c r="E8" s="285">
        <f>VLOOKUP($D8,$B:$P,E$5+3,FALSE)</f>
        <v>-40018.609999999986</v>
      </c>
      <c r="F8" s="285">
        <v>54310.609999999986</v>
      </c>
      <c r="G8" s="285">
        <f t="shared" si="0"/>
        <v>-45490.430000000051</v>
      </c>
      <c r="H8" s="285">
        <f t="shared" si="0"/>
        <v>-40216.440000000061</v>
      </c>
      <c r="I8" s="285">
        <f t="shared" si="0"/>
        <v>4940.109999999986</v>
      </c>
      <c r="J8" s="285">
        <v>66592.359999999986</v>
      </c>
      <c r="K8" s="194">
        <f t="shared" si="1"/>
        <v>-3443.2899999999208</v>
      </c>
      <c r="L8" s="194">
        <f t="shared" si="1"/>
        <v>-52027.180000000051</v>
      </c>
      <c r="M8" s="194">
        <f t="shared" si="1"/>
        <v>55352.939999999944</v>
      </c>
      <c r="N8" s="194">
        <f t="shared" si="1"/>
        <v>0</v>
      </c>
      <c r="O8" s="194">
        <f t="shared" si="1"/>
        <v>0</v>
      </c>
      <c r="P8" s="194">
        <f t="shared" si="1"/>
        <v>0</v>
      </c>
      <c r="Q8" s="194">
        <f t="shared" ref="Q8:Q13" si="3">ROUND(SUM(E8:P8),2)</f>
        <v>7.0000000000000007E-2</v>
      </c>
      <c r="R8" s="340" t="s">
        <v>197</v>
      </c>
      <c r="S8" s="260"/>
      <c r="T8" s="160">
        <f t="shared" ref="T8:T13" si="4">SUM(AC8:AK8)</f>
        <v>13432.219999999856</v>
      </c>
      <c r="U8" s="214">
        <f t="shared" si="2"/>
        <v>13432.149999999856</v>
      </c>
      <c r="V8" s="237" t="s">
        <v>271</v>
      </c>
      <c r="W8" s="193"/>
      <c r="X8" s="135"/>
      <c r="AA8" s="153"/>
      <c r="AB8" s="154" t="s">
        <v>173</v>
      </c>
      <c r="AC8" s="160">
        <v>-53391.260000000068</v>
      </c>
      <c r="AD8" s="160">
        <v>44408.659999999974</v>
      </c>
      <c r="AE8" s="160">
        <v>-17075.760000000009</v>
      </c>
      <c r="AF8" s="160">
        <v>-3402.4500000000116</v>
      </c>
      <c r="AG8" s="160">
        <v>-34128</v>
      </c>
      <c r="AH8" s="160">
        <v>18711.589999999967</v>
      </c>
      <c r="AI8" s="160">
        <v>19738.650000000023</v>
      </c>
      <c r="AJ8" s="160">
        <v>-6194.4800000000396</v>
      </c>
      <c r="AK8" s="160">
        <v>44765.270000000019</v>
      </c>
      <c r="AL8" s="160">
        <v>-17895.400000000023</v>
      </c>
      <c r="AM8" s="160">
        <v>216904.91999999998</v>
      </c>
      <c r="AN8" s="183">
        <v>-27108.990000000049</v>
      </c>
      <c r="AO8" s="160">
        <v>185332.74999999977</v>
      </c>
    </row>
    <row r="9" spans="3:41" ht="15" x14ac:dyDescent="0.25">
      <c r="C9" s="36"/>
      <c r="D9" s="263" t="s">
        <v>179</v>
      </c>
      <c r="E9" s="286">
        <f>E47+E50</f>
        <v>-57325.859999999986</v>
      </c>
      <c r="F9" s="286">
        <v>153062.01999999996</v>
      </c>
      <c r="G9" s="286">
        <f>G47+G50</f>
        <v>30377.549999999988</v>
      </c>
      <c r="H9" s="286">
        <f>H47+H50</f>
        <v>-50942.010000000009</v>
      </c>
      <c r="I9" s="286">
        <f>I47+I50</f>
        <v>-510.78000000002794</v>
      </c>
      <c r="J9" s="286">
        <v>-48440.75</v>
      </c>
      <c r="K9" s="194">
        <f t="shared" ref="K9:P9" si="5">K47+K50</f>
        <v>-55773.989999999991</v>
      </c>
      <c r="L9" s="194">
        <f t="shared" si="5"/>
        <v>-44681.040000000008</v>
      </c>
      <c r="M9" s="194">
        <f t="shared" si="5"/>
        <v>-47536.840000000026</v>
      </c>
      <c r="N9" s="194">
        <f t="shared" si="5"/>
        <v>0</v>
      </c>
      <c r="O9" s="194">
        <f t="shared" si="5"/>
        <v>0</v>
      </c>
      <c r="P9" s="194">
        <f t="shared" si="5"/>
        <v>0</v>
      </c>
      <c r="Q9" s="194">
        <f t="shared" si="3"/>
        <v>-121771.7</v>
      </c>
      <c r="R9" s="340" t="s">
        <v>198</v>
      </c>
      <c r="S9" s="260"/>
      <c r="T9" s="160">
        <f t="shared" si="4"/>
        <v>166485.72999999984</v>
      </c>
      <c r="U9" s="214">
        <f t="shared" si="2"/>
        <v>288257.42999999982</v>
      </c>
      <c r="V9" s="237" t="s">
        <v>266</v>
      </c>
      <c r="W9" s="193"/>
      <c r="X9" s="135"/>
      <c r="AA9" s="153"/>
      <c r="AB9" s="156" t="s">
        <v>179</v>
      </c>
      <c r="AC9" s="160">
        <v>565.71000000010827</v>
      </c>
      <c r="AD9" s="160">
        <v>209018.99000000005</v>
      </c>
      <c r="AE9" s="160">
        <v>57701.089999999938</v>
      </c>
      <c r="AF9" s="160">
        <v>8016.7399999999034</v>
      </c>
      <c r="AG9" s="160">
        <v>4905.5200000000186</v>
      </c>
      <c r="AH9" s="160">
        <v>-146311.48999999985</v>
      </c>
      <c r="AI9" s="160">
        <v>5811.1200000000244</v>
      </c>
      <c r="AJ9" s="160">
        <v>9728.5099999997474</v>
      </c>
      <c r="AK9" s="160">
        <v>17049.539999999863</v>
      </c>
      <c r="AL9" s="160">
        <v>12857.749999999767</v>
      </c>
      <c r="AM9" s="160">
        <v>20162.069999999978</v>
      </c>
      <c r="AN9" s="183">
        <v>63120.610000000015</v>
      </c>
      <c r="AO9" s="160">
        <v>262626.15999999957</v>
      </c>
    </row>
    <row r="10" spans="3:41" ht="15" x14ac:dyDescent="0.25">
      <c r="C10" s="36"/>
      <c r="D10" s="264" t="s">
        <v>174</v>
      </c>
      <c r="E10" s="286">
        <f>E45+E46+E49</f>
        <v>-62554.950000000012</v>
      </c>
      <c r="F10" s="286">
        <v>288475.7</v>
      </c>
      <c r="G10" s="286">
        <f>G45+G46+G49</f>
        <v>100532.23000000004</v>
      </c>
      <c r="H10" s="286">
        <f>H45+H46+H49</f>
        <v>-47924.419999999984</v>
      </c>
      <c r="I10" s="286">
        <f>I45+I46+I49</f>
        <v>36148.139999999956</v>
      </c>
      <c r="J10" s="286">
        <v>-126596.00999999995</v>
      </c>
      <c r="K10" s="194">
        <f t="shared" ref="K10:P10" si="6">K45+K46+K49</f>
        <v>-53289.759999999951</v>
      </c>
      <c r="L10" s="194">
        <f t="shared" si="6"/>
        <v>-36043.300000000047</v>
      </c>
      <c r="M10" s="194">
        <f t="shared" si="6"/>
        <v>-39121.599999999977</v>
      </c>
      <c r="N10" s="194">
        <f t="shared" si="6"/>
        <v>0</v>
      </c>
      <c r="O10" s="194">
        <f t="shared" si="6"/>
        <v>0</v>
      </c>
      <c r="P10" s="194">
        <f t="shared" si="6"/>
        <v>0</v>
      </c>
      <c r="Q10" s="194">
        <f t="shared" si="3"/>
        <v>59626.03</v>
      </c>
      <c r="R10" s="340" t="s">
        <v>198</v>
      </c>
      <c r="S10" s="260"/>
      <c r="T10" s="160">
        <f t="shared" si="4"/>
        <v>245930.80000000069</v>
      </c>
      <c r="U10" s="214">
        <f t="shared" si="2"/>
        <v>186304.77000000069</v>
      </c>
      <c r="V10" s="237" t="s">
        <v>267</v>
      </c>
      <c r="W10" s="193"/>
      <c r="X10" s="135"/>
      <c r="AA10" s="153"/>
      <c r="AB10" s="154" t="s">
        <v>174</v>
      </c>
      <c r="AC10" s="160">
        <v>-48729.490000000107</v>
      </c>
      <c r="AD10" s="160">
        <v>302967.4699999984</v>
      </c>
      <c r="AE10" s="160">
        <v>72170.01999999996</v>
      </c>
      <c r="AF10" s="160">
        <v>-31442.789999999572</v>
      </c>
      <c r="AG10" s="160">
        <v>-40970.019999999902</v>
      </c>
      <c r="AH10" s="160">
        <v>77177.6700000001</v>
      </c>
      <c r="AI10" s="160">
        <v>-46774.02999999898</v>
      </c>
      <c r="AJ10" s="160">
        <v>-17808.64999999979</v>
      </c>
      <c r="AK10" s="160">
        <v>-20659.379999999423</v>
      </c>
      <c r="AL10" s="160">
        <v>-35805.239999999641</v>
      </c>
      <c r="AM10" s="160">
        <v>-18089.409999999974</v>
      </c>
      <c r="AN10" s="183">
        <v>42580.900000000023</v>
      </c>
      <c r="AO10" s="160">
        <v>234617.05000000109</v>
      </c>
    </row>
    <row r="11" spans="3:41" ht="15" x14ac:dyDescent="0.25">
      <c r="C11" s="36"/>
      <c r="D11" t="s">
        <v>170</v>
      </c>
      <c r="E11" s="285">
        <f>VLOOKUP($D11,$B:$P,E$5+3,FALSE)</f>
        <v>87964.08</v>
      </c>
      <c r="F11" s="285">
        <v>-106526.93000000001</v>
      </c>
      <c r="G11" s="285">
        <f t="shared" ref="G11:I13" si="7">VLOOKUP($D11,$B:$P,G$5+3,FALSE)</f>
        <v>93219.6</v>
      </c>
      <c r="H11" s="285">
        <f t="shared" si="7"/>
        <v>-5730.6800000000039</v>
      </c>
      <c r="I11" s="285">
        <f t="shared" si="7"/>
        <v>-107013.81</v>
      </c>
      <c r="J11" s="285">
        <v>38087.410000000003</v>
      </c>
      <c r="K11" s="194">
        <f t="shared" ref="K11:P13" si="8">VLOOKUP($D11,$B:$P,K$5+3,FALSE)</f>
        <v>-6511.0899999999965</v>
      </c>
      <c r="L11" s="194">
        <f t="shared" si="8"/>
        <v>76335.790000000008</v>
      </c>
      <c r="M11" s="194">
        <f t="shared" si="8"/>
        <v>-69824.369999999966</v>
      </c>
      <c r="N11" s="194">
        <f t="shared" si="8"/>
        <v>0</v>
      </c>
      <c r="O11" s="194">
        <f t="shared" si="8"/>
        <v>0</v>
      </c>
      <c r="P11" s="194">
        <f t="shared" si="8"/>
        <v>0</v>
      </c>
      <c r="Q11" s="194">
        <f t="shared" si="3"/>
        <v>0</v>
      </c>
      <c r="R11" s="340" t="s">
        <v>66</v>
      </c>
      <c r="S11" s="260"/>
      <c r="T11" s="160">
        <f t="shared" si="4"/>
        <v>87233.300000000178</v>
      </c>
      <c r="U11" s="214">
        <f t="shared" si="2"/>
        <v>87233.300000000178</v>
      </c>
      <c r="V11" s="237" t="s">
        <v>268</v>
      </c>
      <c r="W11" s="193"/>
      <c r="X11" s="135"/>
      <c r="AA11" s="153"/>
      <c r="AB11" s="154" t="s">
        <v>170</v>
      </c>
      <c r="AC11" s="160">
        <v>91425.62000000001</v>
      </c>
      <c r="AD11" s="160">
        <v>-76501.410000000018</v>
      </c>
      <c r="AE11" s="160">
        <v>10443.16</v>
      </c>
      <c r="AF11" s="160">
        <v>10390.090000000087</v>
      </c>
      <c r="AG11" s="160">
        <v>10679.530000000015</v>
      </c>
      <c r="AH11" s="160">
        <v>9864.8800000000138</v>
      </c>
      <c r="AI11" s="160">
        <v>10586.240000000014</v>
      </c>
      <c r="AJ11" s="160">
        <v>10308.390000000029</v>
      </c>
      <c r="AK11" s="160">
        <v>10036.800000000028</v>
      </c>
      <c r="AL11" s="160">
        <v>10657.820000000029</v>
      </c>
      <c r="AM11" s="160">
        <v>-69591.350000000006</v>
      </c>
      <c r="AN11" s="183">
        <v>10764.750000000015</v>
      </c>
      <c r="AO11" s="160">
        <v>39064.520000000208</v>
      </c>
    </row>
    <row r="12" spans="3:41" ht="15" x14ac:dyDescent="0.25">
      <c r="C12" s="36"/>
      <c r="D12" t="s">
        <v>171</v>
      </c>
      <c r="E12" s="194">
        <f>VLOOKUP($D12,$B:$P,E$5+3,FALSE)</f>
        <v>98950.209999999992</v>
      </c>
      <c r="F12" s="194">
        <v>-43847.76</v>
      </c>
      <c r="G12" s="194">
        <f t="shared" si="7"/>
        <v>-46904.11</v>
      </c>
      <c r="H12" s="194">
        <f t="shared" si="7"/>
        <v>99142.050000000017</v>
      </c>
      <c r="I12" s="194">
        <f t="shared" si="7"/>
        <v>-46035.69</v>
      </c>
      <c r="J12" s="194">
        <v>-61421.58</v>
      </c>
      <c r="K12" s="194">
        <f t="shared" si="8"/>
        <v>97314.57</v>
      </c>
      <c r="L12" s="194">
        <f t="shared" si="8"/>
        <v>-46197.36</v>
      </c>
      <c r="M12" s="194">
        <f t="shared" si="8"/>
        <v>-51000.75</v>
      </c>
      <c r="N12" s="194">
        <f t="shared" si="8"/>
        <v>0</v>
      </c>
      <c r="O12" s="194">
        <f t="shared" si="8"/>
        <v>0</v>
      </c>
      <c r="P12" s="194">
        <f t="shared" si="8"/>
        <v>0</v>
      </c>
      <c r="Q12" s="194">
        <f t="shared" si="3"/>
        <v>-0.42</v>
      </c>
      <c r="R12" s="340" t="s">
        <v>211</v>
      </c>
      <c r="S12" s="260"/>
      <c r="T12" s="160">
        <f t="shared" si="4"/>
        <v>-14762.100000000028</v>
      </c>
      <c r="U12" s="214">
        <f t="shared" si="2"/>
        <v>-14761.680000000028</v>
      </c>
      <c r="V12" s="237" t="s">
        <v>279</v>
      </c>
      <c r="W12" s="193"/>
      <c r="X12" s="135"/>
      <c r="AA12" s="153"/>
      <c r="AB12" s="154" t="s">
        <v>171</v>
      </c>
      <c r="AC12" s="160">
        <v>92788.17</v>
      </c>
      <c r="AD12" s="160">
        <v>-46111.37</v>
      </c>
      <c r="AE12" s="160">
        <v>-50850.99</v>
      </c>
      <c r="AF12" s="160">
        <v>94992.239999999991</v>
      </c>
      <c r="AG12" s="160">
        <v>-52094.8</v>
      </c>
      <c r="AH12" s="160">
        <v>-48187.9</v>
      </c>
      <c r="AI12" s="160">
        <v>94084.43</v>
      </c>
      <c r="AJ12" s="160">
        <v>-50323.42</v>
      </c>
      <c r="AK12" s="160">
        <v>-49058.46</v>
      </c>
      <c r="AL12" s="160">
        <v>93678.06</v>
      </c>
      <c r="AM12" s="160">
        <v>-50217.48</v>
      </c>
      <c r="AN12" s="160">
        <v>-52448.959999999999</v>
      </c>
      <c r="AO12" s="160">
        <v>-23750.48000000004</v>
      </c>
    </row>
    <row r="13" spans="3:41" ht="15" x14ac:dyDescent="0.25">
      <c r="C13" s="36"/>
      <c r="D13" t="s">
        <v>172</v>
      </c>
      <c r="E13" s="194">
        <f>VLOOKUP($D13,$B:$P,E$5+3,FALSE)</f>
        <v>-4957.9000000000087</v>
      </c>
      <c r="F13" s="194">
        <v>2814.4100000000035</v>
      </c>
      <c r="G13" s="194">
        <f t="shared" si="7"/>
        <v>36681.399999999994</v>
      </c>
      <c r="H13" s="194">
        <f t="shared" si="7"/>
        <v>-21825.229999999996</v>
      </c>
      <c r="I13" s="194">
        <f t="shared" si="7"/>
        <v>20125.080000000002</v>
      </c>
      <c r="J13" s="194">
        <v>-35605.290000000008</v>
      </c>
      <c r="K13" s="194">
        <f t="shared" si="8"/>
        <v>-113137.38</v>
      </c>
      <c r="L13" s="194">
        <f t="shared" si="8"/>
        <v>3743.1600000000035</v>
      </c>
      <c r="M13" s="194">
        <f t="shared" si="8"/>
        <v>12582.059999999983</v>
      </c>
      <c r="N13" s="194">
        <f t="shared" si="8"/>
        <v>0</v>
      </c>
      <c r="O13" s="194">
        <f t="shared" si="8"/>
        <v>0</v>
      </c>
      <c r="P13" s="194">
        <f t="shared" si="8"/>
        <v>0</v>
      </c>
      <c r="Q13" s="194">
        <f t="shared" si="3"/>
        <v>-99579.69</v>
      </c>
      <c r="R13" s="340" t="s">
        <v>247</v>
      </c>
      <c r="S13" s="226"/>
      <c r="T13" s="160">
        <f t="shared" si="4"/>
        <v>257958.06000000006</v>
      </c>
      <c r="U13" s="214">
        <f t="shared" si="2"/>
        <v>357537.75000000006</v>
      </c>
      <c r="V13" s="237" t="s">
        <v>269</v>
      </c>
      <c r="W13" s="193"/>
      <c r="X13" s="135"/>
      <c r="AA13" s="153"/>
      <c r="AB13" s="154" t="s">
        <v>172</v>
      </c>
      <c r="AC13" s="160">
        <v>36742.260000000009</v>
      </c>
      <c r="AD13" s="160">
        <v>77428.78</v>
      </c>
      <c r="AE13" s="160">
        <v>71471.830000000045</v>
      </c>
      <c r="AF13" s="160">
        <v>242798.05000000002</v>
      </c>
      <c r="AG13" s="160">
        <v>-46591.319999999992</v>
      </c>
      <c r="AH13" s="160">
        <v>-43006.26999999999</v>
      </c>
      <c r="AI13" s="160">
        <v>-64448.7</v>
      </c>
      <c r="AJ13" s="160">
        <v>-38774.739999999991</v>
      </c>
      <c r="AK13" s="160">
        <v>22338.169999999984</v>
      </c>
      <c r="AL13" s="160">
        <v>2701.5200000000186</v>
      </c>
      <c r="AM13" s="160">
        <v>212662.2</v>
      </c>
      <c r="AN13" s="160">
        <v>-23139.009999999995</v>
      </c>
      <c r="AO13" s="160">
        <v>450182.77000000008</v>
      </c>
    </row>
    <row r="14" spans="3:41" ht="15.75" thickBot="1" x14ac:dyDescent="0.3">
      <c r="D14" s="34" t="s">
        <v>231</v>
      </c>
      <c r="E14" s="195">
        <f>SUM(E7:E13)</f>
        <v>618955.34000000008</v>
      </c>
      <c r="F14" s="195">
        <f t="shared" ref="F14:Q14" si="9">SUM(F7:F13)</f>
        <v>448064.02000000014</v>
      </c>
      <c r="G14" s="195">
        <f t="shared" si="9"/>
        <v>148538.42999999993</v>
      </c>
      <c r="H14" s="195">
        <f t="shared" si="9"/>
        <v>-76831.500000000044</v>
      </c>
      <c r="I14" s="195">
        <f t="shared" si="9"/>
        <v>-168016.06000000017</v>
      </c>
      <c r="J14" s="195">
        <v>-409866.51000000013</v>
      </c>
      <c r="K14" s="195">
        <f t="shared" si="9"/>
        <v>-154437.5599999995</v>
      </c>
      <c r="L14" s="195">
        <f t="shared" si="9"/>
        <v>-137897.46000000034</v>
      </c>
      <c r="M14" s="195">
        <f t="shared" si="9"/>
        <v>-287791.78999999998</v>
      </c>
      <c r="N14" s="195">
        <f t="shared" si="9"/>
        <v>0</v>
      </c>
      <c r="O14" s="195">
        <f t="shared" si="9"/>
        <v>0</v>
      </c>
      <c r="P14" s="195">
        <f t="shared" si="9"/>
        <v>0</v>
      </c>
      <c r="Q14" s="195">
        <f t="shared" si="9"/>
        <v>-19283.089999999997</v>
      </c>
      <c r="R14" s="226"/>
      <c r="S14" s="226"/>
      <c r="T14" s="162">
        <f>SUM(T7:T13)</f>
        <v>491787.58000041207</v>
      </c>
      <c r="U14" s="162">
        <f>SUM(U7:U13)</f>
        <v>511070.67000041204</v>
      </c>
      <c r="V14" s="213"/>
      <c r="W14" s="213"/>
      <c r="X14" s="135"/>
      <c r="AA14" s="153"/>
      <c r="AB14" s="161" t="s">
        <v>150</v>
      </c>
      <c r="AC14" s="162">
        <v>174.35000005055917</v>
      </c>
      <c r="AD14" s="162">
        <v>589440.2800000459</v>
      </c>
      <c r="AE14" s="162">
        <v>146691.88000002349</v>
      </c>
      <c r="AF14" s="162">
        <v>281469.82000004855</v>
      </c>
      <c r="AG14" s="162">
        <v>-301603.90999995172</v>
      </c>
      <c r="AH14" s="162">
        <v>-78194.599999926257</v>
      </c>
      <c r="AI14" s="162">
        <v>-56041.879999950805</v>
      </c>
      <c r="AJ14" s="162">
        <v>-104206.56999997623</v>
      </c>
      <c r="AK14" s="162">
        <v>14058.21000004869</v>
      </c>
      <c r="AL14" s="162">
        <v>-35170.289999952161</v>
      </c>
      <c r="AM14" s="162">
        <v>301461.82000000007</v>
      </c>
      <c r="AN14" s="162">
        <v>390588.92999999988</v>
      </c>
      <c r="AO14" s="208">
        <v>1148668.0400004601</v>
      </c>
    </row>
    <row r="15" spans="3:41" ht="15.75" thickTop="1" x14ac:dyDescent="0.25">
      <c r="E15" s="194"/>
      <c r="F15" s="194"/>
      <c r="G15" s="194"/>
      <c r="H15" s="194"/>
      <c r="I15" s="194"/>
      <c r="J15" s="194"/>
      <c r="K15" s="194"/>
      <c r="L15" s="194"/>
      <c r="M15" s="194"/>
      <c r="N15" s="194"/>
      <c r="O15" s="194"/>
      <c r="P15" s="194"/>
      <c r="Q15" s="194"/>
      <c r="R15" s="226"/>
      <c r="S15" s="226"/>
      <c r="T15" s="239"/>
      <c r="U15" s="193"/>
      <c r="V15" s="193"/>
      <c r="W15" s="193"/>
      <c r="X15" s="135"/>
      <c r="AA15" s="153"/>
      <c r="AB15" s="153"/>
      <c r="AC15" s="160"/>
      <c r="AD15" s="160"/>
      <c r="AE15" s="160"/>
      <c r="AF15" s="160"/>
      <c r="AG15" s="160"/>
      <c r="AH15" s="160"/>
      <c r="AI15" s="160"/>
      <c r="AJ15" s="160"/>
      <c r="AK15" s="160"/>
      <c r="AL15" s="160"/>
      <c r="AM15" s="160"/>
      <c r="AN15" s="160"/>
      <c r="AO15" s="160"/>
    </row>
    <row r="16" spans="3:41" x14ac:dyDescent="0.2">
      <c r="D16" t="s">
        <v>177</v>
      </c>
      <c r="E16" s="194">
        <f>VLOOKUP($D16,$B:$P,E$5+3,FALSE)</f>
        <v>-667753.21</v>
      </c>
      <c r="F16" s="194">
        <v>-634832.23</v>
      </c>
      <c r="G16" s="194">
        <f t="shared" ref="G16:I17" si="10">VLOOKUP($D16,$B:$P,G$5+3,FALSE)</f>
        <v>1302586.44</v>
      </c>
      <c r="H16" s="194">
        <f t="shared" si="10"/>
        <v>-680133.69</v>
      </c>
      <c r="I16" s="194">
        <f t="shared" si="10"/>
        <v>-667687.41</v>
      </c>
      <c r="J16" s="194">
        <v>1347821.11</v>
      </c>
      <c r="K16" s="194">
        <f t="shared" ref="K16:P17" si="11">VLOOKUP($D16,$B:$P,K$5+3,FALSE)</f>
        <v>-694183.22</v>
      </c>
      <c r="L16" s="194">
        <f t="shared" si="11"/>
        <v>-669567.13</v>
      </c>
      <c r="M16" s="194">
        <f t="shared" si="11"/>
        <v>1363750.34</v>
      </c>
      <c r="N16" s="194">
        <f t="shared" si="11"/>
        <v>0</v>
      </c>
      <c r="O16" s="194">
        <f t="shared" si="11"/>
        <v>0</v>
      </c>
      <c r="P16" s="194">
        <f t="shared" si="11"/>
        <v>0</v>
      </c>
      <c r="Q16" s="194">
        <f>SUM(E16:P16)</f>
        <v>1.0000000002328306</v>
      </c>
      <c r="R16" s="316" t="s">
        <v>280</v>
      </c>
      <c r="S16" s="226"/>
      <c r="T16" s="193"/>
      <c r="U16" s="193"/>
      <c r="V16" s="193"/>
      <c r="W16" s="193"/>
      <c r="X16" s="135"/>
      <c r="AB16" s="154" t="s">
        <v>143</v>
      </c>
      <c r="AC16" s="160">
        <v>208721.23000000109</v>
      </c>
      <c r="AD16" s="160">
        <v>208816.10000000059</v>
      </c>
      <c r="AE16" s="160">
        <v>281134.24000000057</v>
      </c>
      <c r="AF16" s="160">
        <v>244319.70000000071</v>
      </c>
      <c r="AG16" s="160">
        <v>146735.93000000165</v>
      </c>
      <c r="AH16" s="160">
        <v>70163.000000001455</v>
      </c>
      <c r="AI16" s="160">
        <v>228894.95000000083</v>
      </c>
      <c r="AJ16" s="160">
        <v>193491.00000000128</v>
      </c>
      <c r="AK16" s="160">
        <v>215029.07000000137</v>
      </c>
      <c r="AL16" s="160">
        <v>182706.98000000158</v>
      </c>
      <c r="AM16" s="160">
        <v>114202.45000000003</v>
      </c>
      <c r="AN16" s="160">
        <v>-2094214.65</v>
      </c>
      <c r="AO16" s="185">
        <v>1.1408701539039612E-8</v>
      </c>
    </row>
    <row r="17" spans="2:41" x14ac:dyDescent="0.2">
      <c r="D17" t="s">
        <v>63</v>
      </c>
      <c r="E17" s="194">
        <f>VLOOKUP($D17,$B:$P,E$5+3,FALSE)</f>
        <v>0</v>
      </c>
      <c r="F17" s="194">
        <v>0</v>
      </c>
      <c r="G17" s="194">
        <f t="shared" si="10"/>
        <v>0</v>
      </c>
      <c r="H17" s="194">
        <f t="shared" si="10"/>
        <v>0</v>
      </c>
      <c r="I17" s="194">
        <f t="shared" si="10"/>
        <v>0</v>
      </c>
      <c r="J17" s="194">
        <v>0</v>
      </c>
      <c r="K17" s="194">
        <f t="shared" si="11"/>
        <v>0</v>
      </c>
      <c r="L17" s="194">
        <f t="shared" si="11"/>
        <v>0</v>
      </c>
      <c r="M17" s="194">
        <f t="shared" si="11"/>
        <v>-3.637978807091713E-12</v>
      </c>
      <c r="N17" s="194">
        <f t="shared" si="11"/>
        <v>0</v>
      </c>
      <c r="O17" s="194">
        <f t="shared" si="11"/>
        <v>0</v>
      </c>
      <c r="P17" s="194">
        <f t="shared" si="11"/>
        <v>0</v>
      </c>
      <c r="Q17" s="194">
        <f>SUM(E17:P17)</f>
        <v>-3.637978807091713E-12</v>
      </c>
      <c r="R17" s="226" t="s">
        <v>264</v>
      </c>
      <c r="S17" s="226"/>
      <c r="T17" s="193"/>
      <c r="U17" s="193"/>
      <c r="V17" s="193"/>
      <c r="W17" s="193"/>
      <c r="X17" s="135"/>
      <c r="AB17" s="154"/>
      <c r="AC17" s="160"/>
      <c r="AD17" s="160"/>
      <c r="AE17" s="160"/>
      <c r="AF17" s="160"/>
      <c r="AG17" s="160"/>
      <c r="AH17" s="160"/>
      <c r="AI17" s="160"/>
      <c r="AJ17" s="160"/>
      <c r="AK17" s="160"/>
      <c r="AL17" s="160"/>
      <c r="AM17" s="160"/>
      <c r="AN17" s="160"/>
      <c r="AO17" s="185"/>
    </row>
    <row r="18" spans="2:41" x14ac:dyDescent="0.2">
      <c r="D18" s="291" t="s">
        <v>232</v>
      </c>
      <c r="E18" s="292">
        <f>E84</f>
        <v>-85751.33</v>
      </c>
      <c r="F18" s="292">
        <v>116794.78</v>
      </c>
      <c r="G18" s="292">
        <f>G84</f>
        <v>-1455850.4</v>
      </c>
      <c r="H18" s="292">
        <f>H84</f>
        <v>667784.47</v>
      </c>
      <c r="I18" s="292">
        <f>713695.88</f>
        <v>713695.88</v>
      </c>
      <c r="J18" s="292">
        <v>-517518.13</v>
      </c>
      <c r="K18" s="292">
        <f>K84</f>
        <v>848620.78</v>
      </c>
      <c r="L18" s="292">
        <f>L84</f>
        <v>807464.59</v>
      </c>
      <c r="M18" s="292"/>
      <c r="N18" s="292"/>
      <c r="O18" s="292"/>
      <c r="P18" s="292"/>
      <c r="Q18" s="293">
        <f>SUM(E18:M18)</f>
        <v>1095240.6400000001</v>
      </c>
      <c r="R18" s="226"/>
      <c r="S18" s="226"/>
      <c r="T18" s="193"/>
      <c r="U18" s="193"/>
      <c r="V18" s="193"/>
      <c r="W18" s="193"/>
      <c r="X18" s="135"/>
      <c r="AB18" s="154"/>
      <c r="AC18" s="160"/>
      <c r="AD18" s="160"/>
      <c r="AE18" s="160"/>
      <c r="AF18" s="160"/>
      <c r="AG18" s="160"/>
      <c r="AH18" s="160"/>
      <c r="AI18" s="160"/>
      <c r="AJ18" s="160"/>
      <c r="AK18" s="160"/>
      <c r="AL18" s="160"/>
      <c r="AM18" s="160"/>
      <c r="AN18" s="160"/>
      <c r="AO18" s="185"/>
    </row>
    <row r="19" spans="2:41" ht="15.75" thickBot="1" x14ac:dyDescent="0.3">
      <c r="E19" s="194"/>
      <c r="O19" s="247"/>
      <c r="P19" s="255" t="s">
        <v>209</v>
      </c>
      <c r="Q19" s="345">
        <f>Q14+Q16+Q17+Q18</f>
        <v>1075958.5500000003</v>
      </c>
      <c r="R19" s="226" t="s">
        <v>212</v>
      </c>
      <c r="S19" s="226"/>
      <c r="T19" s="193"/>
      <c r="U19" s="193"/>
      <c r="V19" s="193"/>
      <c r="W19" s="193"/>
      <c r="X19" s="135"/>
      <c r="AA19" s="153"/>
      <c r="AB19" s="154" t="s">
        <v>177</v>
      </c>
      <c r="AC19" s="160">
        <v>-732597.33</v>
      </c>
      <c r="AD19" s="160">
        <v>-654578.28</v>
      </c>
      <c r="AE19" s="160">
        <v>1387173.3499999996</v>
      </c>
      <c r="AF19" s="160">
        <v>-696967.16999999993</v>
      </c>
      <c r="AG19" s="160">
        <v>-714333.43</v>
      </c>
      <c r="AH19" s="160">
        <v>1433186.46</v>
      </c>
      <c r="AI19" s="160">
        <v>-707914.34</v>
      </c>
      <c r="AJ19" s="160">
        <v>-685243.19000000006</v>
      </c>
      <c r="AK19" s="160">
        <v>1371273.92</v>
      </c>
      <c r="AL19" s="160">
        <v>-704831.36</v>
      </c>
      <c r="AM19" s="160">
        <v>-685001.05999999994</v>
      </c>
      <c r="AN19" s="160">
        <v>1389832.4200000002</v>
      </c>
      <c r="AO19" s="160">
        <v>-1.0000000242143869E-2</v>
      </c>
    </row>
    <row r="20" spans="2:41" ht="15.75" thickTop="1" x14ac:dyDescent="0.25">
      <c r="D20" s="103" t="s">
        <v>233</v>
      </c>
      <c r="R20" s="226"/>
      <c r="S20" s="226"/>
      <c r="T20" s="193"/>
      <c r="U20" s="193"/>
      <c r="V20" s="193"/>
      <c r="W20" s="193"/>
      <c r="X20" s="135"/>
      <c r="AA20" s="153"/>
      <c r="AB20" s="154" t="s">
        <v>63</v>
      </c>
      <c r="AC20" s="160">
        <v>-4.5474735088646412E-13</v>
      </c>
      <c r="AD20" s="160">
        <v>-2.4726887204451486E-12</v>
      </c>
      <c r="AE20" s="160">
        <v>-2.4627411221445072E-11</v>
      </c>
      <c r="AF20" s="160">
        <v>-2.6716406864579767E-12</v>
      </c>
      <c r="AG20" s="160">
        <v>4.1211478674085811E-12</v>
      </c>
      <c r="AH20" s="160">
        <v>4.3769432522822171E-12</v>
      </c>
      <c r="AI20" s="160">
        <v>-1.8758328224066645E-12</v>
      </c>
      <c r="AJ20" s="160">
        <v>-3.637978807091713E-12</v>
      </c>
      <c r="AK20" s="160">
        <v>2.4738255888223648E-10</v>
      </c>
      <c r="AL20" s="160">
        <v>2.7512214728631079E-10</v>
      </c>
      <c r="AM20" s="160">
        <v>0</v>
      </c>
      <c r="AN20" s="160">
        <v>0</v>
      </c>
      <c r="AO20" s="160">
        <v>4.9526249767950503E-10</v>
      </c>
    </row>
    <row r="21" spans="2:41" x14ac:dyDescent="0.2">
      <c r="D21" s="36" t="s">
        <v>207</v>
      </c>
      <c r="E21" s="194">
        <f t="shared" ref="E21:J21" si="12">E87</f>
        <v>134549.20000000001</v>
      </c>
      <c r="F21" s="194">
        <f t="shared" si="12"/>
        <v>69973.430000000109</v>
      </c>
      <c r="G21" s="194">
        <f t="shared" si="12"/>
        <v>4725.5299999999697</v>
      </c>
      <c r="H21" s="194">
        <f t="shared" si="12"/>
        <v>89180.719999999914</v>
      </c>
      <c r="I21" s="194">
        <f t="shared" si="12"/>
        <v>122007.59000000003</v>
      </c>
      <c r="J21" s="194">
        <f t="shared" si="12"/>
        <v>485581.17999999993</v>
      </c>
      <c r="K21" s="194">
        <f>-K87</f>
        <v>127187</v>
      </c>
      <c r="L21" s="194">
        <f>L87</f>
        <v>94977.749999999942</v>
      </c>
      <c r="M21" s="194">
        <f>M87</f>
        <v>246508.21999999997</v>
      </c>
      <c r="N21" s="194">
        <f>N89</f>
        <v>0</v>
      </c>
      <c r="O21" s="194">
        <f>O89</f>
        <v>0</v>
      </c>
      <c r="P21" s="194">
        <f>P89</f>
        <v>0</v>
      </c>
      <c r="Q21" s="194">
        <f>SUM(E21:P21)</f>
        <v>1374690.6199999999</v>
      </c>
    </row>
    <row r="22" spans="2:41" x14ac:dyDescent="0.2">
      <c r="D22" s="36"/>
      <c r="E22" s="194"/>
      <c r="F22" s="194"/>
      <c r="G22" s="194"/>
      <c r="H22" s="194"/>
      <c r="I22" s="194"/>
      <c r="J22" s="194"/>
      <c r="K22" s="194"/>
      <c r="L22" s="194"/>
      <c r="M22" s="194"/>
      <c r="N22" s="194"/>
      <c r="O22" s="194"/>
      <c r="P22" s="194"/>
      <c r="Q22" s="194"/>
    </row>
    <row r="23" spans="2:41" x14ac:dyDescent="0.2">
      <c r="D23" s="291" t="s">
        <v>235</v>
      </c>
      <c r="E23" s="292">
        <v>0</v>
      </c>
      <c r="F23" s="292">
        <v>0</v>
      </c>
      <c r="G23" s="292">
        <v>0</v>
      </c>
      <c r="H23" s="292">
        <v>0</v>
      </c>
      <c r="I23" s="292">
        <v>0</v>
      </c>
      <c r="J23" s="312">
        <f>J88</f>
        <v>-906017.64999999991</v>
      </c>
      <c r="K23" s="292">
        <f>-K21</f>
        <v>-127187</v>
      </c>
      <c r="L23" s="292">
        <v>-94977.75</v>
      </c>
      <c r="M23" s="292">
        <v>0</v>
      </c>
      <c r="N23" s="292">
        <v>0</v>
      </c>
      <c r="O23" s="292">
        <v>0</v>
      </c>
      <c r="P23" s="292">
        <v>0</v>
      </c>
      <c r="Q23" s="293">
        <f>SUM(E23:M23)</f>
        <v>-1128182.3999999999</v>
      </c>
    </row>
    <row r="24" spans="2:41" x14ac:dyDescent="0.2">
      <c r="R24" s="226"/>
      <c r="S24" s="226"/>
      <c r="T24" s="193"/>
      <c r="U24" s="193"/>
      <c r="V24" s="193"/>
      <c r="W24" s="193"/>
      <c r="X24" s="202"/>
      <c r="AB24" s="154" t="s">
        <v>164</v>
      </c>
      <c r="AC24" s="160">
        <v>523701.75</v>
      </c>
      <c r="AD24" s="160">
        <v>-143678.1</v>
      </c>
      <c r="AE24" s="160">
        <v>-1815001.47</v>
      </c>
      <c r="AF24" s="160">
        <v>171177.65</v>
      </c>
      <c r="AG24" s="160">
        <v>869203.41</v>
      </c>
      <c r="AH24" s="160">
        <v>-1425154.8599999999</v>
      </c>
      <c r="AI24" s="160">
        <v>535061.27</v>
      </c>
      <c r="AJ24" s="160">
        <v>595958.76</v>
      </c>
      <c r="AK24" s="160">
        <v>-1600361.2</v>
      </c>
      <c r="AL24" s="160">
        <v>557294.66999994998</v>
      </c>
      <c r="AM24" s="160">
        <v>269336.8</v>
      </c>
      <c r="AN24" s="160">
        <v>313793.29999999935</v>
      </c>
      <c r="AO24" s="152">
        <v>-1148668.0200000501</v>
      </c>
    </row>
    <row r="25" spans="2:41" ht="13.5" thickBot="1" x14ac:dyDescent="0.25">
      <c r="D25" s="34" t="s">
        <v>18</v>
      </c>
      <c r="E25" s="195">
        <f>SUM(E14:E21)</f>
        <v>0</v>
      </c>
      <c r="F25" s="195">
        <f>SUM(F14:F21)</f>
        <v>2.6193447411060333E-10</v>
      </c>
      <c r="G25" s="195">
        <f>SUM(G14:G21)</f>
        <v>-5.8207660913467407E-11</v>
      </c>
      <c r="H25" s="195">
        <f>SUM(H14:H21)</f>
        <v>0</v>
      </c>
      <c r="I25" s="195">
        <f>SUM(I14:I21)</f>
        <v>-1.7462298274040222E-10</v>
      </c>
      <c r="J25" s="195">
        <f>SUM(J14:J24)</f>
        <v>0</v>
      </c>
      <c r="K25" s="195">
        <f>SUM(K14:K24)</f>
        <v>5.8207660913467407E-10</v>
      </c>
      <c r="L25" s="195">
        <f>SUM(L14:L24)</f>
        <v>-4.0745362639427185E-10</v>
      </c>
      <c r="M25" s="195">
        <f>SUM(M14:M21)</f>
        <v>1322466.77</v>
      </c>
      <c r="N25" s="195">
        <f>SUM(N14:N21)</f>
        <v>0</v>
      </c>
      <c r="O25" s="195">
        <f>SUM(O14:O21)</f>
        <v>0</v>
      </c>
      <c r="P25" s="195">
        <f>SUM(P14:P21)</f>
        <v>0</v>
      </c>
      <c r="Q25" s="200">
        <f>Q21+Q23</f>
        <v>246508.21999999997</v>
      </c>
      <c r="R25" s="224" t="s">
        <v>248</v>
      </c>
      <c r="S25" s="226"/>
      <c r="T25" s="193"/>
      <c r="U25" s="193"/>
      <c r="V25" s="193"/>
      <c r="W25" s="193"/>
      <c r="X25" s="202"/>
      <c r="AB25" s="154"/>
      <c r="AC25" s="160"/>
      <c r="AD25" s="160"/>
      <c r="AE25" s="160"/>
      <c r="AF25" s="160"/>
      <c r="AG25" s="160"/>
      <c r="AH25" s="160"/>
      <c r="AI25" s="160"/>
      <c r="AJ25" s="160"/>
      <c r="AK25" s="160"/>
      <c r="AL25" s="160"/>
      <c r="AM25" s="160"/>
      <c r="AN25" s="160"/>
      <c r="AO25" s="152"/>
    </row>
    <row r="26" spans="2:41" ht="13.5" thickTop="1" x14ac:dyDescent="0.2">
      <c r="E26" s="194"/>
      <c r="F26" s="194"/>
      <c r="G26" s="194"/>
      <c r="H26" s="211" t="s">
        <v>196</v>
      </c>
      <c r="I26" s="194"/>
      <c r="J26" s="194"/>
      <c r="K26" s="194"/>
      <c r="L26" s="194"/>
      <c r="M26" s="255" t="s">
        <v>228</v>
      </c>
      <c r="N26" s="194"/>
      <c r="O26" s="194"/>
      <c r="P26" s="194"/>
      <c r="R26" s="226"/>
      <c r="S26" s="226"/>
      <c r="T26" s="193"/>
      <c r="U26" s="193"/>
      <c r="V26" s="193"/>
      <c r="W26" s="193"/>
      <c r="X26" s="202"/>
      <c r="AB26" s="154"/>
      <c r="AC26" s="160"/>
      <c r="AD26" s="160"/>
      <c r="AE26" s="160"/>
      <c r="AF26" s="160"/>
      <c r="AG26" s="160"/>
      <c r="AH26" s="160"/>
      <c r="AI26" s="160"/>
      <c r="AJ26" s="160"/>
      <c r="AK26" s="160"/>
      <c r="AL26" s="160"/>
      <c r="AM26" s="160"/>
      <c r="AN26" s="160"/>
      <c r="AO26" s="152"/>
    </row>
    <row r="27" spans="2:41" ht="13.5" thickBot="1" x14ac:dyDescent="0.25">
      <c r="R27" s="226"/>
      <c r="S27" s="226"/>
      <c r="U27" s="213"/>
      <c r="V27" s="213"/>
      <c r="W27" s="213"/>
      <c r="X27" s="205"/>
      <c r="AB27" s="163" t="s">
        <v>18</v>
      </c>
      <c r="AC27" s="162">
        <v>5.163019523024559E-8</v>
      </c>
      <c r="AD27" s="162">
        <v>4.6449713408946991E-8</v>
      </c>
      <c r="AE27" s="162">
        <v>-1.999999976484105</v>
      </c>
      <c r="AF27" s="162">
        <v>4.9330992624163628E-8</v>
      </c>
      <c r="AG27" s="162">
        <v>2.0000000499421731</v>
      </c>
      <c r="AH27" s="162">
        <v>7.520429790019989E-8</v>
      </c>
      <c r="AI27" s="162">
        <v>5.005858838558197E-8</v>
      </c>
      <c r="AJ27" s="162">
        <v>2.5029294192790985E-8</v>
      </c>
      <c r="AK27" s="162">
        <v>5.029141902923584E-8</v>
      </c>
      <c r="AL27" s="162">
        <v>0</v>
      </c>
      <c r="AM27" s="162">
        <v>1.0000000125728548E-2</v>
      </c>
      <c r="AN27" s="162">
        <v>-4.6566128730773926E-10</v>
      </c>
      <c r="AO27" s="188">
        <v>1.0000421665608883E-2</v>
      </c>
    </row>
    <row r="28" spans="2:41" ht="15.75" thickTop="1" x14ac:dyDescent="0.25">
      <c r="R28" s="226"/>
      <c r="S28" s="226"/>
      <c r="U28" s="193"/>
      <c r="V28" s="193"/>
      <c r="W28" s="193"/>
      <c r="X28" s="135"/>
      <c r="AB28" s="153"/>
      <c r="AC28" s="160"/>
      <c r="AD28" s="160"/>
      <c r="AE28" s="160"/>
      <c r="AF28" s="160"/>
      <c r="AG28" s="160"/>
      <c r="AH28" s="160"/>
      <c r="AI28" s="160"/>
      <c r="AJ28" s="160"/>
      <c r="AK28" s="160"/>
      <c r="AL28" s="160"/>
      <c r="AM28" s="160"/>
      <c r="AN28" s="160"/>
      <c r="AO28" s="160"/>
    </row>
    <row r="29" spans="2:41" ht="15" x14ac:dyDescent="0.25">
      <c r="E29" s="135"/>
      <c r="F29" s="135"/>
      <c r="G29" s="135"/>
      <c r="H29" s="135"/>
      <c r="I29" s="135"/>
      <c r="J29" s="135"/>
      <c r="K29" s="135"/>
      <c r="L29" s="135"/>
      <c r="M29" s="135"/>
      <c r="N29" s="135"/>
      <c r="O29" s="135"/>
      <c r="P29" s="135"/>
      <c r="Q29" s="135"/>
      <c r="R29" s="227"/>
      <c r="S29" s="227"/>
      <c r="U29" s="214"/>
      <c r="V29" s="214"/>
      <c r="W29" s="214"/>
      <c r="X29" s="135"/>
      <c r="AB29" s="153"/>
      <c r="AC29" s="160"/>
      <c r="AD29" s="160"/>
      <c r="AE29" s="160"/>
      <c r="AF29" s="160"/>
      <c r="AG29" s="160"/>
      <c r="AH29" s="160"/>
      <c r="AI29" s="160"/>
      <c r="AJ29" s="160"/>
      <c r="AK29" s="160"/>
      <c r="AL29" s="160"/>
      <c r="AM29" s="160"/>
      <c r="AN29" s="160"/>
      <c r="AO29" s="160"/>
    </row>
    <row r="30" spans="2:41" ht="15" x14ac:dyDescent="0.25">
      <c r="Z30" s="153"/>
      <c r="AA30" s="153"/>
      <c r="AB30" s="153"/>
      <c r="AC30" s="153"/>
      <c r="AD30" s="153"/>
      <c r="AE30" s="153"/>
      <c r="AF30" s="153"/>
      <c r="AG30" s="153"/>
      <c r="AH30" s="153"/>
      <c r="AI30" s="153"/>
      <c r="AJ30" s="153"/>
      <c r="AK30" s="153"/>
      <c r="AL30" s="153"/>
      <c r="AM30" s="153"/>
      <c r="AN30" s="153"/>
      <c r="AO30" s="153"/>
    </row>
    <row r="31" spans="2:41" ht="25.15" customHeight="1" x14ac:dyDescent="0.2">
      <c r="B31" s="130" t="s">
        <v>144</v>
      </c>
      <c r="C31" s="130" t="s">
        <v>70</v>
      </c>
      <c r="D31" s="130" t="s">
        <v>71</v>
      </c>
      <c r="E31" s="121" t="s">
        <v>153</v>
      </c>
      <c r="F31" s="121" t="s">
        <v>154</v>
      </c>
      <c r="G31" s="121" t="s">
        <v>155</v>
      </c>
      <c r="H31" s="121" t="s">
        <v>156</v>
      </c>
      <c r="I31" s="121" t="s">
        <v>157</v>
      </c>
      <c r="J31" s="121" t="s">
        <v>158</v>
      </c>
      <c r="K31" s="121" t="s">
        <v>159</v>
      </c>
      <c r="L31" s="121" t="s">
        <v>160</v>
      </c>
      <c r="M31" s="121" t="s">
        <v>161</v>
      </c>
      <c r="N31" s="121" t="s">
        <v>162</v>
      </c>
      <c r="O31" s="121">
        <v>11</v>
      </c>
      <c r="P31" s="121">
        <v>12</v>
      </c>
      <c r="Q31" s="132" t="s">
        <v>163</v>
      </c>
      <c r="R31" s="225"/>
      <c r="S31" s="225"/>
      <c r="T31" s="238" t="s">
        <v>274</v>
      </c>
      <c r="U31" s="212"/>
      <c r="V31" s="212"/>
      <c r="W31" s="212"/>
      <c r="Z31" s="164" t="s">
        <v>144</v>
      </c>
      <c r="AA31" s="164" t="s">
        <v>70</v>
      </c>
      <c r="AB31" s="164" t="s">
        <v>71</v>
      </c>
      <c r="AC31" s="159" t="s">
        <v>153</v>
      </c>
      <c r="AD31" s="159" t="s">
        <v>154</v>
      </c>
      <c r="AE31" s="159" t="s">
        <v>155</v>
      </c>
      <c r="AF31" s="159" t="s">
        <v>156</v>
      </c>
      <c r="AG31" s="159" t="s">
        <v>157</v>
      </c>
      <c r="AH31" s="159" t="s">
        <v>158</v>
      </c>
      <c r="AI31" s="159" t="s">
        <v>159</v>
      </c>
      <c r="AJ31" s="159" t="s">
        <v>160</v>
      </c>
      <c r="AK31" s="159" t="s">
        <v>161</v>
      </c>
      <c r="AL31" s="159" t="s">
        <v>162</v>
      </c>
      <c r="AM31" s="159">
        <v>11</v>
      </c>
      <c r="AN31" s="159">
        <v>12</v>
      </c>
      <c r="AO31" s="165" t="s">
        <v>163</v>
      </c>
    </row>
    <row r="32" spans="2:41" x14ac:dyDescent="0.2">
      <c r="B32" s="122" t="s">
        <v>56</v>
      </c>
      <c r="C32" s="123" t="s">
        <v>72</v>
      </c>
      <c r="D32" s="123" t="s">
        <v>73</v>
      </c>
      <c r="E32" s="134">
        <v>17689.919999999998</v>
      </c>
      <c r="F32" s="196">
        <v>12408.95</v>
      </c>
      <c r="G32" s="196">
        <v>12984.27</v>
      </c>
      <c r="H32" s="196">
        <v>13276.77</v>
      </c>
      <c r="I32" s="196">
        <v>7920.1</v>
      </c>
      <c r="J32" s="196">
        <v>13153.35</v>
      </c>
      <c r="K32" s="196">
        <v>16233.4</v>
      </c>
      <c r="L32" s="196">
        <v>13637.47</v>
      </c>
      <c r="M32" s="196">
        <f>VLOOKUP($C32,'SAP detail'!$B:$C,2,FALSE)</f>
        <v>13645.4</v>
      </c>
      <c r="N32" s="196"/>
      <c r="O32" s="196"/>
      <c r="P32" s="196"/>
      <c r="Q32" s="134">
        <f t="shared" ref="Q32:Q46" si="13">SUM(E32:P32)</f>
        <v>120949.62999999999</v>
      </c>
      <c r="R32" s="227"/>
      <c r="S32" s="227"/>
      <c r="T32" s="215"/>
      <c r="U32" s="215"/>
      <c r="V32" s="215"/>
      <c r="W32" s="215"/>
      <c r="X32" s="135"/>
      <c r="Z32" s="166" t="s">
        <v>56</v>
      </c>
      <c r="AA32" s="167" t="s">
        <v>72</v>
      </c>
      <c r="AB32" s="167" t="s">
        <v>73</v>
      </c>
      <c r="AC32" s="168">
        <v>12588.5</v>
      </c>
      <c r="AD32" s="168">
        <v>12074.96</v>
      </c>
      <c r="AE32" s="168">
        <v>18190.63</v>
      </c>
      <c r="AF32" s="168">
        <v>13110.119999999999</v>
      </c>
      <c r="AG32" s="168">
        <v>13177.349999999999</v>
      </c>
      <c r="AH32" s="168">
        <v>8495.8999999999978</v>
      </c>
      <c r="AI32" s="168">
        <v>12136.09</v>
      </c>
      <c r="AJ32" s="168">
        <v>17450.71</v>
      </c>
      <c r="AK32" s="168">
        <v>12698.27</v>
      </c>
      <c r="AL32" s="168">
        <v>12679.89</v>
      </c>
      <c r="AM32" s="168">
        <v>12191.73</v>
      </c>
      <c r="AN32" s="168">
        <v>7290.15</v>
      </c>
      <c r="AO32" s="168">
        <v>152084.29999999999</v>
      </c>
    </row>
    <row r="33" spans="2:45" ht="13.15" customHeight="1" x14ac:dyDescent="0.2">
      <c r="B33" s="124"/>
      <c r="C33" s="123" t="s">
        <v>74</v>
      </c>
      <c r="D33" s="123" t="s">
        <v>75</v>
      </c>
      <c r="E33" s="134">
        <v>849283.67</v>
      </c>
      <c r="F33" s="196">
        <v>875522.15</v>
      </c>
      <c r="G33" s="196">
        <v>855672.81</v>
      </c>
      <c r="H33" s="196">
        <v>858744.07</v>
      </c>
      <c r="I33" s="196">
        <v>845685.02</v>
      </c>
      <c r="J33" s="196">
        <v>862924.13</v>
      </c>
      <c r="K33" s="196">
        <v>881452.77</v>
      </c>
      <c r="L33" s="196">
        <v>863483.17</v>
      </c>
      <c r="M33" s="196">
        <f>VLOOKUP($C33,'SAP detail'!$B:$C,2,FALSE)</f>
        <v>873621.61</v>
      </c>
      <c r="N33" s="196"/>
      <c r="O33" s="196"/>
      <c r="P33" s="196"/>
      <c r="Q33" s="134">
        <f t="shared" si="13"/>
        <v>7766389.3999999994</v>
      </c>
      <c r="S33" s="223" t="s">
        <v>67</v>
      </c>
      <c r="T33" s="385" t="s">
        <v>278</v>
      </c>
      <c r="U33" s="385"/>
      <c r="V33" s="385"/>
      <c r="W33" s="385"/>
      <c r="X33" s="385"/>
      <c r="Z33" s="169"/>
      <c r="AA33" s="167" t="s">
        <v>74</v>
      </c>
      <c r="AB33" s="167" t="s">
        <v>75</v>
      </c>
      <c r="AC33" s="168">
        <v>790906.99000000046</v>
      </c>
      <c r="AD33" s="168">
        <v>801245.42999999737</v>
      </c>
      <c r="AE33" s="168">
        <v>808345.94999999797</v>
      </c>
      <c r="AF33" s="168">
        <v>794179.5899999988</v>
      </c>
      <c r="AG33" s="168">
        <v>790237.13999999827</v>
      </c>
      <c r="AH33" s="168">
        <v>741535.84999999846</v>
      </c>
      <c r="AI33" s="168">
        <v>790862.18999999901</v>
      </c>
      <c r="AJ33" s="168">
        <v>810588.51999999874</v>
      </c>
      <c r="AK33" s="168">
        <v>798063.95999999763</v>
      </c>
      <c r="AL33" s="168">
        <v>800654.99999999884</v>
      </c>
      <c r="AM33" s="168">
        <v>823162.49</v>
      </c>
      <c r="AN33" s="168">
        <v>793947.3</v>
      </c>
      <c r="AO33" s="168">
        <v>9543730.4099999871</v>
      </c>
    </row>
    <row r="34" spans="2:45" x14ac:dyDescent="0.2">
      <c r="B34" s="124"/>
      <c r="C34" s="123" t="s">
        <v>91</v>
      </c>
      <c r="D34" s="123" t="s">
        <v>92</v>
      </c>
      <c r="E34" s="134">
        <v>819983.12</v>
      </c>
      <c r="F34" s="196">
        <v>774819.39</v>
      </c>
      <c r="G34" s="196">
        <v>774633.7</v>
      </c>
      <c r="H34" s="196">
        <v>763843.16</v>
      </c>
      <c r="I34" s="196">
        <v>698781.03</v>
      </c>
      <c r="J34" s="196">
        <v>746118.96</v>
      </c>
      <c r="K34" s="196">
        <v>790686.28</v>
      </c>
      <c r="L34" s="196">
        <v>730693.08</v>
      </c>
      <c r="M34" s="196">
        <f>VLOOKUP($C34,'SAP detail'!$B:$C,2,FALSE)</f>
        <v>755355.85</v>
      </c>
      <c r="N34" s="196"/>
      <c r="O34" s="196"/>
      <c r="P34" s="196"/>
      <c r="Q34" s="134">
        <f t="shared" si="13"/>
        <v>6854914.5700000003</v>
      </c>
      <c r="R34" s="227"/>
      <c r="S34" s="227"/>
      <c r="T34" s="385"/>
      <c r="U34" s="385"/>
      <c r="V34" s="385"/>
      <c r="W34" s="385"/>
      <c r="X34" s="385"/>
      <c r="Z34" s="169"/>
      <c r="AA34" s="167" t="s">
        <v>91</v>
      </c>
      <c r="AB34" s="167" t="s">
        <v>92</v>
      </c>
      <c r="AC34" s="168">
        <v>743726.46000004769</v>
      </c>
      <c r="AD34" s="168">
        <v>745618.56000004802</v>
      </c>
      <c r="AE34" s="168">
        <v>812386.73000002431</v>
      </c>
      <c r="AF34" s="168">
        <v>736763.25000004796</v>
      </c>
      <c r="AG34" s="168">
        <v>737337.89000004763</v>
      </c>
      <c r="AH34" s="168">
        <v>677928.60000007169</v>
      </c>
      <c r="AI34" s="168">
        <v>739335.23000004771</v>
      </c>
      <c r="AJ34" s="168">
        <v>779784.48000002373</v>
      </c>
      <c r="AK34" s="168">
        <v>742517.74000004784</v>
      </c>
      <c r="AL34" s="168">
        <v>720242.78000004706</v>
      </c>
      <c r="AM34" s="168">
        <v>768787.17</v>
      </c>
      <c r="AN34" s="168">
        <v>710681.56</v>
      </c>
      <c r="AO34" s="168">
        <v>8915110.4500004537</v>
      </c>
    </row>
    <row r="35" spans="2:45" x14ac:dyDescent="0.2">
      <c r="B35" s="124"/>
      <c r="C35" s="123" t="s">
        <v>105</v>
      </c>
      <c r="D35" s="123" t="s">
        <v>106</v>
      </c>
      <c r="E35" s="134">
        <v>57503.69</v>
      </c>
      <c r="F35" s="196">
        <v>59649.84</v>
      </c>
      <c r="G35" s="196">
        <v>63757.93</v>
      </c>
      <c r="H35" s="196">
        <v>60094.64</v>
      </c>
      <c r="I35" s="196">
        <v>59891.34</v>
      </c>
      <c r="J35" s="196">
        <v>60836.4</v>
      </c>
      <c r="K35" s="196">
        <v>63596.73</v>
      </c>
      <c r="L35" s="196">
        <v>64645.66</v>
      </c>
      <c r="M35" s="196">
        <f>VLOOKUP($C35,'SAP detail'!$B:$C,2,FALSE)</f>
        <v>64013.7</v>
      </c>
      <c r="N35" s="196"/>
      <c r="O35" s="196"/>
      <c r="P35" s="196"/>
      <c r="Q35" s="134">
        <f t="shared" si="13"/>
        <v>553989.92999999993</v>
      </c>
      <c r="R35" s="227"/>
      <c r="S35" s="227"/>
      <c r="T35" s="385"/>
      <c r="U35" s="385"/>
      <c r="V35" s="385"/>
      <c r="W35" s="385"/>
      <c r="X35" s="385"/>
      <c r="Z35" s="169"/>
      <c r="AA35" s="167" t="s">
        <v>105</v>
      </c>
      <c r="AB35" s="167" t="s">
        <v>106</v>
      </c>
      <c r="AC35" s="168">
        <v>58115.090000000004</v>
      </c>
      <c r="AD35" s="168">
        <v>56327.55</v>
      </c>
      <c r="AE35" s="168">
        <v>57454.829999999994</v>
      </c>
      <c r="AF35" s="168">
        <v>58845.06</v>
      </c>
      <c r="AG35" s="168">
        <v>45713.4</v>
      </c>
      <c r="AH35" s="168">
        <v>63080.339999999989</v>
      </c>
      <c r="AI35" s="168">
        <v>57687.96</v>
      </c>
      <c r="AJ35" s="168">
        <v>61124.37</v>
      </c>
      <c r="AK35" s="168">
        <v>59765.33</v>
      </c>
      <c r="AL35" s="168">
        <v>63785.77</v>
      </c>
      <c r="AM35" s="168">
        <v>56785.73</v>
      </c>
      <c r="AN35" s="168">
        <v>64154.91</v>
      </c>
      <c r="AO35" s="168">
        <v>702840.34</v>
      </c>
    </row>
    <row r="36" spans="2:45" x14ac:dyDescent="0.2">
      <c r="B36" s="124"/>
      <c r="C36" s="123" t="s">
        <v>119</v>
      </c>
      <c r="D36" s="123" t="s">
        <v>120</v>
      </c>
      <c r="E36" s="134">
        <v>564205.91</v>
      </c>
      <c r="F36" s="196">
        <v>-13375.23</v>
      </c>
      <c r="G36" s="196">
        <v>-5728.55</v>
      </c>
      <c r="H36" s="196">
        <v>23228.75</v>
      </c>
      <c r="I36" s="196">
        <v>1803.45</v>
      </c>
      <c r="J36" s="196">
        <v>-6183.81</v>
      </c>
      <c r="K36" s="196">
        <v>703.1</v>
      </c>
      <c r="L36" s="196">
        <v>-15882.33</v>
      </c>
      <c r="M36" s="196">
        <f>VLOOKUP($C36,'SAP detail'!$B:$C,2,FALSE)</f>
        <v>-17616.64</v>
      </c>
      <c r="N36" s="196"/>
      <c r="O36" s="196"/>
      <c r="P36" s="196"/>
      <c r="Q36" s="134">
        <f t="shared" si="13"/>
        <v>531154.64999999991</v>
      </c>
      <c r="R36" s="227"/>
      <c r="S36" s="227"/>
      <c r="T36" s="385"/>
      <c r="U36" s="385"/>
      <c r="V36" s="385"/>
      <c r="W36" s="385"/>
      <c r="X36" s="385"/>
      <c r="Z36" s="169"/>
      <c r="AA36" s="167" t="s">
        <v>119</v>
      </c>
      <c r="AB36" s="167" t="s">
        <v>120</v>
      </c>
      <c r="AC36" s="168">
        <v>15594.110000002285</v>
      </c>
      <c r="AD36" s="168">
        <v>-15728.749999997948</v>
      </c>
      <c r="AE36" s="168">
        <v>-19293.469999998997</v>
      </c>
      <c r="AF36" s="168">
        <v>23847.480000001466</v>
      </c>
      <c r="AG36" s="168">
        <v>-19499.83999999777</v>
      </c>
      <c r="AH36" s="168">
        <v>99682.230000003154</v>
      </c>
      <c r="AI36" s="168">
        <v>21162.250000001513</v>
      </c>
      <c r="AJ36" s="168">
        <v>-24995.909999998534</v>
      </c>
      <c r="AK36" s="168">
        <v>-9438.8299999973096</v>
      </c>
      <c r="AL36" s="168">
        <v>9212.670000001468</v>
      </c>
      <c r="AM36" s="168">
        <v>-19641.939999999999</v>
      </c>
      <c r="AN36" s="168">
        <v>524857.57999999996</v>
      </c>
      <c r="AO36" s="168">
        <v>585757.58000001928</v>
      </c>
      <c r="AQ36" s="207"/>
      <c r="AR36" s="206"/>
    </row>
    <row r="37" spans="2:45" x14ac:dyDescent="0.2">
      <c r="B37" s="124"/>
      <c r="C37" s="125" t="s">
        <v>176</v>
      </c>
      <c r="D37" s="125"/>
      <c r="E37" s="136">
        <v>2308666.31</v>
      </c>
      <c r="F37" s="197">
        <v>1709025.1</v>
      </c>
      <c r="G37" s="136">
        <v>1701320.16</v>
      </c>
      <c r="H37" s="136">
        <v>1719187.39</v>
      </c>
      <c r="I37" s="136">
        <v>1614080.94</v>
      </c>
      <c r="J37" s="136">
        <v>1676849.0299999998</v>
      </c>
      <c r="K37" s="136">
        <v>1752672.2800000003</v>
      </c>
      <c r="L37" s="136">
        <v>1656577.0499999998</v>
      </c>
      <c r="M37" s="136">
        <f t="shared" ref="M37:P37" si="14">SUM(M32:M36)</f>
        <v>1689019.92</v>
      </c>
      <c r="N37" s="136">
        <f t="shared" si="14"/>
        <v>0</v>
      </c>
      <c r="O37" s="136">
        <f t="shared" si="14"/>
        <v>0</v>
      </c>
      <c r="P37" s="136">
        <f t="shared" si="14"/>
        <v>0</v>
      </c>
      <c r="Q37" s="136">
        <f t="shared" si="13"/>
        <v>15827398.180000002</v>
      </c>
      <c r="R37" s="222"/>
      <c r="S37" s="222"/>
      <c r="T37" s="385"/>
      <c r="U37" s="385"/>
      <c r="V37" s="385"/>
      <c r="W37" s="385"/>
      <c r="X37" s="385"/>
      <c r="Z37" s="169"/>
      <c r="AA37" s="170" t="s">
        <v>176</v>
      </c>
      <c r="AB37" s="170"/>
      <c r="AC37" s="171">
        <v>1620931.1500000504</v>
      </c>
      <c r="AD37" s="171">
        <v>1599537.7500000475</v>
      </c>
      <c r="AE37" s="171">
        <v>1677084.6700000234</v>
      </c>
      <c r="AF37" s="171">
        <v>1626745.5000000482</v>
      </c>
      <c r="AG37" s="171">
        <v>1566965.9400000481</v>
      </c>
      <c r="AH37" s="171">
        <v>1590722.9200000735</v>
      </c>
      <c r="AI37" s="171">
        <v>1621183.7200000482</v>
      </c>
      <c r="AJ37" s="171">
        <v>1643952.1700000239</v>
      </c>
      <c r="AK37" s="171">
        <v>1603606.4700000482</v>
      </c>
      <c r="AL37" s="171">
        <v>1606576.1100000476</v>
      </c>
      <c r="AM37" s="171">
        <v>1641285.1800000002</v>
      </c>
      <c r="AN37" s="171">
        <v>2100931.5</v>
      </c>
      <c r="AO37" s="171">
        <v>19899523.080000456</v>
      </c>
      <c r="AP37" s="36"/>
      <c r="AQ37" s="135"/>
      <c r="AR37" s="194"/>
      <c r="AS37" s="135"/>
    </row>
    <row r="38" spans="2:45" x14ac:dyDescent="0.2">
      <c r="B38" s="124"/>
      <c r="C38" s="123" t="s">
        <v>69</v>
      </c>
      <c r="D38" s="123" t="s">
        <v>86</v>
      </c>
      <c r="E38" s="134">
        <v>-1711767.94</v>
      </c>
      <c r="F38" s="196">
        <v>-1609249.13</v>
      </c>
      <c r="G38" s="196">
        <v>-1721197.97</v>
      </c>
      <c r="H38" s="196">
        <v>-1728522.16</v>
      </c>
      <c r="I38" s="196">
        <v>-1689750.05</v>
      </c>
      <c r="J38" s="196">
        <v>-1919331.68</v>
      </c>
      <c r="K38" s="196">
        <v>-1772268.9</v>
      </c>
      <c r="L38" s="196">
        <v>-1695604.58</v>
      </c>
      <c r="M38" s="196">
        <f>VLOOKUP($C38,'SAP detail'!$B:$C,2,FALSE)</f>
        <v>-1837263.15</v>
      </c>
      <c r="N38" s="196"/>
      <c r="O38" s="196"/>
      <c r="P38" s="196"/>
      <c r="Q38" s="134">
        <f t="shared" si="13"/>
        <v>-15684955.560000001</v>
      </c>
      <c r="R38" s="227"/>
      <c r="S38" s="227"/>
      <c r="T38" s="385"/>
      <c r="U38" s="385"/>
      <c r="V38" s="385"/>
      <c r="W38" s="385"/>
      <c r="X38" s="385"/>
      <c r="Z38" s="169"/>
      <c r="AA38" s="167" t="s">
        <v>69</v>
      </c>
      <c r="AB38" s="167" t="s">
        <v>86</v>
      </c>
      <c r="AC38" s="168">
        <v>-1740157.8099999998</v>
      </c>
      <c r="AD38" s="168">
        <v>-1521308.59</v>
      </c>
      <c r="AE38" s="168">
        <v>-1674252.14</v>
      </c>
      <c r="AF38" s="168">
        <v>-1666627.56</v>
      </c>
      <c r="AG38" s="168">
        <v>-1710370.76</v>
      </c>
      <c r="AH38" s="168">
        <v>-1537166</v>
      </c>
      <c r="AI38" s="168">
        <v>-1696223.31</v>
      </c>
      <c r="AJ38" s="168">
        <v>-1655094.35</v>
      </c>
      <c r="AK38" s="168">
        <v>-1614020.2</v>
      </c>
      <c r="AL38" s="168">
        <v>-1707940.91</v>
      </c>
      <c r="AM38" s="168">
        <v>-1651654.31</v>
      </c>
      <c r="AN38" s="168">
        <v>-1724111.87</v>
      </c>
      <c r="AO38" s="168">
        <v>-19898927.809999999</v>
      </c>
      <c r="AP38" s="36"/>
      <c r="AQ38" s="135"/>
      <c r="AR38" s="194"/>
      <c r="AS38" s="135"/>
    </row>
    <row r="39" spans="2:45" ht="21.6" customHeight="1" x14ac:dyDescent="0.2">
      <c r="B39" s="126"/>
      <c r="C39" s="125" t="s">
        <v>165</v>
      </c>
      <c r="D39" s="125"/>
      <c r="E39" s="136">
        <v>-1711767.94</v>
      </c>
      <c r="F39" s="197">
        <v>-1609249.13</v>
      </c>
      <c r="G39" s="136">
        <v>-1721197.97</v>
      </c>
      <c r="H39" s="136">
        <v>-1728522.16</v>
      </c>
      <c r="I39" s="136">
        <v>-1689750.05</v>
      </c>
      <c r="J39" s="136">
        <v>-1919331.68</v>
      </c>
      <c r="K39" s="136">
        <v>-1772268.9</v>
      </c>
      <c r="L39" s="136">
        <v>-1695604.58</v>
      </c>
      <c r="M39" s="136">
        <f>M38</f>
        <v>-1837263.15</v>
      </c>
      <c r="N39" s="136">
        <f t="shared" ref="N39:P39" si="15">N38</f>
        <v>0</v>
      </c>
      <c r="O39" s="136">
        <f t="shared" si="15"/>
        <v>0</v>
      </c>
      <c r="P39" s="136">
        <f t="shared" si="15"/>
        <v>0</v>
      </c>
      <c r="Q39" s="136">
        <f t="shared" si="13"/>
        <v>-15684955.560000001</v>
      </c>
      <c r="R39" s="222"/>
      <c r="S39" s="222"/>
      <c r="T39" s="385"/>
      <c r="U39" s="385"/>
      <c r="V39" s="385"/>
      <c r="W39" s="385"/>
      <c r="X39" s="385"/>
      <c r="Z39" s="172"/>
      <c r="AA39" s="170" t="s">
        <v>165</v>
      </c>
      <c r="AB39" s="170"/>
      <c r="AC39" s="171">
        <v>-1740157.8099999998</v>
      </c>
      <c r="AD39" s="171">
        <v>-1521308.59</v>
      </c>
      <c r="AE39" s="171">
        <v>-1674252.14</v>
      </c>
      <c r="AF39" s="171">
        <v>-1666627.56</v>
      </c>
      <c r="AG39" s="171">
        <v>-1710370.76</v>
      </c>
      <c r="AH39" s="171">
        <v>-1537166</v>
      </c>
      <c r="AI39" s="171">
        <v>-1696223.31</v>
      </c>
      <c r="AJ39" s="171">
        <v>-1655094.35</v>
      </c>
      <c r="AK39" s="171">
        <v>-1614020.2</v>
      </c>
      <c r="AL39" s="171">
        <v>-1707940.91</v>
      </c>
      <c r="AM39" s="171">
        <v>-1651654.31</v>
      </c>
      <c r="AN39" s="171">
        <v>-1724111.87</v>
      </c>
      <c r="AO39" s="171">
        <v>-19898927.809999999</v>
      </c>
      <c r="AP39" s="36"/>
      <c r="AQ39" s="135"/>
      <c r="AR39" s="194"/>
      <c r="AS39" s="135"/>
    </row>
    <row r="40" spans="2:45" ht="21" customHeight="1" x14ac:dyDescent="0.2">
      <c r="B40" s="127" t="s">
        <v>169</v>
      </c>
      <c r="C40" s="127"/>
      <c r="D40" s="127"/>
      <c r="E40" s="137">
        <v>596898.37000000011</v>
      </c>
      <c r="F40" s="198">
        <v>99775.970000000205</v>
      </c>
      <c r="G40" s="137">
        <v>-19877.810000000056</v>
      </c>
      <c r="H40" s="137">
        <v>-9334.7700000000186</v>
      </c>
      <c r="I40" s="137">
        <v>-75669.110000000102</v>
      </c>
      <c r="J40" s="137">
        <v>-242482.65000000014</v>
      </c>
      <c r="K40" s="137">
        <v>-19596.619999999646</v>
      </c>
      <c r="L40" s="137">
        <v>-39027.530000000261</v>
      </c>
      <c r="M40" s="137">
        <f t="shared" ref="M40:P40" si="16">M37+M39</f>
        <v>-148243.22999999998</v>
      </c>
      <c r="N40" s="137">
        <f t="shared" si="16"/>
        <v>0</v>
      </c>
      <c r="O40" s="137">
        <f t="shared" si="16"/>
        <v>0</v>
      </c>
      <c r="P40" s="137">
        <f t="shared" si="16"/>
        <v>0</v>
      </c>
      <c r="Q40" s="137">
        <f t="shared" si="13"/>
        <v>142442.62000000011</v>
      </c>
      <c r="S40" s="265" t="s">
        <v>197</v>
      </c>
      <c r="T40" s="386" t="s">
        <v>277</v>
      </c>
      <c r="U40" s="386"/>
      <c r="V40" s="386"/>
      <c r="W40" s="386"/>
      <c r="X40" s="386"/>
      <c r="Y40" s="269"/>
      <c r="Z40" s="173" t="s">
        <v>169</v>
      </c>
      <c r="AA40" s="173"/>
      <c r="AB40" s="173"/>
      <c r="AC40" s="174">
        <v>-119226.65999994939</v>
      </c>
      <c r="AD40" s="174">
        <v>78229.160000047414</v>
      </c>
      <c r="AE40" s="174">
        <v>2832.5300000235438</v>
      </c>
      <c r="AF40" s="174">
        <v>-39882.05999995186</v>
      </c>
      <c r="AG40" s="174">
        <v>-143404.81999995187</v>
      </c>
      <c r="AH40" s="174">
        <v>53556.9200000735</v>
      </c>
      <c r="AI40" s="174">
        <v>-75039.589999951888</v>
      </c>
      <c r="AJ40" s="174">
        <v>-11142.179999976186</v>
      </c>
      <c r="AK40" s="174">
        <v>-10413.729999951785</v>
      </c>
      <c r="AL40" s="174">
        <v>-101364.79999995232</v>
      </c>
      <c r="AM40" s="174">
        <v>-10369.129999999888</v>
      </c>
      <c r="AN40" s="174">
        <v>376819.62999999989</v>
      </c>
      <c r="AO40" s="174">
        <v>595.27000045916066</v>
      </c>
      <c r="AP40" s="36"/>
      <c r="AQ40" s="135"/>
      <c r="AR40" s="194"/>
      <c r="AS40" s="135"/>
    </row>
    <row r="41" spans="2:45" x14ac:dyDescent="0.2">
      <c r="B41" s="122" t="s">
        <v>167</v>
      </c>
      <c r="C41" s="123" t="s">
        <v>99</v>
      </c>
      <c r="D41" s="123" t="s">
        <v>100</v>
      </c>
      <c r="E41" s="262">
        <v>557253.84</v>
      </c>
      <c r="F41" s="344">
        <v>616133.66</v>
      </c>
      <c r="G41" s="344">
        <v>555361.38</v>
      </c>
      <c r="H41" s="344">
        <v>563167.94999999995</v>
      </c>
      <c r="I41" s="344">
        <v>594800.99</v>
      </c>
      <c r="J41" s="344">
        <v>591826.82999999996</v>
      </c>
      <c r="K41" s="344">
        <v>590688.04</v>
      </c>
      <c r="L41" s="344">
        <v>539974.82999999996</v>
      </c>
      <c r="M41" s="344">
        <f>VLOOKUP($C41,'SAP detail'!$B:$C,2,FALSE)</f>
        <v>600455.82999999996</v>
      </c>
      <c r="N41" s="134"/>
      <c r="O41" s="134"/>
      <c r="P41" s="134"/>
      <c r="Q41" s="134">
        <f>SUM(E41:P41)</f>
        <v>5209663.3500000006</v>
      </c>
      <c r="R41" s="227"/>
      <c r="S41" s="227"/>
      <c r="T41" s="386"/>
      <c r="U41" s="386"/>
      <c r="V41" s="386"/>
      <c r="W41" s="386"/>
      <c r="X41" s="386"/>
      <c r="Y41" s="269"/>
      <c r="Z41" s="166" t="s">
        <v>167</v>
      </c>
      <c r="AA41" s="167" t="s">
        <v>99</v>
      </c>
      <c r="AB41" s="167" t="s">
        <v>100</v>
      </c>
      <c r="AC41" s="168">
        <v>493612.39999999997</v>
      </c>
      <c r="AD41" s="168">
        <v>523511.47</v>
      </c>
      <c r="AE41" s="168">
        <v>509100.08999999997</v>
      </c>
      <c r="AF41" s="168">
        <v>520183.39999999997</v>
      </c>
      <c r="AG41" s="168">
        <v>503037.14</v>
      </c>
      <c r="AH41" s="168">
        <v>517700.1</v>
      </c>
      <c r="AI41" s="168">
        <v>552530.9</v>
      </c>
      <c r="AJ41" s="168">
        <v>513369.79</v>
      </c>
      <c r="AK41" s="168">
        <v>551607.79</v>
      </c>
      <c r="AL41" s="168">
        <v>518045.88</v>
      </c>
      <c r="AM41" s="168">
        <v>735409.75</v>
      </c>
      <c r="AN41" s="168">
        <v>513843.79</v>
      </c>
      <c r="AO41" s="168">
        <v>6451952.5</v>
      </c>
      <c r="AP41" s="36"/>
      <c r="AQ41" s="135"/>
      <c r="AR41" s="193"/>
      <c r="AS41" s="135"/>
    </row>
    <row r="42" spans="2:45" x14ac:dyDescent="0.2">
      <c r="B42" s="338"/>
      <c r="C42" s="123"/>
      <c r="D42" s="123"/>
      <c r="E42" s="134">
        <v>0</v>
      </c>
      <c r="F42" s="196">
        <v>0</v>
      </c>
      <c r="G42" s="196">
        <v>0</v>
      </c>
      <c r="H42" s="196">
        <v>0</v>
      </c>
      <c r="I42" s="196">
        <v>116.72</v>
      </c>
      <c r="J42" s="196">
        <v>0</v>
      </c>
      <c r="K42" s="196">
        <v>24380</v>
      </c>
      <c r="L42" s="196">
        <v>0</v>
      </c>
      <c r="M42" s="196">
        <f>IFERROR(VLOOKUP($C63,'SAP detail'!$B:$C,2,FALSE),0)</f>
        <v>0</v>
      </c>
      <c r="N42" s="134"/>
      <c r="O42" s="134"/>
      <c r="P42" s="134"/>
      <c r="Q42" s="134">
        <f>SUM(E42:P42)</f>
        <v>24496.720000000001</v>
      </c>
      <c r="R42" s="227"/>
      <c r="S42" s="227"/>
      <c r="T42" s="386"/>
      <c r="U42" s="386"/>
      <c r="V42" s="386"/>
      <c r="W42" s="386"/>
      <c r="X42" s="386"/>
      <c r="Y42" s="269"/>
      <c r="Z42" s="339"/>
      <c r="AA42" s="167"/>
      <c r="AB42" s="167"/>
      <c r="AC42" s="168"/>
      <c r="AD42" s="168"/>
      <c r="AE42" s="168"/>
      <c r="AF42" s="168"/>
      <c r="AG42" s="168"/>
      <c r="AH42" s="168"/>
      <c r="AI42" s="168"/>
      <c r="AJ42" s="168"/>
      <c r="AK42" s="168"/>
      <c r="AL42" s="168"/>
      <c r="AM42" s="168"/>
      <c r="AN42" s="168"/>
      <c r="AO42" s="168"/>
      <c r="AP42" s="36"/>
      <c r="AQ42" s="135"/>
      <c r="AR42" s="193"/>
      <c r="AS42" s="135"/>
    </row>
    <row r="43" spans="2:45" x14ac:dyDescent="0.2">
      <c r="B43" s="124"/>
      <c r="C43" s="123" t="s">
        <v>101</v>
      </c>
      <c r="D43" s="123" t="s">
        <v>102</v>
      </c>
      <c r="E43" s="134">
        <v>-597272.44999999995</v>
      </c>
      <c r="F43" s="196">
        <v>-561823.05000000005</v>
      </c>
      <c r="G43" s="196">
        <v>-600851.81000000006</v>
      </c>
      <c r="H43" s="196">
        <v>-603384.39</v>
      </c>
      <c r="I43" s="196">
        <v>-589977.59999999998</v>
      </c>
      <c r="J43" s="196">
        <v>-525234.47</v>
      </c>
      <c r="K43" s="196">
        <v>-618511.32999999996</v>
      </c>
      <c r="L43" s="196">
        <v>-592002.01</v>
      </c>
      <c r="M43" s="196">
        <f>VLOOKUP($C43,'SAP detail'!$B:$C,2,FALSE)</f>
        <v>-545102.89</v>
      </c>
      <c r="N43" s="134"/>
      <c r="O43" s="134"/>
      <c r="P43" s="134"/>
      <c r="Q43" s="134">
        <f>SUM(E43:P43)</f>
        <v>-5234160</v>
      </c>
      <c r="R43" s="227"/>
      <c r="S43" s="227"/>
      <c r="T43" s="386"/>
      <c r="U43" s="386"/>
      <c r="V43" s="386"/>
      <c r="W43" s="386"/>
      <c r="X43" s="386"/>
      <c r="Y43" s="269"/>
      <c r="Z43" s="169"/>
      <c r="AA43" s="167" t="s">
        <v>101</v>
      </c>
      <c r="AB43" s="167" t="s">
        <v>102</v>
      </c>
      <c r="AC43" s="168">
        <v>-547003.66</v>
      </c>
      <c r="AD43" s="168">
        <v>-479102.81</v>
      </c>
      <c r="AE43" s="168">
        <v>-526175.85</v>
      </c>
      <c r="AF43" s="168">
        <v>-523585.85</v>
      </c>
      <c r="AG43" s="168">
        <v>-537165.14</v>
      </c>
      <c r="AH43" s="168">
        <v>-498988.51</v>
      </c>
      <c r="AI43" s="168">
        <v>-532792.25</v>
      </c>
      <c r="AJ43" s="168">
        <v>-519564.27</v>
      </c>
      <c r="AK43" s="168">
        <v>-506842.52</v>
      </c>
      <c r="AL43" s="168">
        <v>-535941.28</v>
      </c>
      <c r="AM43" s="168">
        <v>-518504.83</v>
      </c>
      <c r="AN43" s="168">
        <v>-540952.78</v>
      </c>
      <c r="AO43" s="168">
        <v>-6266619.7500000009</v>
      </c>
      <c r="AP43" s="36"/>
      <c r="AQ43" s="135"/>
      <c r="AR43" s="193"/>
      <c r="AS43" s="135"/>
    </row>
    <row r="44" spans="2:45" x14ac:dyDescent="0.2">
      <c r="B44" s="127" t="s">
        <v>173</v>
      </c>
      <c r="C44" s="127"/>
      <c r="D44" s="127"/>
      <c r="E44" s="137">
        <f>SUM(E41:E43)</f>
        <v>-40018.609999999986</v>
      </c>
      <c r="F44" s="137">
        <f t="shared" ref="F44:M44" si="17">SUM(F41:F43)</f>
        <v>54310.609999999986</v>
      </c>
      <c r="G44" s="137">
        <f t="shared" si="17"/>
        <v>-45490.430000000051</v>
      </c>
      <c r="H44" s="137">
        <f t="shared" si="17"/>
        <v>-40216.440000000061</v>
      </c>
      <c r="I44" s="137">
        <f t="shared" si="17"/>
        <v>4940.109999999986</v>
      </c>
      <c r="J44" s="137">
        <f t="shared" si="17"/>
        <v>66592.359999999986</v>
      </c>
      <c r="K44" s="137">
        <f t="shared" si="17"/>
        <v>-3443.2899999999208</v>
      </c>
      <c r="L44" s="137">
        <f t="shared" si="17"/>
        <v>-52027.180000000051</v>
      </c>
      <c r="M44" s="137">
        <f t="shared" si="17"/>
        <v>55352.939999999944</v>
      </c>
      <c r="N44" s="137">
        <f>SUM(N41:N43)</f>
        <v>0</v>
      </c>
      <c r="O44" s="137">
        <f>SUM(O41:O43)</f>
        <v>0</v>
      </c>
      <c r="P44" s="137">
        <f>SUM(P41:P43)</f>
        <v>0</v>
      </c>
      <c r="Q44" s="137">
        <f>SUM(Q41:Q43)</f>
        <v>7.0000000298023224E-2</v>
      </c>
      <c r="R44" s="222"/>
      <c r="S44" s="222"/>
      <c r="T44" s="386"/>
      <c r="U44" s="386"/>
      <c r="V44" s="386"/>
      <c r="W44" s="386"/>
      <c r="X44" s="386"/>
      <c r="Y44" s="269"/>
      <c r="Z44" s="173" t="s">
        <v>173</v>
      </c>
      <c r="AA44" s="173"/>
      <c r="AB44" s="173"/>
      <c r="AC44" s="174">
        <v>-53391.260000000068</v>
      </c>
      <c r="AD44" s="174">
        <v>44408.659999999974</v>
      </c>
      <c r="AE44" s="174">
        <v>-17075.760000000009</v>
      </c>
      <c r="AF44" s="174">
        <v>-3402.4500000000116</v>
      </c>
      <c r="AG44" s="174">
        <v>-34128</v>
      </c>
      <c r="AH44" s="174">
        <v>18711.589999999967</v>
      </c>
      <c r="AI44" s="174">
        <v>19738.650000000023</v>
      </c>
      <c r="AJ44" s="174">
        <v>-6194.4800000000396</v>
      </c>
      <c r="AK44" s="174">
        <v>44765.270000000019</v>
      </c>
      <c r="AL44" s="174">
        <v>-17895.400000000023</v>
      </c>
      <c r="AM44" s="174">
        <v>216904.91999999998</v>
      </c>
      <c r="AN44" s="174">
        <v>-27108.990000000049</v>
      </c>
      <c r="AO44" s="174">
        <v>185332.74999999977</v>
      </c>
      <c r="AQ44" s="135"/>
      <c r="AR44" s="193"/>
      <c r="AS44" s="135"/>
    </row>
    <row r="45" spans="2:45" x14ac:dyDescent="0.2">
      <c r="B45" s="122" t="s">
        <v>141</v>
      </c>
      <c r="C45" s="145" t="s">
        <v>76</v>
      </c>
      <c r="D45" s="145" t="s">
        <v>77</v>
      </c>
      <c r="E45" s="134">
        <v>2346.29</v>
      </c>
      <c r="F45" s="196">
        <v>2346.29</v>
      </c>
      <c r="G45" s="196">
        <v>42729.48</v>
      </c>
      <c r="H45" s="196">
        <v>8701.08</v>
      </c>
      <c r="I45" s="196">
        <v>9329.2199999999993</v>
      </c>
      <c r="J45" s="196">
        <v>11110.2</v>
      </c>
      <c r="K45" s="196">
        <v>11351.27</v>
      </c>
      <c r="L45" s="196">
        <v>13748.3</v>
      </c>
      <c r="M45" s="196">
        <f>VLOOKUP($C45,'SAP detail'!$B:$C,2,FALSE)</f>
        <v>14746.53</v>
      </c>
      <c r="N45" s="134"/>
      <c r="O45" s="134"/>
      <c r="P45" s="134"/>
      <c r="Q45" s="143">
        <f t="shared" si="13"/>
        <v>116408.66000000002</v>
      </c>
      <c r="R45" s="228"/>
      <c r="S45" s="228"/>
      <c r="T45" s="386"/>
      <c r="U45" s="386"/>
      <c r="V45" s="386"/>
      <c r="W45" s="386"/>
      <c r="X45" s="386"/>
      <c r="Y45" s="269"/>
      <c r="Z45" s="166" t="s">
        <v>141</v>
      </c>
      <c r="AA45" s="184" t="s">
        <v>76</v>
      </c>
      <c r="AB45" s="184" t="s">
        <v>77</v>
      </c>
      <c r="AC45" s="257">
        <v>3656.11</v>
      </c>
      <c r="AD45" s="257">
        <v>2221.23</v>
      </c>
      <c r="AE45" s="257">
        <v>38201.71</v>
      </c>
      <c r="AF45" s="257">
        <v>8799.68</v>
      </c>
      <c r="AG45" s="257">
        <v>8829.5400000000009</v>
      </c>
      <c r="AH45" s="257">
        <v>10757.48</v>
      </c>
      <c r="AI45" s="257"/>
      <c r="AJ45" s="257">
        <v>26093.02</v>
      </c>
      <c r="AK45" s="257">
        <v>12867.55</v>
      </c>
      <c r="AL45" s="257">
        <v>13639.87</v>
      </c>
      <c r="AM45" s="257">
        <v>13679.82</v>
      </c>
      <c r="AN45" s="257">
        <v>14630.81</v>
      </c>
      <c r="AO45" s="256">
        <v>153376.82</v>
      </c>
      <c r="AR45" s="203"/>
    </row>
    <row r="46" spans="2:45" x14ac:dyDescent="0.2">
      <c r="B46" s="124"/>
      <c r="C46" s="145" t="s">
        <v>78</v>
      </c>
      <c r="D46" s="145" t="s">
        <v>79</v>
      </c>
      <c r="E46" s="134">
        <v>357911.83</v>
      </c>
      <c r="F46" s="196">
        <v>685837.86</v>
      </c>
      <c r="G46" s="196">
        <v>484027.33</v>
      </c>
      <c r="H46" s="196">
        <v>369553.12</v>
      </c>
      <c r="I46" s="196">
        <v>446483.06</v>
      </c>
      <c r="J46" s="196">
        <v>411733</v>
      </c>
      <c r="K46" s="196">
        <v>372170.19</v>
      </c>
      <c r="L46" s="196">
        <v>371032.43</v>
      </c>
      <c r="M46" s="196">
        <f>VLOOKUP($C46,'SAP detail'!$B:$C,2,FALSE)</f>
        <v>378382.42</v>
      </c>
      <c r="N46" s="134"/>
      <c r="O46" s="134"/>
      <c r="P46" s="134"/>
      <c r="Q46" s="143">
        <f t="shared" si="13"/>
        <v>3877131.24</v>
      </c>
      <c r="R46" s="228"/>
      <c r="S46" s="228"/>
      <c r="T46" s="386"/>
      <c r="U46" s="386"/>
      <c r="V46" s="386"/>
      <c r="W46" s="386"/>
      <c r="X46" s="386"/>
      <c r="Y46" s="269"/>
      <c r="Z46" s="169"/>
      <c r="AA46" s="184" t="s">
        <v>78</v>
      </c>
      <c r="AB46" s="184" t="s">
        <v>79</v>
      </c>
      <c r="AC46" s="257">
        <v>314070.86999999994</v>
      </c>
      <c r="AD46" s="257">
        <v>623124.42999999842</v>
      </c>
      <c r="AE46" s="257">
        <v>389317.14999999997</v>
      </c>
      <c r="AF46" s="257">
        <v>310325.11000000045</v>
      </c>
      <c r="AG46" s="257">
        <v>312987.95000000013</v>
      </c>
      <c r="AH46" s="257">
        <v>400673.02000000014</v>
      </c>
      <c r="AI46" s="257">
        <v>309845.44000000099</v>
      </c>
      <c r="AJ46" s="257">
        <v>302110.7800000002</v>
      </c>
      <c r="AK46" s="257">
        <v>304600.66000000061</v>
      </c>
      <c r="AL46" s="257">
        <v>309328.76000000036</v>
      </c>
      <c r="AM46" s="257">
        <v>315330.12</v>
      </c>
      <c r="AN46" s="257">
        <v>390676.77</v>
      </c>
      <c r="AO46" s="256">
        <v>4282391.0600000005</v>
      </c>
      <c r="AR46" s="203"/>
    </row>
    <row r="47" spans="2:45" x14ac:dyDescent="0.2">
      <c r="B47" s="124"/>
      <c r="C47" s="145" t="s">
        <v>80</v>
      </c>
      <c r="D47" s="145" t="s">
        <v>81</v>
      </c>
      <c r="E47" s="262">
        <v>221297.01</v>
      </c>
      <c r="F47" s="344">
        <v>416077.47</v>
      </c>
      <c r="G47" s="344">
        <v>310934.56</v>
      </c>
      <c r="H47" s="344">
        <v>229666.81</v>
      </c>
      <c r="I47" s="344">
        <v>275588.84999999998</v>
      </c>
      <c r="J47" s="344">
        <v>230976.87</v>
      </c>
      <c r="K47" s="344">
        <v>231979.49</v>
      </c>
      <c r="L47" s="344">
        <v>232209.9</v>
      </c>
      <c r="M47" s="344">
        <f>VLOOKUP($C47,'SAP detail'!$B:$C,2,FALSE)</f>
        <v>238164</v>
      </c>
      <c r="N47" s="262"/>
      <c r="O47" s="262"/>
      <c r="P47" s="262"/>
      <c r="Q47" s="143">
        <f t="shared" ref="Q47:Q80" si="18">SUM(E47:P47)</f>
        <v>2386894.9600000004</v>
      </c>
      <c r="R47" s="228"/>
      <c r="S47" s="228"/>
      <c r="T47" s="269"/>
      <c r="U47" s="269"/>
      <c r="V47" s="269"/>
      <c r="W47" s="269"/>
      <c r="X47" s="269"/>
      <c r="Y47" s="269"/>
      <c r="Z47" s="169"/>
      <c r="AA47" s="184" t="s">
        <v>80</v>
      </c>
      <c r="AB47" s="184" t="s">
        <v>81</v>
      </c>
      <c r="AC47" s="168">
        <v>194367.3000000001</v>
      </c>
      <c r="AD47" s="168">
        <v>379656.50000000006</v>
      </c>
      <c r="AE47" s="168">
        <v>245739.22999999995</v>
      </c>
      <c r="AF47" s="168">
        <v>193377.37999999992</v>
      </c>
      <c r="AG47" s="168">
        <v>196845.58000000002</v>
      </c>
      <c r="AH47" s="168">
        <v>230464.97000000012</v>
      </c>
      <c r="AI47" s="168">
        <v>194357.99000000002</v>
      </c>
      <c r="AJ47" s="168">
        <v>192562.21999999974</v>
      </c>
      <c r="AK47" s="168">
        <v>195758.95999999988</v>
      </c>
      <c r="AL47" s="168">
        <v>202494.08999999976</v>
      </c>
      <c r="AM47" s="168">
        <v>203649.49</v>
      </c>
      <c r="AN47" s="168">
        <v>254865.89</v>
      </c>
      <c r="AO47" s="175">
        <v>2684139.6</v>
      </c>
      <c r="AR47" s="203"/>
    </row>
    <row r="48" spans="2:45" ht="13.15" customHeight="1" x14ac:dyDescent="0.2">
      <c r="B48" s="124"/>
      <c r="C48" s="125" t="s">
        <v>176</v>
      </c>
      <c r="D48" s="125"/>
      <c r="E48" s="136">
        <v>581555.13</v>
      </c>
      <c r="F48" s="197">
        <v>1104261.6200000001</v>
      </c>
      <c r="G48" s="136">
        <v>837691.37000000011</v>
      </c>
      <c r="H48" s="136">
        <v>607921.01</v>
      </c>
      <c r="I48" s="136">
        <v>731401.12999999989</v>
      </c>
      <c r="J48" s="136">
        <v>653820.07000000007</v>
      </c>
      <c r="K48" s="136">
        <v>615500.94999999995</v>
      </c>
      <c r="L48" s="136">
        <v>616990.63</v>
      </c>
      <c r="M48" s="136">
        <f t="shared" ref="M48:P48" si="19">SUM(M45:M47)</f>
        <v>631292.94999999995</v>
      </c>
      <c r="N48" s="136">
        <f t="shared" si="19"/>
        <v>0</v>
      </c>
      <c r="O48" s="136">
        <f t="shared" si="19"/>
        <v>0</v>
      </c>
      <c r="P48" s="136">
        <f t="shared" si="19"/>
        <v>0</v>
      </c>
      <c r="Q48" s="142">
        <f t="shared" si="18"/>
        <v>6380434.8600000003</v>
      </c>
      <c r="R48" s="229"/>
      <c r="S48" s="234" t="s">
        <v>198</v>
      </c>
      <c r="T48" s="390" t="s">
        <v>272</v>
      </c>
      <c r="U48" s="390"/>
      <c r="V48" s="390"/>
      <c r="W48" s="390"/>
      <c r="X48" s="390"/>
      <c r="Z48" s="169"/>
      <c r="AA48" s="170" t="s">
        <v>176</v>
      </c>
      <c r="AB48" s="170"/>
      <c r="AC48" s="171">
        <v>512094.28</v>
      </c>
      <c r="AD48" s="171">
        <v>1005002.1599999985</v>
      </c>
      <c r="AE48" s="171">
        <v>673258.09</v>
      </c>
      <c r="AF48" s="171">
        <v>512502.17000000039</v>
      </c>
      <c r="AG48" s="171">
        <v>518663.07000000012</v>
      </c>
      <c r="AH48" s="171">
        <v>641895.4700000002</v>
      </c>
      <c r="AI48" s="171">
        <v>504203.43000000098</v>
      </c>
      <c r="AJ48" s="171">
        <v>520766.01999999996</v>
      </c>
      <c r="AK48" s="171">
        <v>513227.17000000051</v>
      </c>
      <c r="AL48" s="171">
        <v>525462.72000000009</v>
      </c>
      <c r="AM48" s="171">
        <v>532659.42999999993</v>
      </c>
      <c r="AN48" s="171">
        <v>660173.47</v>
      </c>
      <c r="AO48" s="176">
        <v>7119907.4799999995</v>
      </c>
      <c r="AR48" s="203"/>
    </row>
    <row r="49" spans="2:41" x14ac:dyDescent="0.2">
      <c r="B49" s="124"/>
      <c r="C49" s="145" t="s">
        <v>82</v>
      </c>
      <c r="D49" s="145" t="s">
        <v>83</v>
      </c>
      <c r="E49" s="134">
        <v>-422813.07</v>
      </c>
      <c r="F49" s="196">
        <v>-399708.45</v>
      </c>
      <c r="G49" s="196">
        <v>-426224.58</v>
      </c>
      <c r="H49" s="196">
        <v>-426178.62</v>
      </c>
      <c r="I49" s="196">
        <v>-419664.14</v>
      </c>
      <c r="J49" s="196">
        <v>-549439.21</v>
      </c>
      <c r="K49" s="196">
        <v>-436811.22</v>
      </c>
      <c r="L49" s="196">
        <v>-420824.03</v>
      </c>
      <c r="M49" s="196">
        <f>VLOOKUP($C49,'SAP detail'!$B:$C,2,FALSE)</f>
        <v>-432250.55</v>
      </c>
      <c r="N49" s="134"/>
      <c r="O49" s="134"/>
      <c r="P49" s="134"/>
      <c r="Q49" s="143">
        <f t="shared" si="18"/>
        <v>-3933913.87</v>
      </c>
      <c r="R49" s="228"/>
      <c r="S49" s="228"/>
      <c r="T49" s="390"/>
      <c r="U49" s="390"/>
      <c r="V49" s="390"/>
      <c r="W49" s="390"/>
      <c r="X49" s="390"/>
      <c r="Z49" s="169"/>
      <c r="AA49" s="184" t="s">
        <v>82</v>
      </c>
      <c r="AB49" s="184" t="s">
        <v>83</v>
      </c>
      <c r="AC49" s="257">
        <v>-366456.47000000003</v>
      </c>
      <c r="AD49" s="257">
        <v>-322378.19</v>
      </c>
      <c r="AE49" s="257">
        <v>-355348.84</v>
      </c>
      <c r="AF49" s="257">
        <v>-350567.58</v>
      </c>
      <c r="AG49" s="257">
        <v>-362787.51</v>
      </c>
      <c r="AH49" s="257">
        <v>-334252.83</v>
      </c>
      <c r="AI49" s="257">
        <v>-356619.47</v>
      </c>
      <c r="AJ49" s="257">
        <v>-346012.45</v>
      </c>
      <c r="AK49" s="257">
        <v>-338127.59</v>
      </c>
      <c r="AL49" s="257">
        <v>-358773.87</v>
      </c>
      <c r="AM49" s="257">
        <v>-347099.35</v>
      </c>
      <c r="AN49" s="257">
        <v>-362726.68</v>
      </c>
      <c r="AO49" s="256">
        <v>-4201150.83</v>
      </c>
    </row>
    <row r="50" spans="2:41" ht="13.15" customHeight="1" x14ac:dyDescent="0.2">
      <c r="B50" s="124"/>
      <c r="C50" s="145" t="s">
        <v>84</v>
      </c>
      <c r="D50" s="145" t="s">
        <v>85</v>
      </c>
      <c r="E50" s="262">
        <v>-278622.87</v>
      </c>
      <c r="F50" s="344">
        <v>-263015.45</v>
      </c>
      <c r="G50" s="344">
        <v>-280557.01</v>
      </c>
      <c r="H50" s="344">
        <v>-280608.82</v>
      </c>
      <c r="I50" s="344">
        <v>-276099.63</v>
      </c>
      <c r="J50" s="344">
        <v>-279417.62</v>
      </c>
      <c r="K50" s="344">
        <v>-287753.48</v>
      </c>
      <c r="L50" s="344">
        <v>-276890.94</v>
      </c>
      <c r="M50" s="344">
        <f>VLOOKUP($C50,'SAP detail'!$B:$C,2,FALSE)</f>
        <v>-285700.84000000003</v>
      </c>
      <c r="N50" s="262"/>
      <c r="O50" s="262"/>
      <c r="P50" s="262"/>
      <c r="Q50" s="143">
        <f t="shared" si="18"/>
        <v>-2508666.66</v>
      </c>
      <c r="R50" s="228"/>
      <c r="T50" s="390"/>
      <c r="U50" s="390"/>
      <c r="V50" s="390"/>
      <c r="W50" s="390"/>
      <c r="X50" s="390"/>
      <c r="Z50" s="169"/>
      <c r="AA50" s="184" t="s">
        <v>84</v>
      </c>
      <c r="AB50" s="184" t="s">
        <v>85</v>
      </c>
      <c r="AC50" s="168">
        <v>-193801.59</v>
      </c>
      <c r="AD50" s="168">
        <v>-170637.51</v>
      </c>
      <c r="AE50" s="168">
        <v>-188038.14</v>
      </c>
      <c r="AF50" s="168">
        <v>-185360.64000000001</v>
      </c>
      <c r="AG50" s="168">
        <v>-191940.06</v>
      </c>
      <c r="AH50" s="168">
        <v>-376776.45999999996</v>
      </c>
      <c r="AI50" s="168">
        <v>-188546.87</v>
      </c>
      <c r="AJ50" s="168">
        <v>-182833.71</v>
      </c>
      <c r="AK50" s="168">
        <v>-178709.42</v>
      </c>
      <c r="AL50" s="168">
        <v>-189636.34</v>
      </c>
      <c r="AM50" s="168">
        <v>-183487.42</v>
      </c>
      <c r="AN50" s="168">
        <v>-191745.28</v>
      </c>
      <c r="AO50" s="175">
        <v>-2421513.44</v>
      </c>
    </row>
    <row r="51" spans="2:41" x14ac:dyDescent="0.2">
      <c r="B51" s="126"/>
      <c r="C51" s="125" t="s">
        <v>165</v>
      </c>
      <c r="D51" s="125"/>
      <c r="E51" s="136">
        <v>-701435.94</v>
      </c>
      <c r="F51" s="197">
        <v>-662723.9</v>
      </c>
      <c r="G51" s="136">
        <v>-706781.59000000008</v>
      </c>
      <c r="H51" s="136">
        <v>-706787.44</v>
      </c>
      <c r="I51" s="136">
        <v>-695763.77</v>
      </c>
      <c r="J51" s="136">
        <v>-828856.83</v>
      </c>
      <c r="K51" s="136">
        <v>-724564.7</v>
      </c>
      <c r="L51" s="136">
        <v>-697714.97</v>
      </c>
      <c r="M51" s="136">
        <f t="shared" ref="M51:Q51" si="20">SUM(M49:M50)</f>
        <v>-717951.39</v>
      </c>
      <c r="N51" s="136">
        <f t="shared" si="20"/>
        <v>0</v>
      </c>
      <c r="O51" s="136">
        <f t="shared" si="20"/>
        <v>0</v>
      </c>
      <c r="P51" s="136">
        <f t="shared" si="20"/>
        <v>0</v>
      </c>
      <c r="Q51" s="136">
        <f t="shared" si="20"/>
        <v>-6442580.5300000003</v>
      </c>
      <c r="R51" s="222"/>
      <c r="S51" s="222"/>
      <c r="T51" s="390"/>
      <c r="U51" s="390"/>
      <c r="V51" s="390"/>
      <c r="W51" s="390"/>
      <c r="X51" s="390"/>
      <c r="Z51" s="172"/>
      <c r="AA51" s="170" t="s">
        <v>165</v>
      </c>
      <c r="AB51" s="170"/>
      <c r="AC51" s="171">
        <v>-560258.06000000006</v>
      </c>
      <c r="AD51" s="171">
        <v>-493015.7</v>
      </c>
      <c r="AE51" s="171">
        <v>-543386.98</v>
      </c>
      <c r="AF51" s="171">
        <v>-535928.22</v>
      </c>
      <c r="AG51" s="171">
        <v>-554727.57000000007</v>
      </c>
      <c r="AH51" s="171">
        <v>-711029.29</v>
      </c>
      <c r="AI51" s="171">
        <v>-545166.34</v>
      </c>
      <c r="AJ51" s="171">
        <v>-528846.16</v>
      </c>
      <c r="AK51" s="171">
        <v>-516837.01</v>
      </c>
      <c r="AL51" s="171">
        <v>-548410.21</v>
      </c>
      <c r="AM51" s="171">
        <v>-530586.77</v>
      </c>
      <c r="AN51" s="171">
        <v>-554471.96</v>
      </c>
      <c r="AO51" s="176">
        <v>-6622664.2700000005</v>
      </c>
    </row>
    <row r="52" spans="2:41" x14ac:dyDescent="0.2">
      <c r="B52" s="127" t="s">
        <v>168</v>
      </c>
      <c r="C52" s="127"/>
      <c r="D52" s="127"/>
      <c r="E52" s="137">
        <v>-119880.80999999994</v>
      </c>
      <c r="F52" s="198">
        <v>441537.72000000009</v>
      </c>
      <c r="G52" s="137">
        <v>130909.78000000003</v>
      </c>
      <c r="H52" s="137">
        <v>-98866.429999999935</v>
      </c>
      <c r="I52" s="137">
        <v>35637.35999999987</v>
      </c>
      <c r="J52" s="137">
        <v>-175036.75999999989</v>
      </c>
      <c r="K52" s="137">
        <v>-109063.75</v>
      </c>
      <c r="L52" s="137">
        <v>-80724.339999999967</v>
      </c>
      <c r="M52" s="137">
        <f t="shared" ref="M52:P52" si="21">M51+M48</f>
        <v>-86658.440000000061</v>
      </c>
      <c r="N52" s="137">
        <f t="shared" si="21"/>
        <v>0</v>
      </c>
      <c r="O52" s="137">
        <f t="shared" si="21"/>
        <v>0</v>
      </c>
      <c r="P52" s="137">
        <f t="shared" si="21"/>
        <v>0</v>
      </c>
      <c r="Q52" s="137">
        <f t="shared" si="18"/>
        <v>-62145.669999999809</v>
      </c>
      <c r="R52" s="222"/>
      <c r="T52" s="390"/>
      <c r="U52" s="390"/>
      <c r="V52" s="390"/>
      <c r="W52" s="390"/>
      <c r="X52" s="390"/>
      <c r="Z52" s="173" t="s">
        <v>168</v>
      </c>
      <c r="AA52" s="173"/>
      <c r="AB52" s="173"/>
      <c r="AC52" s="174">
        <v>-48163.78</v>
      </c>
      <c r="AD52" s="174">
        <v>511986.45999999857</v>
      </c>
      <c r="AE52" s="174">
        <v>129871.10999999993</v>
      </c>
      <c r="AF52" s="174">
        <v>-23426.049999999639</v>
      </c>
      <c r="AG52" s="174">
        <v>-36064.499999999884</v>
      </c>
      <c r="AH52" s="174">
        <v>-69133.819999999774</v>
      </c>
      <c r="AI52" s="174">
        <v>-40962.909999998985</v>
      </c>
      <c r="AJ52" s="174">
        <v>-8080.1400000000431</v>
      </c>
      <c r="AK52" s="174">
        <v>-3609.8399999995308</v>
      </c>
      <c r="AL52" s="174">
        <v>-22947.489999999903</v>
      </c>
      <c r="AM52" s="174">
        <v>2072.6599999999162</v>
      </c>
      <c r="AN52" s="174">
        <v>105701.51000000001</v>
      </c>
      <c r="AO52" s="174">
        <v>497243.21000000101</v>
      </c>
    </row>
    <row r="53" spans="2:41" ht="13.9" customHeight="1" x14ac:dyDescent="0.2">
      <c r="B53" s="122" t="s">
        <v>58</v>
      </c>
      <c r="C53" s="123" t="s">
        <v>87</v>
      </c>
      <c r="D53" s="123" t="s">
        <v>88</v>
      </c>
      <c r="E53" s="134">
        <v>-27678.5</v>
      </c>
      <c r="F53" s="196">
        <v>-27678.5</v>
      </c>
      <c r="G53" s="196">
        <v>-27678.5</v>
      </c>
      <c r="H53" s="196">
        <v>-27678.5</v>
      </c>
      <c r="I53" s="196">
        <v>-27678.5</v>
      </c>
      <c r="J53" s="196">
        <v>-27678.5</v>
      </c>
      <c r="K53" s="196">
        <v>-27678.5</v>
      </c>
      <c r="L53" s="196">
        <v>-27678.5</v>
      </c>
      <c r="M53" s="196">
        <f>VLOOKUP($C53,'SAP detail'!$B:$C,2,FALSE)</f>
        <v>-27678.5</v>
      </c>
      <c r="N53" s="134"/>
      <c r="O53" s="134"/>
      <c r="P53" s="134"/>
      <c r="Q53" s="262">
        <f t="shared" si="18"/>
        <v>-249106.5</v>
      </c>
      <c r="R53" s="227"/>
      <c r="S53" s="227"/>
      <c r="T53" s="284"/>
      <c r="U53" s="284"/>
      <c r="V53" s="284"/>
      <c r="W53" s="284"/>
      <c r="X53" s="135"/>
      <c r="Z53" s="166" t="s">
        <v>58</v>
      </c>
      <c r="AA53" s="167" t="s">
        <v>87</v>
      </c>
      <c r="AB53" s="167" t="s">
        <v>88</v>
      </c>
      <c r="AC53" s="168">
        <v>-23302.83</v>
      </c>
      <c r="AD53" s="168">
        <v>-23302.83</v>
      </c>
      <c r="AE53" s="168">
        <v>-23302.83</v>
      </c>
      <c r="AF53" s="168">
        <v>-23302.83</v>
      </c>
      <c r="AG53" s="168">
        <v>-23302.83</v>
      </c>
      <c r="AH53" s="168">
        <v>-23302.83</v>
      </c>
      <c r="AI53" s="168">
        <v>-23302.83</v>
      </c>
      <c r="AJ53" s="168">
        <v>-23302.83</v>
      </c>
      <c r="AK53" s="168">
        <v>-23302.83</v>
      </c>
      <c r="AL53" s="168">
        <v>-23302.83</v>
      </c>
      <c r="AM53" s="168">
        <v>-75810.87</v>
      </c>
      <c r="AN53" s="168">
        <v>-23302.83</v>
      </c>
      <c r="AO53" s="168">
        <v>-332142.00000000006</v>
      </c>
    </row>
    <row r="54" spans="2:41" x14ac:dyDescent="0.2">
      <c r="B54" s="124"/>
      <c r="C54" s="335" t="s">
        <v>103</v>
      </c>
      <c r="D54" s="335" t="s">
        <v>104</v>
      </c>
      <c r="E54" s="336">
        <v>5069.82</v>
      </c>
      <c r="F54" s="337">
        <v>5069.82</v>
      </c>
      <c r="G54" s="337">
        <v>5069.82</v>
      </c>
      <c r="H54" s="337">
        <v>5069.82</v>
      </c>
      <c r="I54" s="337">
        <v>5071.32</v>
      </c>
      <c r="J54" s="337">
        <v>5071.32</v>
      </c>
      <c r="K54" s="337">
        <v>5123.99</v>
      </c>
      <c r="L54" s="337">
        <v>5123.99</v>
      </c>
      <c r="M54" s="337">
        <f>VLOOKUP($C54,'SAP detail'!$B:$C,2,FALSE)</f>
        <v>5123.99</v>
      </c>
      <c r="N54" s="336"/>
      <c r="O54" s="336"/>
      <c r="P54" s="336"/>
      <c r="Q54" s="336">
        <f t="shared" si="18"/>
        <v>45793.889999999992</v>
      </c>
      <c r="R54" s="227"/>
      <c r="S54" s="227"/>
      <c r="T54" s="235"/>
      <c r="U54" s="235"/>
      <c r="V54" s="235"/>
      <c r="W54" s="235"/>
      <c r="X54" s="135"/>
      <c r="Z54" s="169"/>
      <c r="AA54" s="167" t="s">
        <v>103</v>
      </c>
      <c r="AB54" s="167" t="s">
        <v>104</v>
      </c>
      <c r="AC54" s="168">
        <v>5191.1899999999996</v>
      </c>
      <c r="AD54" s="168">
        <v>5191.1899999999996</v>
      </c>
      <c r="AE54" s="168">
        <v>5378.69</v>
      </c>
      <c r="AF54" s="168">
        <v>4982.3900000000003</v>
      </c>
      <c r="AG54" s="168">
        <v>5200.1899999999996</v>
      </c>
      <c r="AH54" s="168">
        <v>5198.6899999999996</v>
      </c>
      <c r="AI54" s="168">
        <v>5039.21</v>
      </c>
      <c r="AJ54" s="168">
        <v>5039.21</v>
      </c>
      <c r="AK54" s="168">
        <v>5039.21</v>
      </c>
      <c r="AL54" s="168">
        <v>5039.21</v>
      </c>
      <c r="AM54" s="168">
        <v>5042.21</v>
      </c>
      <c r="AN54" s="168">
        <v>5042.21</v>
      </c>
      <c r="AO54" s="168">
        <v>61383.599999999991</v>
      </c>
    </row>
    <row r="55" spans="2:41" ht="13.15" customHeight="1" x14ac:dyDescent="0.2">
      <c r="B55" s="124"/>
      <c r="C55" s="335" t="s">
        <v>107</v>
      </c>
      <c r="D55" s="335" t="s">
        <v>108</v>
      </c>
      <c r="E55" s="336">
        <v>8531.75</v>
      </c>
      <c r="F55" s="337">
        <v>8531.75</v>
      </c>
      <c r="G55" s="337">
        <v>8531.75</v>
      </c>
      <c r="H55" s="337">
        <v>8531.75</v>
      </c>
      <c r="I55" s="337">
        <v>8558.16</v>
      </c>
      <c r="J55" s="337">
        <v>8558.16</v>
      </c>
      <c r="K55" s="337">
        <v>8264.82</v>
      </c>
      <c r="L55" s="337">
        <v>8293.11</v>
      </c>
      <c r="M55" s="337">
        <f>VLOOKUP($C55,'SAP detail'!$B:$C,2,FALSE)</f>
        <v>8293.11</v>
      </c>
      <c r="N55" s="336"/>
      <c r="O55" s="336"/>
      <c r="P55" s="336"/>
      <c r="Q55" s="336">
        <f t="shared" si="18"/>
        <v>76094.36</v>
      </c>
      <c r="R55" s="227"/>
      <c r="S55" s="236" t="s">
        <v>66</v>
      </c>
      <c r="T55" s="387" t="s">
        <v>276</v>
      </c>
      <c r="U55" s="387"/>
      <c r="V55" s="387"/>
      <c r="W55" s="387"/>
      <c r="X55" s="135"/>
      <c r="Z55" s="169"/>
      <c r="AA55" s="167" t="s">
        <v>107</v>
      </c>
      <c r="AB55" s="167" t="s">
        <v>108</v>
      </c>
      <c r="AC55" s="168">
        <v>8022.95</v>
      </c>
      <c r="AD55" s="168">
        <v>8022.95</v>
      </c>
      <c r="AE55" s="168">
        <v>8022.95</v>
      </c>
      <c r="AF55" s="168">
        <v>8022.95</v>
      </c>
      <c r="AG55" s="168">
        <v>8022.95</v>
      </c>
      <c r="AH55" s="168">
        <v>8022.95</v>
      </c>
      <c r="AI55" s="168">
        <v>8464.9499999999989</v>
      </c>
      <c r="AJ55" s="168">
        <v>8464.9499999999989</v>
      </c>
      <c r="AK55" s="168">
        <v>8464.9499999999989</v>
      </c>
      <c r="AL55" s="168">
        <v>8464.9499999999989</v>
      </c>
      <c r="AM55" s="168">
        <v>8464.9500000000007</v>
      </c>
      <c r="AN55" s="168">
        <v>8464.9500000000007</v>
      </c>
      <c r="AO55" s="168">
        <v>98927.39999999998</v>
      </c>
    </row>
    <row r="56" spans="2:41" x14ac:dyDescent="0.2">
      <c r="B56" s="124"/>
      <c r="C56" s="335" t="s">
        <v>109</v>
      </c>
      <c r="D56" s="335" t="s">
        <v>110</v>
      </c>
      <c r="E56" s="336">
        <v>113928.43</v>
      </c>
      <c r="F56" s="337">
        <v>130864.21</v>
      </c>
      <c r="G56" s="337">
        <v>103170.03</v>
      </c>
      <c r="H56" s="337">
        <v>122211.91</v>
      </c>
      <c r="I56" s="337">
        <v>118966.58</v>
      </c>
      <c r="J56" s="337">
        <v>114508.24</v>
      </c>
      <c r="K56" s="337">
        <v>120151.93</v>
      </c>
      <c r="L56" s="337">
        <v>116345.4</v>
      </c>
      <c r="M56" s="337">
        <f>VLOOKUP($C56,'SAP detail'!$B:$C,2,FALSE)</f>
        <v>109702.75</v>
      </c>
      <c r="N56" s="336"/>
      <c r="O56" s="336"/>
      <c r="P56" s="336"/>
      <c r="Q56" s="336">
        <f t="shared" si="18"/>
        <v>1049849.48</v>
      </c>
      <c r="R56" s="227"/>
      <c r="S56" s="227">
        <f>Q53+Q57+Q60</f>
        <v>0</v>
      </c>
      <c r="T56" s="387"/>
      <c r="U56" s="387"/>
      <c r="V56" s="387"/>
      <c r="W56" s="387"/>
      <c r="X56" s="135"/>
      <c r="Z56" s="169"/>
      <c r="AA56" s="167" t="s">
        <v>109</v>
      </c>
      <c r="AB56" s="167" t="s">
        <v>110</v>
      </c>
      <c r="AC56" s="168">
        <v>116976.66</v>
      </c>
      <c r="AD56" s="168">
        <v>116567.79999999999</v>
      </c>
      <c r="AE56" s="168">
        <v>124295.03999999999</v>
      </c>
      <c r="AF56" s="168">
        <v>124013.68000000007</v>
      </c>
      <c r="AG56" s="168">
        <v>112478.93000000002</v>
      </c>
      <c r="AH56" s="168">
        <v>110897.15000000001</v>
      </c>
      <c r="AI56" s="168">
        <v>96546.170000000013</v>
      </c>
      <c r="AJ56" s="168">
        <v>114890.54000000002</v>
      </c>
      <c r="AK56" s="168">
        <v>95440.10000000002</v>
      </c>
      <c r="AL56" s="168">
        <v>108423.95000000003</v>
      </c>
      <c r="AM56" s="168">
        <v>91366.53</v>
      </c>
      <c r="AN56" s="168">
        <v>69676.320000000007</v>
      </c>
      <c r="AO56" s="168">
        <v>1281572.8700000003</v>
      </c>
    </row>
    <row r="57" spans="2:41" ht="13.15" customHeight="1" x14ac:dyDescent="0.2">
      <c r="B57" s="124"/>
      <c r="C57" s="123" t="s">
        <v>113</v>
      </c>
      <c r="D57" s="123" t="s">
        <v>114</v>
      </c>
      <c r="E57" s="134">
        <v>15698.89</v>
      </c>
      <c r="F57" s="196">
        <v>21250</v>
      </c>
      <c r="G57" s="196">
        <v>21250</v>
      </c>
      <c r="H57" s="196">
        <v>21250</v>
      </c>
      <c r="I57" s="196">
        <v>21250</v>
      </c>
      <c r="J57" s="196">
        <v>21250</v>
      </c>
      <c r="K57" s="196">
        <v>21250</v>
      </c>
      <c r="L57" s="196">
        <v>21250</v>
      </c>
      <c r="M57" s="196">
        <f>VLOOKUP($C57,'SAP detail'!$B:$C,2,FALSE)</f>
        <v>25000</v>
      </c>
      <c r="N57" s="134"/>
      <c r="O57" s="134"/>
      <c r="P57" s="134"/>
      <c r="Q57" s="262">
        <f t="shared" si="18"/>
        <v>189448.89</v>
      </c>
      <c r="R57" s="227"/>
      <c r="T57" s="387"/>
      <c r="U57" s="387"/>
      <c r="V57" s="387"/>
      <c r="W57" s="387"/>
      <c r="X57" s="135"/>
      <c r="Z57" s="169"/>
      <c r="AA57" s="167" t="s">
        <v>113</v>
      </c>
      <c r="AB57" s="167" t="s">
        <v>114</v>
      </c>
      <c r="AC57" s="168">
        <v>17187.730000000003</v>
      </c>
      <c r="AD57" s="168">
        <v>22583.33</v>
      </c>
      <c r="AE57" s="168">
        <v>22583.33</v>
      </c>
      <c r="AF57" s="168">
        <v>22583.33</v>
      </c>
      <c r="AG57" s="168">
        <v>22583.33</v>
      </c>
      <c r="AH57" s="168">
        <v>22583.33</v>
      </c>
      <c r="AI57" s="168">
        <v>22583.33</v>
      </c>
      <c r="AJ57" s="168">
        <v>22583.33</v>
      </c>
      <c r="AK57" s="168">
        <v>22583.33</v>
      </c>
      <c r="AL57" s="168">
        <v>22583.33</v>
      </c>
      <c r="AM57" s="168">
        <v>-4785.63</v>
      </c>
      <c r="AN57" s="168">
        <v>22583.33</v>
      </c>
      <c r="AO57" s="168">
        <v>238235.40000000008</v>
      </c>
    </row>
    <row r="58" spans="2:41" x14ac:dyDescent="0.2">
      <c r="B58" s="124"/>
      <c r="C58" s="125" t="s">
        <v>176</v>
      </c>
      <c r="D58" s="125"/>
      <c r="E58" s="136">
        <v>88043.87</v>
      </c>
      <c r="F58" s="197">
        <v>-106451.98000000001</v>
      </c>
      <c r="G58" s="136">
        <v>93299.78</v>
      </c>
      <c r="H58" s="136">
        <v>-5650.1600000000035</v>
      </c>
      <c r="I58" s="136">
        <v>126167.56</v>
      </c>
      <c r="J58" s="136">
        <v>121709.22</v>
      </c>
      <c r="K58" s="136">
        <v>127112.23999999999</v>
      </c>
      <c r="L58" s="136">
        <v>123334</v>
      </c>
      <c r="M58" s="136">
        <f t="shared" ref="M58:P58" si="22">SUM(M53:M57)</f>
        <v>120441.35</v>
      </c>
      <c r="N58" s="136">
        <f t="shared" si="22"/>
        <v>0</v>
      </c>
      <c r="O58" s="136">
        <f t="shared" si="22"/>
        <v>0</v>
      </c>
      <c r="P58" s="136">
        <f t="shared" si="22"/>
        <v>0</v>
      </c>
      <c r="Q58" s="136">
        <f t="shared" si="18"/>
        <v>688005.88</v>
      </c>
      <c r="R58" s="222"/>
      <c r="S58" s="222"/>
      <c r="T58" s="387"/>
      <c r="U58" s="387"/>
      <c r="V58" s="387"/>
      <c r="W58" s="387"/>
      <c r="X58" s="135"/>
      <c r="Z58" s="169"/>
      <c r="AA58" s="170" t="s">
        <v>176</v>
      </c>
      <c r="AB58" s="170"/>
      <c r="AC58" s="171">
        <v>79822</v>
      </c>
      <c r="AD58" s="171">
        <v>-86656.60000000002</v>
      </c>
      <c r="AE58" s="171">
        <v>-719.5</v>
      </c>
      <c r="AF58" s="171">
        <v>-719.49999999992724</v>
      </c>
      <c r="AG58" s="171">
        <v>-719.49999999998545</v>
      </c>
      <c r="AH58" s="171">
        <v>-719.49999999998545</v>
      </c>
      <c r="AI58" s="171">
        <v>-719.49999999998545</v>
      </c>
      <c r="AJ58" s="171">
        <v>-719.4999999999709</v>
      </c>
      <c r="AK58" s="171">
        <v>-719.4999999999709</v>
      </c>
      <c r="AL58" s="171">
        <v>-719.4999999999709</v>
      </c>
      <c r="AM58" s="171">
        <v>-80596.5</v>
      </c>
      <c r="AN58" s="171">
        <v>-719.49999999998545</v>
      </c>
      <c r="AO58" s="171">
        <v>-93906.599999999802</v>
      </c>
    </row>
    <row r="59" spans="2:41" x14ac:dyDescent="0.2">
      <c r="B59" s="124"/>
      <c r="C59" s="335" t="s">
        <v>111</v>
      </c>
      <c r="D59" s="335" t="s">
        <v>112</v>
      </c>
      <c r="E59" s="336">
        <v>-27506.52</v>
      </c>
      <c r="F59" s="337">
        <v>-244489.26</v>
      </c>
      <c r="G59" s="337">
        <v>-17043.32</v>
      </c>
      <c r="H59" s="337">
        <v>-135035.14000000001</v>
      </c>
      <c r="I59" s="337">
        <v>-233102.68</v>
      </c>
      <c r="J59" s="337">
        <v>-128137.72</v>
      </c>
      <c r="K59" s="337">
        <v>-133540.74</v>
      </c>
      <c r="L59" s="337">
        <v>-46919.24</v>
      </c>
      <c r="M59" s="337">
        <f>VLOOKUP($C59,'SAP detail'!$B:$C,2,FALSE)</f>
        <v>-205963.11</v>
      </c>
      <c r="N59" s="336"/>
      <c r="O59" s="336"/>
      <c r="P59" s="336"/>
      <c r="Q59" s="336">
        <f t="shared" ref="Q59" si="23">SUM(E59:P59)</f>
        <v>-1171737.73</v>
      </c>
      <c r="R59" s="222"/>
      <c r="S59" s="222"/>
      <c r="T59" s="387"/>
      <c r="U59" s="387"/>
      <c r="V59" s="387"/>
      <c r="W59" s="387"/>
      <c r="X59" s="135"/>
      <c r="Z59" s="169"/>
      <c r="AA59" s="167" t="s">
        <v>111</v>
      </c>
      <c r="AB59" s="167" t="s">
        <v>112</v>
      </c>
      <c r="AC59" s="168">
        <v>-44253.7</v>
      </c>
      <c r="AD59" s="168">
        <v>-215719.04000000001</v>
      </c>
      <c r="AE59" s="168">
        <v>-137696.68</v>
      </c>
      <c r="AF59" s="168">
        <v>-137019.01999999999</v>
      </c>
      <c r="AG59" s="168">
        <v>-125702.07</v>
      </c>
      <c r="AH59" s="168">
        <v>-124118.79</v>
      </c>
      <c r="AI59" s="168">
        <v>-110050.33</v>
      </c>
      <c r="AJ59" s="168">
        <v>-128394.7</v>
      </c>
      <c r="AK59" s="168">
        <v>-108944.26</v>
      </c>
      <c r="AL59" s="168">
        <v>-121928.11</v>
      </c>
      <c r="AM59" s="168">
        <v>-104873.69</v>
      </c>
      <c r="AN59" s="168">
        <v>-83183.48</v>
      </c>
      <c r="AO59" s="168">
        <v>-1441883.8699999999</v>
      </c>
    </row>
    <row r="60" spans="2:41" x14ac:dyDescent="0.2">
      <c r="B60" s="124"/>
      <c r="C60" s="123" t="s">
        <v>115</v>
      </c>
      <c r="D60" s="123" t="s">
        <v>116</v>
      </c>
      <c r="E60" s="134">
        <v>-79.790000000000006</v>
      </c>
      <c r="F60" s="196">
        <v>-74.95</v>
      </c>
      <c r="G60" s="196">
        <v>-80.180000000000007</v>
      </c>
      <c r="H60" s="196">
        <v>-80.52</v>
      </c>
      <c r="I60" s="196">
        <v>-78.69</v>
      </c>
      <c r="J60" s="196">
        <v>44515.91</v>
      </c>
      <c r="K60" s="196">
        <v>-82.59</v>
      </c>
      <c r="L60" s="196">
        <v>-78.97</v>
      </c>
      <c r="M60" s="196">
        <f>VLOOKUP($C60,'SAP detail'!$B:$C,2,FALSE)</f>
        <v>15697.39</v>
      </c>
      <c r="N60" s="134"/>
      <c r="O60" s="134"/>
      <c r="P60" s="134"/>
      <c r="Q60" s="262">
        <f t="shared" si="18"/>
        <v>59657.610000000008</v>
      </c>
      <c r="R60" s="227"/>
      <c r="S60" s="227"/>
      <c r="T60" s="266"/>
      <c r="U60" s="266"/>
      <c r="V60" s="266"/>
      <c r="W60" s="266"/>
      <c r="X60" s="135"/>
      <c r="Z60" s="169"/>
      <c r="AA60" s="167" t="s">
        <v>115</v>
      </c>
      <c r="AB60" s="167" t="s">
        <v>116</v>
      </c>
      <c r="AC60" s="168">
        <v>11603.619999999999</v>
      </c>
      <c r="AD60" s="168">
        <v>10155.19</v>
      </c>
      <c r="AE60" s="168">
        <v>11162.66</v>
      </c>
      <c r="AF60" s="168">
        <v>11109.59</v>
      </c>
      <c r="AG60" s="168">
        <v>11399.03</v>
      </c>
      <c r="AH60" s="168">
        <v>10584.38</v>
      </c>
      <c r="AI60" s="168">
        <v>11305.74</v>
      </c>
      <c r="AJ60" s="168">
        <v>11027.89</v>
      </c>
      <c r="AK60" s="168">
        <v>10756.3</v>
      </c>
      <c r="AL60" s="168">
        <v>11377.32</v>
      </c>
      <c r="AM60" s="168">
        <v>11005.15</v>
      </c>
      <c r="AN60" s="168">
        <v>11484.25</v>
      </c>
      <c r="AO60" s="168">
        <v>132971.12</v>
      </c>
    </row>
    <row r="61" spans="2:41" ht="13.15" customHeight="1" x14ac:dyDescent="0.2">
      <c r="B61" s="126"/>
      <c r="C61" s="125" t="s">
        <v>165</v>
      </c>
      <c r="D61" s="125"/>
      <c r="E61" s="146">
        <f>SUM(E59:E60)</f>
        <v>-27586.31</v>
      </c>
      <c r="F61" s="146">
        <f t="shared" ref="F61:H61" si="24">SUM(F59:F60)</f>
        <v>-244564.21000000002</v>
      </c>
      <c r="G61" s="146">
        <f t="shared" si="24"/>
        <v>-17123.5</v>
      </c>
      <c r="H61" s="146">
        <f t="shared" si="24"/>
        <v>-135115.66</v>
      </c>
      <c r="I61" s="146">
        <v>-233181.37</v>
      </c>
      <c r="J61" s="146">
        <v>-83621.81</v>
      </c>
      <c r="K61" s="146">
        <v>-133623.32999999999</v>
      </c>
      <c r="L61" s="146">
        <v>-46998.21</v>
      </c>
      <c r="M61" s="136">
        <f>SUM(M59:M60)</f>
        <v>-190265.71999999997</v>
      </c>
      <c r="N61" s="136">
        <f t="shared" ref="N61:P61" si="25">N60</f>
        <v>0</v>
      </c>
      <c r="O61" s="136">
        <f t="shared" si="25"/>
        <v>0</v>
      </c>
      <c r="P61" s="136">
        <f t="shared" si="25"/>
        <v>0</v>
      </c>
      <c r="Q61" s="136">
        <f t="shared" si="18"/>
        <v>-1112080.1200000001</v>
      </c>
      <c r="R61" s="222"/>
      <c r="S61" s="268" t="s">
        <v>211</v>
      </c>
      <c r="T61" s="386" t="s">
        <v>275</v>
      </c>
      <c r="U61" s="386"/>
      <c r="V61" s="386"/>
      <c r="W61" s="386"/>
      <c r="X61" s="269"/>
      <c r="Z61" s="172"/>
      <c r="AA61" s="170" t="s">
        <v>165</v>
      </c>
      <c r="AB61" s="170"/>
      <c r="AC61" s="171">
        <f>SUM(AC59:AC60)</f>
        <v>-32650.079999999998</v>
      </c>
      <c r="AD61" s="171">
        <f t="shared" ref="AD61:AH61" si="26">SUM(AD59:AD60)</f>
        <v>-205563.85</v>
      </c>
      <c r="AE61" s="171">
        <f t="shared" si="26"/>
        <v>-126534.01999999999</v>
      </c>
      <c r="AF61" s="171">
        <f t="shared" si="26"/>
        <v>-125909.43</v>
      </c>
      <c r="AG61" s="171">
        <f t="shared" si="26"/>
        <v>-114303.04000000001</v>
      </c>
      <c r="AH61" s="171">
        <f t="shared" si="26"/>
        <v>-113534.40999999999</v>
      </c>
      <c r="AI61" s="171">
        <f t="shared" ref="AI61" si="27">SUM(AI59:AI60)</f>
        <v>-98744.59</v>
      </c>
      <c r="AJ61" s="171">
        <f t="shared" ref="AJ61" si="28">SUM(AJ59:AJ60)</f>
        <v>-117366.81</v>
      </c>
      <c r="AK61" s="171">
        <f t="shared" ref="AK61" si="29">SUM(AK59:AK60)</f>
        <v>-98187.959999999992</v>
      </c>
      <c r="AL61" s="171">
        <f t="shared" ref="AL61:AM61" si="30">SUM(AL59:AL60)</f>
        <v>-110550.79000000001</v>
      </c>
      <c r="AM61" s="171">
        <f t="shared" si="30"/>
        <v>-93868.540000000008</v>
      </c>
      <c r="AN61" s="171">
        <f t="shared" ref="AN61" si="31">SUM(AN59:AN60)</f>
        <v>-71699.23</v>
      </c>
      <c r="AO61" s="171">
        <f t="shared" ref="AO61" si="32">SUM(AO59:AO60)</f>
        <v>-1308912.75</v>
      </c>
    </row>
    <row r="62" spans="2:41" x14ac:dyDescent="0.2">
      <c r="B62" s="127" t="s">
        <v>170</v>
      </c>
      <c r="C62" s="127"/>
      <c r="D62" s="127"/>
      <c r="E62" s="144">
        <v>87964.08</v>
      </c>
      <c r="F62" s="198">
        <v>-106526.93000000001</v>
      </c>
      <c r="G62" s="137">
        <v>93219.6</v>
      </c>
      <c r="H62" s="137">
        <v>-5730.6800000000039</v>
      </c>
      <c r="I62" s="137">
        <v>-107013.81</v>
      </c>
      <c r="J62" s="137">
        <v>38087.410000000003</v>
      </c>
      <c r="K62" s="137">
        <v>-6511.0899999999965</v>
      </c>
      <c r="L62" s="137">
        <v>76335.790000000008</v>
      </c>
      <c r="M62" s="137">
        <f t="shared" ref="M62:P62" si="33">M58+M61</f>
        <v>-69824.369999999966</v>
      </c>
      <c r="N62" s="137">
        <f t="shared" si="33"/>
        <v>0</v>
      </c>
      <c r="O62" s="137">
        <f t="shared" si="33"/>
        <v>0</v>
      </c>
      <c r="P62" s="137">
        <f t="shared" si="33"/>
        <v>0</v>
      </c>
      <c r="Q62" s="137">
        <f t="shared" si="18"/>
        <v>4.3655745685100555E-11</v>
      </c>
      <c r="R62" s="222"/>
      <c r="S62" s="222"/>
      <c r="T62" s="386"/>
      <c r="U62" s="386"/>
      <c r="V62" s="386"/>
      <c r="W62" s="386"/>
      <c r="X62" s="135"/>
      <c r="Z62" s="173" t="s">
        <v>170</v>
      </c>
      <c r="AA62" s="173"/>
      <c r="AB62" s="173"/>
      <c r="AC62" s="174">
        <v>91425.62000000001</v>
      </c>
      <c r="AD62" s="174">
        <v>-76501.410000000018</v>
      </c>
      <c r="AE62" s="174">
        <v>10443.16</v>
      </c>
      <c r="AF62" s="174">
        <v>10390.090000000087</v>
      </c>
      <c r="AG62" s="174">
        <v>10679.530000000015</v>
      </c>
      <c r="AH62" s="174">
        <v>9864.8800000000138</v>
      </c>
      <c r="AI62" s="174">
        <v>10586.240000000014</v>
      </c>
      <c r="AJ62" s="174">
        <v>10308.390000000029</v>
      </c>
      <c r="AK62" s="174">
        <v>10036.800000000028</v>
      </c>
      <c r="AL62" s="174">
        <v>10657.820000000029</v>
      </c>
      <c r="AM62" s="174">
        <v>-69591.350000000006</v>
      </c>
      <c r="AN62" s="174">
        <v>10764.750000000015</v>
      </c>
      <c r="AO62" s="174">
        <v>39064.520000000208</v>
      </c>
    </row>
    <row r="63" spans="2:41" ht="13.15" customHeight="1" x14ac:dyDescent="0.2">
      <c r="B63" s="122" t="s">
        <v>166</v>
      </c>
      <c r="C63" s="123" t="s">
        <v>146</v>
      </c>
      <c r="D63" s="123" t="s">
        <v>147</v>
      </c>
      <c r="R63" s="227"/>
      <c r="T63" s="386"/>
      <c r="U63" s="386"/>
      <c r="V63" s="386"/>
      <c r="W63" s="386"/>
      <c r="X63" s="135"/>
      <c r="Z63" s="166" t="s">
        <v>166</v>
      </c>
      <c r="AA63" s="167" t="s">
        <v>146</v>
      </c>
      <c r="AB63" s="167" t="s">
        <v>147</v>
      </c>
      <c r="AC63" s="168"/>
      <c r="AD63" s="168"/>
      <c r="AE63" s="168"/>
      <c r="AF63" s="168"/>
      <c r="AG63" s="168">
        <v>-112.55</v>
      </c>
      <c r="AH63" s="168"/>
      <c r="AI63" s="168"/>
      <c r="AJ63" s="168"/>
      <c r="AK63" s="168"/>
      <c r="AL63" s="168"/>
      <c r="AM63" s="168"/>
      <c r="AN63" s="168">
        <v>0</v>
      </c>
      <c r="AO63" s="168">
        <v>-112.55</v>
      </c>
    </row>
    <row r="64" spans="2:41" x14ac:dyDescent="0.2">
      <c r="B64" s="124"/>
      <c r="C64" s="123" t="s">
        <v>93</v>
      </c>
      <c r="D64" s="123" t="s">
        <v>94</v>
      </c>
      <c r="E64" s="134">
        <v>145629</v>
      </c>
      <c r="F64" s="196">
        <v>0</v>
      </c>
      <c r="G64" s="196">
        <v>0</v>
      </c>
      <c r="H64" s="196">
        <v>146248.42000000001</v>
      </c>
      <c r="I64" s="196">
        <v>0</v>
      </c>
      <c r="J64" s="196">
        <v>0</v>
      </c>
      <c r="K64" s="196">
        <v>145629</v>
      </c>
      <c r="L64" s="196">
        <v>0</v>
      </c>
      <c r="M64" s="196">
        <f>IFERROR(VLOOKUP($C64,'SAP detail'!$B:$C,2,FALSE),0)</f>
        <v>0</v>
      </c>
      <c r="N64" s="134"/>
      <c r="O64" s="196"/>
      <c r="P64" s="134"/>
      <c r="Q64" s="134">
        <f t="shared" si="18"/>
        <v>437506.42000000004</v>
      </c>
      <c r="R64" s="227"/>
      <c r="S64" s="227"/>
      <c r="T64" s="386"/>
      <c r="U64" s="386"/>
      <c r="V64" s="386"/>
      <c r="W64" s="386"/>
      <c r="X64" s="135"/>
      <c r="Z64" s="169"/>
      <c r="AA64" s="167" t="s">
        <v>93</v>
      </c>
      <c r="AB64" s="167" t="s">
        <v>94</v>
      </c>
      <c r="AC64" s="168">
        <v>145629</v>
      </c>
      <c r="AD64" s="168"/>
      <c r="AE64" s="168"/>
      <c r="AF64" s="168">
        <v>145629</v>
      </c>
      <c r="AG64" s="168"/>
      <c r="AH64" s="168"/>
      <c r="AI64" s="168">
        <v>145629</v>
      </c>
      <c r="AJ64" s="168"/>
      <c r="AK64" s="168"/>
      <c r="AL64" s="168">
        <v>145629</v>
      </c>
      <c r="AM64" s="168">
        <v>0</v>
      </c>
      <c r="AN64" s="168">
        <v>0</v>
      </c>
      <c r="AO64" s="168">
        <v>582516</v>
      </c>
    </row>
    <row r="65" spans="2:41" x14ac:dyDescent="0.2">
      <c r="B65" s="124"/>
      <c r="C65" s="125" t="s">
        <v>176</v>
      </c>
      <c r="D65" s="125"/>
      <c r="E65" s="136">
        <f>SUM(E63:E64)</f>
        <v>145629</v>
      </c>
      <c r="F65" s="136">
        <f t="shared" ref="F65:P65" si="34">SUM(F63:F64)</f>
        <v>0</v>
      </c>
      <c r="G65" s="136">
        <f t="shared" si="34"/>
        <v>0</v>
      </c>
      <c r="H65" s="136">
        <f t="shared" si="34"/>
        <v>146248.42000000001</v>
      </c>
      <c r="I65" s="136">
        <f t="shared" si="34"/>
        <v>0</v>
      </c>
      <c r="J65" s="136">
        <f t="shared" si="34"/>
        <v>0</v>
      </c>
      <c r="K65" s="136">
        <f t="shared" si="34"/>
        <v>145629</v>
      </c>
      <c r="L65" s="136">
        <f t="shared" si="34"/>
        <v>0</v>
      </c>
      <c r="M65" s="136">
        <f t="shared" si="34"/>
        <v>0</v>
      </c>
      <c r="N65" s="136">
        <f t="shared" si="34"/>
        <v>0</v>
      </c>
      <c r="O65" s="136">
        <f t="shared" si="34"/>
        <v>0</v>
      </c>
      <c r="P65" s="136">
        <f t="shared" si="34"/>
        <v>0</v>
      </c>
      <c r="Q65" s="136">
        <f t="shared" si="18"/>
        <v>437506.42000000004</v>
      </c>
      <c r="R65" s="222"/>
      <c r="S65" s="222"/>
      <c r="T65" s="386"/>
      <c r="U65" s="386"/>
      <c r="V65" s="386"/>
      <c r="W65" s="386"/>
      <c r="X65" s="135"/>
      <c r="Z65" s="169"/>
      <c r="AA65" s="170" t="s">
        <v>176</v>
      </c>
      <c r="AB65" s="170"/>
      <c r="AC65" s="171">
        <v>145629</v>
      </c>
      <c r="AD65" s="171"/>
      <c r="AE65" s="171"/>
      <c r="AF65" s="171">
        <v>145629</v>
      </c>
      <c r="AG65" s="171">
        <v>-112.55</v>
      </c>
      <c r="AH65" s="171"/>
      <c r="AI65" s="171">
        <v>145629</v>
      </c>
      <c r="AJ65" s="171"/>
      <c r="AK65" s="171"/>
      <c r="AL65" s="171">
        <v>145629</v>
      </c>
      <c r="AM65" s="171">
        <v>0</v>
      </c>
      <c r="AN65" s="171">
        <v>0</v>
      </c>
      <c r="AO65" s="171">
        <v>582403.44999999995</v>
      </c>
    </row>
    <row r="66" spans="2:41" x14ac:dyDescent="0.2">
      <c r="B66" s="124"/>
      <c r="C66" s="123" t="s">
        <v>97</v>
      </c>
      <c r="D66" s="123" t="s">
        <v>98</v>
      </c>
      <c r="E66" s="134">
        <v>-46678.79</v>
      </c>
      <c r="F66" s="196">
        <v>-43847.76</v>
      </c>
      <c r="G66" s="196">
        <v>-46904.11</v>
      </c>
      <c r="H66" s="196">
        <v>-47106.37</v>
      </c>
      <c r="I66" s="196">
        <v>-46035.69</v>
      </c>
      <c r="J66" s="196">
        <v>-61421.58</v>
      </c>
      <c r="K66" s="196">
        <v>-48314.43</v>
      </c>
      <c r="L66" s="196">
        <v>-46197.36</v>
      </c>
      <c r="M66" s="196">
        <f>VLOOKUP($C66,'SAP detail'!$B:$C,2,FALSE)</f>
        <v>-51000.75</v>
      </c>
      <c r="N66" s="196"/>
      <c r="O66" s="196"/>
      <c r="P66" s="196"/>
      <c r="Q66" s="134">
        <f t="shared" si="18"/>
        <v>-437506.83999999997</v>
      </c>
      <c r="R66" s="227"/>
      <c r="S66" s="226"/>
      <c r="T66" s="386"/>
      <c r="U66" s="386"/>
      <c r="V66" s="386"/>
      <c r="W66" s="386"/>
      <c r="X66" s="135"/>
      <c r="Z66" s="169"/>
      <c r="AA66" s="167" t="s">
        <v>97</v>
      </c>
      <c r="AB66" s="167" t="s">
        <v>98</v>
      </c>
      <c r="AC66" s="168">
        <v>-52840.83</v>
      </c>
      <c r="AD66" s="168">
        <v>-46111.37</v>
      </c>
      <c r="AE66" s="168">
        <v>-50850.99</v>
      </c>
      <c r="AF66" s="168">
        <v>-50636.76</v>
      </c>
      <c r="AG66" s="168">
        <v>-51982.25</v>
      </c>
      <c r="AH66" s="168">
        <v>-48187.9</v>
      </c>
      <c r="AI66" s="168">
        <v>-51544.57</v>
      </c>
      <c r="AJ66" s="168">
        <v>-50323.42</v>
      </c>
      <c r="AK66" s="168">
        <v>-49058.46</v>
      </c>
      <c r="AL66" s="168">
        <v>-51950.94</v>
      </c>
      <c r="AM66" s="168">
        <v>-50217.48</v>
      </c>
      <c r="AN66" s="168">
        <v>-52448.959999999999</v>
      </c>
      <c r="AO66" s="168">
        <v>-606153.93000000005</v>
      </c>
    </row>
    <row r="67" spans="2:41" x14ac:dyDescent="0.2">
      <c r="B67" s="126"/>
      <c r="C67" s="125" t="s">
        <v>165</v>
      </c>
      <c r="D67" s="125"/>
      <c r="E67" s="136">
        <f>SUM(E66)</f>
        <v>-46678.79</v>
      </c>
      <c r="F67" s="136">
        <f t="shared" ref="F67:M67" si="35">SUM(F66)</f>
        <v>-43847.76</v>
      </c>
      <c r="G67" s="136">
        <f t="shared" si="35"/>
        <v>-46904.11</v>
      </c>
      <c r="H67" s="136">
        <f t="shared" si="35"/>
        <v>-47106.37</v>
      </c>
      <c r="I67" s="136">
        <f t="shared" si="35"/>
        <v>-46035.69</v>
      </c>
      <c r="J67" s="136">
        <f t="shared" si="35"/>
        <v>-61421.58</v>
      </c>
      <c r="K67" s="136">
        <f t="shared" si="35"/>
        <v>-48314.43</v>
      </c>
      <c r="L67" s="136">
        <f t="shared" si="35"/>
        <v>-46197.36</v>
      </c>
      <c r="M67" s="136">
        <f t="shared" si="35"/>
        <v>-51000.75</v>
      </c>
      <c r="N67" s="136">
        <f t="shared" ref="N67:O67" si="36">N66</f>
        <v>0</v>
      </c>
      <c r="O67" s="136">
        <f t="shared" si="36"/>
        <v>0</v>
      </c>
      <c r="P67" s="136">
        <f>P66</f>
        <v>0</v>
      </c>
      <c r="Q67" s="136">
        <f t="shared" si="18"/>
        <v>-437506.83999999997</v>
      </c>
      <c r="R67" s="222"/>
      <c r="S67" s="231"/>
      <c r="X67" s="135"/>
      <c r="Z67" s="172"/>
      <c r="AA67" s="170" t="s">
        <v>165</v>
      </c>
      <c r="AB67" s="170"/>
      <c r="AC67" s="171">
        <v>-52840.83</v>
      </c>
      <c r="AD67" s="171">
        <v>-46111.37</v>
      </c>
      <c r="AE67" s="171">
        <v>-50850.99</v>
      </c>
      <c r="AF67" s="171">
        <v>-50636.76</v>
      </c>
      <c r="AG67" s="171">
        <v>-51982.25</v>
      </c>
      <c r="AH67" s="171">
        <v>-48187.9</v>
      </c>
      <c r="AI67" s="171">
        <v>-51544.57</v>
      </c>
      <c r="AJ67" s="171">
        <v>-50323.42</v>
      </c>
      <c r="AK67" s="171">
        <v>-49058.46</v>
      </c>
      <c r="AL67" s="171">
        <v>-51950.94</v>
      </c>
      <c r="AM67" s="171">
        <v>-50217.48</v>
      </c>
      <c r="AN67" s="171">
        <v>-52448.959999999999</v>
      </c>
      <c r="AO67" s="171">
        <v>-606153.93000000005</v>
      </c>
    </row>
    <row r="68" spans="2:41" x14ac:dyDescent="0.2">
      <c r="B68" s="127" t="s">
        <v>171</v>
      </c>
      <c r="C68" s="127"/>
      <c r="D68" s="127"/>
      <c r="E68" s="137">
        <f>E65+E67</f>
        <v>98950.209999999992</v>
      </c>
      <c r="F68" s="137">
        <f t="shared" ref="F68:Q68" si="37">F65+F67</f>
        <v>-43847.76</v>
      </c>
      <c r="G68" s="137">
        <f t="shared" si="37"/>
        <v>-46904.11</v>
      </c>
      <c r="H68" s="137">
        <f t="shared" si="37"/>
        <v>99142.050000000017</v>
      </c>
      <c r="I68" s="137">
        <f t="shared" si="37"/>
        <v>-46035.69</v>
      </c>
      <c r="J68" s="137">
        <f t="shared" si="37"/>
        <v>-61421.58</v>
      </c>
      <c r="K68" s="137">
        <f t="shared" si="37"/>
        <v>97314.57</v>
      </c>
      <c r="L68" s="137">
        <f t="shared" si="37"/>
        <v>-46197.36</v>
      </c>
      <c r="M68" s="137">
        <f t="shared" si="37"/>
        <v>-51000.75</v>
      </c>
      <c r="N68" s="137">
        <f t="shared" si="37"/>
        <v>0</v>
      </c>
      <c r="O68" s="137">
        <f t="shared" si="37"/>
        <v>0</v>
      </c>
      <c r="P68" s="137">
        <f t="shared" si="37"/>
        <v>0</v>
      </c>
      <c r="Q68" s="137">
        <f t="shared" si="37"/>
        <v>-0.41999999992549419</v>
      </c>
      <c r="R68" s="222"/>
      <c r="S68" s="223" t="s">
        <v>247</v>
      </c>
      <c r="T68" s="391" t="s">
        <v>273</v>
      </c>
      <c r="U68" s="391"/>
      <c r="V68" s="391"/>
      <c r="W68" s="391"/>
      <c r="X68" s="391"/>
      <c r="Z68" s="173" t="s">
        <v>171</v>
      </c>
      <c r="AA68" s="173"/>
      <c r="AB68" s="173"/>
      <c r="AC68" s="174">
        <v>92788.17</v>
      </c>
      <c r="AD68" s="174">
        <v>-46111.37</v>
      </c>
      <c r="AE68" s="174">
        <v>-50850.99</v>
      </c>
      <c r="AF68" s="174">
        <v>94992.239999999991</v>
      </c>
      <c r="AG68" s="174">
        <v>-52094.8</v>
      </c>
      <c r="AH68" s="174">
        <v>-48187.9</v>
      </c>
      <c r="AI68" s="174">
        <v>94084.43</v>
      </c>
      <c r="AJ68" s="174">
        <v>-50323.42</v>
      </c>
      <c r="AK68" s="174">
        <v>-49058.46</v>
      </c>
      <c r="AL68" s="174">
        <v>93678.06</v>
      </c>
      <c r="AM68" s="174">
        <v>-50217.48</v>
      </c>
      <c r="AN68" s="174">
        <v>-52448.959999999999</v>
      </c>
      <c r="AO68" s="174">
        <v>-23750.48000000004</v>
      </c>
    </row>
    <row r="69" spans="2:41" x14ac:dyDescent="0.2">
      <c r="B69" s="122" t="s">
        <v>62</v>
      </c>
      <c r="C69" s="123" t="s">
        <v>121</v>
      </c>
      <c r="D69" s="123" t="s">
        <v>122</v>
      </c>
      <c r="E69" s="134">
        <v>-24646.58</v>
      </c>
      <c r="F69" s="196">
        <v>-41207.64</v>
      </c>
      <c r="G69" s="196">
        <v>56043.7</v>
      </c>
      <c r="H69" s="196">
        <v>-94614.09</v>
      </c>
      <c r="I69" s="196">
        <v>13822.54</v>
      </c>
      <c r="J69" s="196">
        <v>8201.8700000000008</v>
      </c>
      <c r="K69" s="196">
        <v>-88893.64</v>
      </c>
      <c r="L69" s="196">
        <v>-20745.189999999999</v>
      </c>
      <c r="M69" s="196">
        <f>VLOOKUP($C69,'SAP detail'!$B:$C,2,FALSE)</f>
        <v>58971.53</v>
      </c>
      <c r="N69" s="134"/>
      <c r="O69" s="134"/>
      <c r="P69" s="134"/>
      <c r="Q69" s="134">
        <f t="shared" si="18"/>
        <v>-133067.50000000003</v>
      </c>
      <c r="R69" s="227"/>
      <c r="S69" s="227"/>
      <c r="T69" s="391"/>
      <c r="U69" s="391"/>
      <c r="V69" s="391"/>
      <c r="W69" s="391"/>
      <c r="X69" s="391"/>
      <c r="Z69" s="166" t="s">
        <v>62</v>
      </c>
      <c r="AA69" s="167" t="s">
        <v>121</v>
      </c>
      <c r="AB69" s="167" t="s">
        <v>122</v>
      </c>
      <c r="AC69" s="168">
        <v>32635</v>
      </c>
      <c r="AD69" s="168">
        <v>47105.84</v>
      </c>
      <c r="AE69" s="168">
        <v>62384.89</v>
      </c>
      <c r="AF69" s="168">
        <v>75647.47</v>
      </c>
      <c r="AG69" s="168">
        <v>-26896.3</v>
      </c>
      <c r="AH69" s="168">
        <v>-31699.81</v>
      </c>
      <c r="AI69" s="168">
        <v>-48337.599999999999</v>
      </c>
      <c r="AJ69" s="168">
        <v>-18872.45</v>
      </c>
      <c r="AK69" s="168">
        <v>25621.83</v>
      </c>
      <c r="AL69" s="168">
        <v>-29363.41</v>
      </c>
      <c r="AM69" s="168">
        <v>181242.45</v>
      </c>
      <c r="AN69" s="168">
        <v>-54541.31</v>
      </c>
      <c r="AO69" s="168">
        <v>214926.60000000003</v>
      </c>
    </row>
    <row r="70" spans="2:41" x14ac:dyDescent="0.2">
      <c r="B70" s="124"/>
      <c r="C70" s="123" t="s">
        <v>123</v>
      </c>
      <c r="D70" s="123" t="s">
        <v>124</v>
      </c>
      <c r="E70" s="134">
        <v>113590.79</v>
      </c>
      <c r="F70" s="196">
        <v>113026.95</v>
      </c>
      <c r="G70" s="196">
        <v>104444.47</v>
      </c>
      <c r="H70" s="196">
        <v>177646.5</v>
      </c>
      <c r="I70" s="196">
        <v>115653.75</v>
      </c>
      <c r="J70" s="196">
        <v>91647.77</v>
      </c>
      <c r="K70" s="196">
        <v>136962.9</v>
      </c>
      <c r="L70" s="196">
        <v>126429.63</v>
      </c>
      <c r="M70" s="196">
        <f>VLOOKUP($C70,'SAP detail'!$B:$C,2,FALSE)</f>
        <v>65806.009999999995</v>
      </c>
      <c r="N70" s="134"/>
      <c r="O70" s="134"/>
      <c r="P70" s="134"/>
      <c r="Q70" s="134">
        <f t="shared" si="18"/>
        <v>1045208.77</v>
      </c>
      <c r="R70" s="227"/>
      <c r="S70" s="227"/>
      <c r="T70" s="391"/>
      <c r="U70" s="391"/>
      <c r="V70" s="391"/>
      <c r="W70" s="391"/>
      <c r="X70" s="391"/>
      <c r="Z70" s="169"/>
      <c r="AA70" s="167" t="s">
        <v>123</v>
      </c>
      <c r="AB70" s="167" t="s">
        <v>124</v>
      </c>
      <c r="AC70" s="168">
        <v>93302.49</v>
      </c>
      <c r="AD70" s="168">
        <v>90595.23000000001</v>
      </c>
      <c r="AE70" s="168">
        <v>77683.070000000007</v>
      </c>
      <c r="AF70" s="168">
        <v>235952.67</v>
      </c>
      <c r="AG70" s="168">
        <v>31100.97</v>
      </c>
      <c r="AH70" s="168">
        <v>98135.42</v>
      </c>
      <c r="AI70" s="168">
        <v>101033.7</v>
      </c>
      <c r="AJ70" s="168">
        <v>99989.46</v>
      </c>
      <c r="AK70" s="168">
        <v>100265.83</v>
      </c>
      <c r="AL70" s="168">
        <v>107786.97</v>
      </c>
      <c r="AM70" s="168">
        <v>118940.36</v>
      </c>
      <c r="AN70" s="168">
        <v>131212.32</v>
      </c>
      <c r="AO70" s="168">
        <v>1285998.49</v>
      </c>
    </row>
    <row r="71" spans="2:41" x14ac:dyDescent="0.2">
      <c r="B71" s="124"/>
      <c r="C71" s="123" t="s">
        <v>125</v>
      </c>
      <c r="D71" s="123" t="s">
        <v>126</v>
      </c>
      <c r="E71" s="134">
        <v>13029.67</v>
      </c>
      <c r="F71" s="196">
        <v>27948.62</v>
      </c>
      <c r="G71" s="196">
        <v>-19600.740000000002</v>
      </c>
      <c r="H71" s="196">
        <v>-1942.47</v>
      </c>
      <c r="I71" s="196">
        <v>-7485.86</v>
      </c>
      <c r="J71" s="196">
        <v>-31911.57</v>
      </c>
      <c r="K71" s="196">
        <v>-47650.879999999997</v>
      </c>
      <c r="L71" s="196">
        <v>827.5</v>
      </c>
      <c r="M71" s="196">
        <f>VLOOKUP($C71,'SAP detail'!$B:$C,2,FALSE)</f>
        <v>-5186.6099999999997</v>
      </c>
      <c r="N71" s="134"/>
      <c r="O71" s="134"/>
      <c r="P71" s="134"/>
      <c r="Q71" s="134">
        <f t="shared" si="18"/>
        <v>-71972.34</v>
      </c>
      <c r="R71" s="227"/>
      <c r="S71" s="227"/>
      <c r="T71" s="391"/>
      <c r="U71" s="391"/>
      <c r="V71" s="391"/>
      <c r="W71" s="391"/>
      <c r="X71" s="391"/>
      <c r="Z71" s="169"/>
      <c r="AA71" s="167" t="s">
        <v>125</v>
      </c>
      <c r="AB71" s="167" t="s">
        <v>126</v>
      </c>
      <c r="AC71" s="168">
        <v>26261.299999999996</v>
      </c>
      <c r="AD71" s="168">
        <v>42446.799999999996</v>
      </c>
      <c r="AE71" s="168">
        <v>47585.610000000008</v>
      </c>
      <c r="AF71" s="168">
        <v>38521.399999999994</v>
      </c>
      <c r="AG71" s="168">
        <v>68426.39</v>
      </c>
      <c r="AH71" s="168">
        <v>47547.55</v>
      </c>
      <c r="AI71" s="168">
        <v>-374.64000000000203</v>
      </c>
      <c r="AJ71" s="168">
        <v>-7738.6200000000008</v>
      </c>
      <c r="AK71" s="168">
        <v>5701.5900000000011</v>
      </c>
      <c r="AL71" s="168">
        <v>39192.490000000005</v>
      </c>
      <c r="AM71" s="168">
        <v>25450.27</v>
      </c>
      <c r="AN71" s="168">
        <v>18842.16</v>
      </c>
      <c r="AO71" s="168">
        <v>351862.3</v>
      </c>
    </row>
    <row r="72" spans="2:41" x14ac:dyDescent="0.2">
      <c r="B72" s="124"/>
      <c r="C72" s="123" t="s">
        <v>127</v>
      </c>
      <c r="D72" s="123" t="s">
        <v>128</v>
      </c>
      <c r="E72" s="134">
        <v>11991.88</v>
      </c>
      <c r="F72" s="196">
        <v>15335.52</v>
      </c>
      <c r="G72" s="196">
        <v>15437.53</v>
      </c>
      <c r="H72" s="196">
        <v>16506.580000000002</v>
      </c>
      <c r="I72" s="196">
        <v>15959.14</v>
      </c>
      <c r="J72" s="196">
        <v>15419.71</v>
      </c>
      <c r="K72" s="196">
        <v>9014.2999999999993</v>
      </c>
      <c r="L72" s="196">
        <v>15369.16</v>
      </c>
      <c r="M72" s="196">
        <f>VLOOKUP($C72,'SAP detail'!$B:$C,2,FALSE)</f>
        <v>15440.08</v>
      </c>
      <c r="N72" s="134"/>
      <c r="O72" s="134"/>
      <c r="P72" s="134"/>
      <c r="Q72" s="134">
        <f t="shared" si="18"/>
        <v>130473.9</v>
      </c>
      <c r="R72" s="227"/>
      <c r="S72" s="320" t="s">
        <v>202</v>
      </c>
      <c r="T72" s="242">
        <f>Q40+Q44+Q52+Q62+Q68+Q76</f>
        <v>-19283.089999999313</v>
      </c>
      <c r="U72" s="215"/>
      <c r="V72" s="215"/>
      <c r="W72" s="215"/>
      <c r="X72" s="135"/>
      <c r="Z72" s="169"/>
      <c r="AA72" s="167" t="s">
        <v>127</v>
      </c>
      <c r="AB72" s="167" t="s">
        <v>128</v>
      </c>
      <c r="AC72" s="168">
        <v>19276.760000000002</v>
      </c>
      <c r="AD72" s="168">
        <v>15229.79</v>
      </c>
      <c r="AE72" s="168">
        <v>15277.29</v>
      </c>
      <c r="AF72" s="168">
        <v>21833.61</v>
      </c>
      <c r="AG72" s="168">
        <v>15366.98</v>
      </c>
      <c r="AH72" s="168">
        <v>15815.630000000001</v>
      </c>
      <c r="AI72" s="168">
        <v>14683.810000000001</v>
      </c>
      <c r="AJ72" s="168">
        <v>15284.45</v>
      </c>
      <c r="AK72" s="168">
        <v>15247.27</v>
      </c>
      <c r="AL72" s="168">
        <v>17894.93</v>
      </c>
      <c r="AM72" s="168">
        <v>15282.42</v>
      </c>
      <c r="AN72" s="168">
        <v>15830.14</v>
      </c>
      <c r="AO72" s="168">
        <v>197023.08000000002</v>
      </c>
    </row>
    <row r="73" spans="2:41" x14ac:dyDescent="0.2">
      <c r="B73" s="124"/>
      <c r="C73" s="125" t="s">
        <v>176</v>
      </c>
      <c r="D73" s="125"/>
      <c r="E73" s="136">
        <v>113965.75999999999</v>
      </c>
      <c r="F73" s="197">
        <v>115103.45</v>
      </c>
      <c r="G73" s="136">
        <v>156324.96</v>
      </c>
      <c r="H73" s="136">
        <v>97596.52</v>
      </c>
      <c r="I73" s="136">
        <v>137949.57</v>
      </c>
      <c r="J73" s="136">
        <v>83357.78</v>
      </c>
      <c r="K73" s="136">
        <v>9432.6799999999967</v>
      </c>
      <c r="L73" s="136">
        <v>121881.1</v>
      </c>
      <c r="M73" s="136">
        <f t="shared" ref="M73:P73" si="38">SUM(M69:M72)</f>
        <v>135031.00999999998</v>
      </c>
      <c r="N73" s="136">
        <f t="shared" si="38"/>
        <v>0</v>
      </c>
      <c r="O73" s="136">
        <f t="shared" si="38"/>
        <v>0</v>
      </c>
      <c r="P73" s="136">
        <f t="shared" si="38"/>
        <v>0</v>
      </c>
      <c r="Q73" s="136">
        <f t="shared" si="18"/>
        <v>970642.83000000007</v>
      </c>
      <c r="R73" s="222"/>
      <c r="S73" s="244" t="s">
        <v>203</v>
      </c>
      <c r="T73" s="243">
        <f>Q79</f>
        <v>1.0000000002328306</v>
      </c>
      <c r="U73" s="222"/>
      <c r="V73" s="216"/>
      <c r="W73" s="216"/>
      <c r="X73" s="135"/>
      <c r="Z73" s="169"/>
      <c r="AA73" s="170" t="s">
        <v>176</v>
      </c>
      <c r="AB73" s="170"/>
      <c r="AC73" s="171">
        <v>171475.55000000002</v>
      </c>
      <c r="AD73" s="171">
        <v>195377.66</v>
      </c>
      <c r="AE73" s="171">
        <v>202930.86000000004</v>
      </c>
      <c r="AF73" s="171">
        <v>371955.15</v>
      </c>
      <c r="AG73" s="171">
        <v>87998.04</v>
      </c>
      <c r="AH73" s="171">
        <v>129798.79000000001</v>
      </c>
      <c r="AI73" s="171">
        <v>67005.27</v>
      </c>
      <c r="AJ73" s="171">
        <v>88662.840000000011</v>
      </c>
      <c r="AK73" s="171">
        <v>146836.51999999999</v>
      </c>
      <c r="AL73" s="171">
        <v>135510.98000000001</v>
      </c>
      <c r="AM73" s="171">
        <v>340915.5</v>
      </c>
      <c r="AN73" s="171">
        <v>111343.31000000001</v>
      </c>
      <c r="AO73" s="171">
        <v>2049810.4700000002</v>
      </c>
    </row>
    <row r="74" spans="2:41" x14ac:dyDescent="0.2">
      <c r="B74" s="124"/>
      <c r="C74" s="123" t="s">
        <v>117</v>
      </c>
      <c r="D74" s="123" t="s">
        <v>118</v>
      </c>
      <c r="E74" s="134">
        <v>-118923.66</v>
      </c>
      <c r="F74" s="196">
        <v>-112289.04</v>
      </c>
      <c r="G74" s="196">
        <v>-119643.56</v>
      </c>
      <c r="H74" s="196">
        <v>-119421.75</v>
      </c>
      <c r="I74" s="196">
        <v>-117824.49</v>
      </c>
      <c r="J74" s="196">
        <v>-118963.07</v>
      </c>
      <c r="K74" s="196">
        <v>-122570.06</v>
      </c>
      <c r="L74" s="196">
        <v>-118137.94</v>
      </c>
      <c r="M74" s="196">
        <f>VLOOKUP($C74,'SAP detail'!$B:$C,2,FALSE)</f>
        <v>-122448.95</v>
      </c>
      <c r="N74" s="134"/>
      <c r="O74" s="134"/>
      <c r="P74" s="134"/>
      <c r="Q74" s="134">
        <f t="shared" si="18"/>
        <v>-1070222.52</v>
      </c>
      <c r="R74" s="227"/>
      <c r="S74" s="320"/>
      <c r="T74" s="242"/>
      <c r="U74" s="215"/>
      <c r="V74" s="215"/>
      <c r="W74" s="215"/>
      <c r="X74" s="135"/>
      <c r="Z74" s="169"/>
      <c r="AA74" s="167" t="s">
        <v>117</v>
      </c>
      <c r="AB74" s="167" t="s">
        <v>118</v>
      </c>
      <c r="AC74" s="168">
        <v>-134733.29</v>
      </c>
      <c r="AD74" s="168">
        <v>-117948.88</v>
      </c>
      <c r="AE74" s="168">
        <v>-131459.03</v>
      </c>
      <c r="AF74" s="168">
        <v>-129157.1</v>
      </c>
      <c r="AG74" s="168">
        <v>-134589.35999999999</v>
      </c>
      <c r="AH74" s="168">
        <v>-172805.06</v>
      </c>
      <c r="AI74" s="168">
        <v>-131453.97</v>
      </c>
      <c r="AJ74" s="168">
        <v>-127437.58</v>
      </c>
      <c r="AK74" s="168">
        <v>-124498.35</v>
      </c>
      <c r="AL74" s="168">
        <v>-132809.46</v>
      </c>
      <c r="AM74" s="168">
        <v>-128253.3</v>
      </c>
      <c r="AN74" s="168">
        <v>-134482.32</v>
      </c>
      <c r="AO74" s="168">
        <v>-1599627.7000000002</v>
      </c>
    </row>
    <row r="75" spans="2:41" x14ac:dyDescent="0.2">
      <c r="B75" s="126"/>
      <c r="C75" s="125" t="s">
        <v>165</v>
      </c>
      <c r="D75" s="125"/>
      <c r="E75" s="136">
        <v>-118923.66</v>
      </c>
      <c r="F75" s="197">
        <v>-112289.04</v>
      </c>
      <c r="G75" s="136">
        <v>-119643.56</v>
      </c>
      <c r="H75" s="136">
        <v>-119421.75</v>
      </c>
      <c r="I75" s="136">
        <v>-117824.49</v>
      </c>
      <c r="J75" s="136">
        <v>-118963.07</v>
      </c>
      <c r="K75" s="136">
        <v>-122570.06</v>
      </c>
      <c r="L75" s="136">
        <v>-118137.94</v>
      </c>
      <c r="M75" s="136">
        <f t="shared" ref="M75:P75" si="39">M74</f>
        <v>-122448.95</v>
      </c>
      <c r="N75" s="136">
        <f t="shared" si="39"/>
        <v>0</v>
      </c>
      <c r="O75" s="136">
        <f t="shared" si="39"/>
        <v>0</v>
      </c>
      <c r="P75" s="136">
        <f t="shared" si="39"/>
        <v>0</v>
      </c>
      <c r="Q75" s="136">
        <f t="shared" si="18"/>
        <v>-1070222.52</v>
      </c>
      <c r="R75" s="222"/>
      <c r="S75" s="244" t="s">
        <v>216</v>
      </c>
      <c r="T75" s="267">
        <f>SUM(T72:T74)</f>
        <v>-19282.08999999908</v>
      </c>
      <c r="U75" s="216"/>
      <c r="V75" s="216"/>
      <c r="W75" s="216"/>
      <c r="X75" s="135"/>
      <c r="Z75" s="172"/>
      <c r="AA75" s="170" t="s">
        <v>165</v>
      </c>
      <c r="AB75" s="170"/>
      <c r="AC75" s="171">
        <v>-134733.29</v>
      </c>
      <c r="AD75" s="171">
        <v>-117948.88</v>
      </c>
      <c r="AE75" s="171">
        <v>-131459.03</v>
      </c>
      <c r="AF75" s="171">
        <v>-129157.1</v>
      </c>
      <c r="AG75" s="171">
        <v>-134589.35999999999</v>
      </c>
      <c r="AH75" s="171">
        <v>-172805.06</v>
      </c>
      <c r="AI75" s="171">
        <v>-131453.97</v>
      </c>
      <c r="AJ75" s="171">
        <v>-127437.58</v>
      </c>
      <c r="AK75" s="171">
        <v>-124498.35</v>
      </c>
      <c r="AL75" s="171">
        <v>-132809.46</v>
      </c>
      <c r="AM75" s="171">
        <v>-128253.3</v>
      </c>
      <c r="AN75" s="171">
        <v>-134482.32</v>
      </c>
      <c r="AO75" s="171">
        <v>-1599627.7000000002</v>
      </c>
    </row>
    <row r="76" spans="2:41" x14ac:dyDescent="0.2">
      <c r="B76" s="127" t="s">
        <v>172</v>
      </c>
      <c r="C76" s="127"/>
      <c r="D76" s="127"/>
      <c r="E76" s="137">
        <v>-4957.9000000000087</v>
      </c>
      <c r="F76" s="198">
        <v>2814.4100000000035</v>
      </c>
      <c r="G76" s="137">
        <v>36681.399999999994</v>
      </c>
      <c r="H76" s="137">
        <v>-21825.229999999996</v>
      </c>
      <c r="I76" s="137">
        <v>20125.080000000002</v>
      </c>
      <c r="J76" s="137">
        <v>-35605.290000000008</v>
      </c>
      <c r="K76" s="137">
        <v>-113137.38</v>
      </c>
      <c r="L76" s="137">
        <v>3743.1600000000035</v>
      </c>
      <c r="M76" s="137">
        <f t="shared" ref="M76:P76" si="40">M73+M75</f>
        <v>12582.059999999983</v>
      </c>
      <c r="N76" s="137">
        <f t="shared" si="40"/>
        <v>0</v>
      </c>
      <c r="O76" s="137">
        <f t="shared" si="40"/>
        <v>0</v>
      </c>
      <c r="P76" s="137">
        <f t="shared" si="40"/>
        <v>0</v>
      </c>
      <c r="Q76" s="137">
        <f t="shared" si="18"/>
        <v>-99579.690000000031</v>
      </c>
      <c r="R76" s="222"/>
      <c r="S76" s="222"/>
      <c r="T76" s="217"/>
      <c r="U76" s="217"/>
      <c r="V76" s="217"/>
      <c r="W76" s="217"/>
      <c r="X76" s="135"/>
      <c r="Z76" s="173" t="s">
        <v>172</v>
      </c>
      <c r="AA76" s="173"/>
      <c r="AB76" s="173"/>
      <c r="AC76" s="174">
        <v>36742.260000000009</v>
      </c>
      <c r="AD76" s="174">
        <v>77428.78</v>
      </c>
      <c r="AE76" s="174">
        <v>71471.830000000045</v>
      </c>
      <c r="AF76" s="174">
        <v>242798.05000000002</v>
      </c>
      <c r="AG76" s="174">
        <v>-46591.319999999992</v>
      </c>
      <c r="AH76" s="174">
        <v>-43006.26999999999</v>
      </c>
      <c r="AI76" s="174">
        <v>-64448.7</v>
      </c>
      <c r="AJ76" s="174">
        <v>-38774.739999999991</v>
      </c>
      <c r="AK76" s="174">
        <v>22338.169999999984</v>
      </c>
      <c r="AL76" s="174">
        <v>2701.5200000000186</v>
      </c>
      <c r="AM76" s="174">
        <v>212662.2</v>
      </c>
      <c r="AN76" s="174">
        <v>-23139.009999999995</v>
      </c>
      <c r="AO76" s="174">
        <v>450182.77000000008</v>
      </c>
    </row>
    <row r="77" spans="2:41" x14ac:dyDescent="0.2">
      <c r="B77" s="122" t="s">
        <v>142</v>
      </c>
      <c r="C77" s="123" t="s">
        <v>89</v>
      </c>
      <c r="D77" s="123" t="s">
        <v>90</v>
      </c>
      <c r="E77" s="134">
        <v>0</v>
      </c>
      <c r="F77" s="196">
        <v>0</v>
      </c>
      <c r="G77" s="196">
        <v>1</v>
      </c>
      <c r="H77" s="134">
        <v>0</v>
      </c>
      <c r="I77" s="134">
        <v>0</v>
      </c>
      <c r="J77" s="134"/>
      <c r="K77" s="134"/>
      <c r="L77" s="134"/>
      <c r="M77" s="134"/>
      <c r="N77" s="134"/>
      <c r="O77" s="134"/>
      <c r="P77" s="134"/>
      <c r="Q77" s="134">
        <f t="shared" si="18"/>
        <v>1</v>
      </c>
      <c r="R77" s="227"/>
      <c r="S77" s="227"/>
      <c r="T77" s="215"/>
      <c r="U77" s="215"/>
      <c r="V77" s="215"/>
      <c r="W77" s="215"/>
      <c r="X77" s="135"/>
      <c r="Z77" s="166" t="s">
        <v>142</v>
      </c>
      <c r="AA77" s="167" t="s">
        <v>89</v>
      </c>
      <c r="AB77" s="167" t="s">
        <v>90</v>
      </c>
      <c r="AC77" s="168">
        <v>-65616.989999999991</v>
      </c>
      <c r="AD77" s="168">
        <v>-57533.760000000002</v>
      </c>
      <c r="AE77" s="168">
        <v>123148.48999999999</v>
      </c>
      <c r="AF77" s="168">
        <v>-62937.98</v>
      </c>
      <c r="AG77" s="168">
        <v>-66385.41</v>
      </c>
      <c r="AH77" s="168">
        <v>119764.81</v>
      </c>
      <c r="AI77" s="168">
        <v>-64055.7</v>
      </c>
      <c r="AJ77" s="168">
        <v>-61762.03</v>
      </c>
      <c r="AK77" s="168">
        <v>135378.55999999997</v>
      </c>
      <c r="AL77" s="168">
        <v>-64876.09</v>
      </c>
      <c r="AM77" s="168">
        <v>-62586.99</v>
      </c>
      <c r="AN77" s="168">
        <v>127463.09</v>
      </c>
      <c r="AO77" s="168">
        <v>0</v>
      </c>
    </row>
    <row r="78" spans="2:41" x14ac:dyDescent="0.2">
      <c r="B78" s="124"/>
      <c r="C78" s="123" t="s">
        <v>95</v>
      </c>
      <c r="D78" s="123" t="s">
        <v>96</v>
      </c>
      <c r="E78" s="134">
        <v>-667753.21</v>
      </c>
      <c r="F78" s="196">
        <v>-634832.23</v>
      </c>
      <c r="G78" s="196">
        <v>1302585.44</v>
      </c>
      <c r="H78" s="196">
        <v>-680133.69</v>
      </c>
      <c r="I78" s="196">
        <v>-667687.41</v>
      </c>
      <c r="J78" s="196">
        <v>1347821.11</v>
      </c>
      <c r="K78" s="196">
        <v>-694183.22</v>
      </c>
      <c r="L78" s="196">
        <v>-669567.13</v>
      </c>
      <c r="M78" s="196">
        <f>VLOOKUP($C78,'SAP detail'!$B:$C,2,FALSE)</f>
        <v>1363750.34</v>
      </c>
      <c r="N78" s="134"/>
      <c r="O78" s="134"/>
      <c r="P78" s="134"/>
      <c r="Q78" s="134">
        <f t="shared" si="18"/>
        <v>0</v>
      </c>
      <c r="R78" s="227" t="s">
        <v>199</v>
      </c>
      <c r="S78" s="227"/>
      <c r="T78" s="215"/>
      <c r="U78" s="233"/>
      <c r="V78" s="215"/>
      <c r="W78" s="215"/>
      <c r="X78" s="135"/>
      <c r="Z78" s="169"/>
      <c r="AA78" s="167" t="s">
        <v>95</v>
      </c>
      <c r="AB78" s="167" t="s">
        <v>96</v>
      </c>
      <c r="AC78" s="168">
        <v>-666980.34</v>
      </c>
      <c r="AD78" s="168">
        <v>-597044.52</v>
      </c>
      <c r="AE78" s="168">
        <v>1264024.8599999996</v>
      </c>
      <c r="AF78" s="168">
        <v>-634029.18999999994</v>
      </c>
      <c r="AG78" s="168">
        <v>-647948.02</v>
      </c>
      <c r="AH78" s="168">
        <v>1313421.6499999999</v>
      </c>
      <c r="AI78" s="168">
        <v>-643858.64</v>
      </c>
      <c r="AJ78" s="168">
        <v>-623481.16</v>
      </c>
      <c r="AK78" s="168">
        <v>1235895.3599999999</v>
      </c>
      <c r="AL78" s="168">
        <v>-639955.27</v>
      </c>
      <c r="AM78" s="168">
        <v>-622414.06999999995</v>
      </c>
      <c r="AN78" s="168">
        <v>1262369.33</v>
      </c>
      <c r="AO78" s="168">
        <v>-1.0000000242143869E-2</v>
      </c>
    </row>
    <row r="79" spans="2:41" x14ac:dyDescent="0.2">
      <c r="B79" s="127" t="s">
        <v>177</v>
      </c>
      <c r="C79" s="127"/>
      <c r="D79" s="127"/>
      <c r="E79" s="137">
        <v>-667753.21</v>
      </c>
      <c r="F79" s="198">
        <v>-634832.23</v>
      </c>
      <c r="G79" s="137">
        <f>SUM(G77:G78)</f>
        <v>1302586.44</v>
      </c>
      <c r="H79" s="137">
        <v>-680133.69</v>
      </c>
      <c r="I79" s="137">
        <v>-667687.41</v>
      </c>
      <c r="J79" s="137">
        <v>1347821.11</v>
      </c>
      <c r="K79" s="137">
        <v>-694183.22</v>
      </c>
      <c r="L79" s="137">
        <v>-669567.13</v>
      </c>
      <c r="M79" s="137">
        <f t="shared" ref="M79:P79" si="41">SUM(M77:M78)</f>
        <v>1363750.34</v>
      </c>
      <c r="N79" s="137">
        <f t="shared" si="41"/>
        <v>0</v>
      </c>
      <c r="O79" s="137">
        <f t="shared" si="41"/>
        <v>0</v>
      </c>
      <c r="P79" s="137">
        <f t="shared" si="41"/>
        <v>0</v>
      </c>
      <c r="Q79" s="137">
        <f>SUM(E79:P79)</f>
        <v>1.0000000002328306</v>
      </c>
      <c r="S79" s="222"/>
      <c r="T79" s="217"/>
      <c r="U79" s="232"/>
      <c r="W79" s="232" t="s">
        <v>218</v>
      </c>
      <c r="X79" s="135"/>
      <c r="Z79" s="173" t="s">
        <v>177</v>
      </c>
      <c r="AA79" s="173"/>
      <c r="AB79" s="173"/>
      <c r="AC79" s="174">
        <v>-732597.33</v>
      </c>
      <c r="AD79" s="174">
        <v>-654578.28</v>
      </c>
      <c r="AE79" s="174">
        <v>1387173.3499999996</v>
      </c>
      <c r="AF79" s="174">
        <v>-696967.16999999993</v>
      </c>
      <c r="AG79" s="174">
        <v>-714333.43</v>
      </c>
      <c r="AH79" s="174">
        <v>1433186.46</v>
      </c>
      <c r="AI79" s="174">
        <v>-707914.34</v>
      </c>
      <c r="AJ79" s="174">
        <v>-685243.19000000006</v>
      </c>
      <c r="AK79" s="174">
        <v>1371273.92</v>
      </c>
      <c r="AL79" s="174">
        <v>-704831.36</v>
      </c>
      <c r="AM79" s="174">
        <v>-685001.05999999994</v>
      </c>
      <c r="AN79" s="174">
        <v>1389832.4200000002</v>
      </c>
      <c r="AO79" s="174">
        <v>-1.0000000242143869E-2</v>
      </c>
    </row>
    <row r="80" spans="2:41" x14ac:dyDescent="0.2">
      <c r="B80" s="128" t="s">
        <v>63</v>
      </c>
      <c r="C80" s="140"/>
      <c r="D80" s="140"/>
      <c r="E80" s="191">
        <v>0</v>
      </c>
      <c r="F80" s="199">
        <v>0</v>
      </c>
      <c r="G80" s="141">
        <v>0</v>
      </c>
      <c r="H80" s="141">
        <v>0</v>
      </c>
      <c r="I80" s="141">
        <v>0</v>
      </c>
      <c r="J80" s="141">
        <v>0</v>
      </c>
      <c r="K80" s="141">
        <v>0</v>
      </c>
      <c r="L80" s="141">
        <v>0</v>
      </c>
      <c r="M80" s="141">
        <f>'SAP detail'!F37</f>
        <v>-3.637978807091713E-12</v>
      </c>
      <c r="N80" s="141">
        <v>0</v>
      </c>
      <c r="O80" s="141">
        <v>0</v>
      </c>
      <c r="P80" s="141">
        <v>0</v>
      </c>
      <c r="Q80" s="191">
        <f t="shared" si="18"/>
        <v>-3.637978807091713E-12</v>
      </c>
      <c r="R80" s="230" t="s">
        <v>215</v>
      </c>
      <c r="S80" s="230"/>
      <c r="T80" s="218"/>
      <c r="U80" s="273"/>
      <c r="V80" s="318" t="s">
        <v>270</v>
      </c>
      <c r="W80" s="273">
        <v>-1095241.68</v>
      </c>
      <c r="X80" s="205" t="s">
        <v>243</v>
      </c>
      <c r="Z80" s="177" t="s">
        <v>63</v>
      </c>
      <c r="AA80" s="186"/>
      <c r="AB80" s="178"/>
      <c r="AC80" s="179">
        <v>-4.5474735088646412E-13</v>
      </c>
      <c r="AD80" s="179">
        <v>-2.4726887204451486E-12</v>
      </c>
      <c r="AE80" s="179">
        <v>-2.4627411221445072E-11</v>
      </c>
      <c r="AF80" s="179">
        <v>-2.6716406864579767E-12</v>
      </c>
      <c r="AG80" s="179">
        <v>4.1211478674085811E-12</v>
      </c>
      <c r="AH80" s="179">
        <v>4.3769432522822171E-12</v>
      </c>
      <c r="AI80" s="179">
        <v>-1.8758328224066645E-12</v>
      </c>
      <c r="AJ80" s="179">
        <v>-3.637978807091713E-12</v>
      </c>
      <c r="AK80" s="179">
        <v>2.4738255888223648E-10</v>
      </c>
      <c r="AL80" s="179">
        <v>2.7512214728631079E-10</v>
      </c>
      <c r="AM80" s="179">
        <v>0</v>
      </c>
      <c r="AN80" s="179"/>
      <c r="AO80" s="179">
        <v>4.9526249767950503E-10</v>
      </c>
    </row>
    <row r="81" spans="2:41" ht="13.5" thickBot="1" x14ac:dyDescent="0.25">
      <c r="S81" s="230"/>
      <c r="T81" s="218"/>
      <c r="U81" s="273"/>
      <c r="V81" s="318" t="s">
        <v>219</v>
      </c>
      <c r="W81" s="275">
        <f>Q85</f>
        <v>1075958.550000001</v>
      </c>
      <c r="X81" s="205" t="s">
        <v>244</v>
      </c>
      <c r="Z81" s="177" t="s">
        <v>143</v>
      </c>
      <c r="AA81" s="186"/>
      <c r="AB81" s="178"/>
      <c r="AC81" s="179">
        <v>208721.23000000109</v>
      </c>
      <c r="AD81" s="179">
        <v>208816.10000000059</v>
      </c>
      <c r="AE81" s="179">
        <v>281134.24000000057</v>
      </c>
      <c r="AF81" s="179">
        <v>244319.70000000071</v>
      </c>
      <c r="AG81" s="179">
        <v>146735.93000000165</v>
      </c>
      <c r="AH81" s="179">
        <v>70163.000000001455</v>
      </c>
      <c r="AI81" s="179">
        <v>228894.95000000083</v>
      </c>
      <c r="AJ81" s="179">
        <v>193491.00000000128</v>
      </c>
      <c r="AK81" s="179">
        <v>215029.07000000137</v>
      </c>
      <c r="AL81" s="179">
        <v>182706.98000000158</v>
      </c>
      <c r="AM81" s="179">
        <v>114202.45000000003</v>
      </c>
      <c r="AN81" s="179">
        <v>-2094214.65</v>
      </c>
      <c r="AO81" s="179">
        <v>1.1408701539039612E-8</v>
      </c>
    </row>
    <row r="82" spans="2:41" ht="13.5" thickBot="1" x14ac:dyDescent="0.25">
      <c r="B82" s="203"/>
      <c r="C82" s="203"/>
      <c r="D82" s="254"/>
      <c r="E82" s="246"/>
      <c r="F82" s="246"/>
      <c r="G82" s="246"/>
      <c r="H82" s="246"/>
      <c r="I82" s="246"/>
      <c r="J82" s="203"/>
      <c r="K82" s="203"/>
      <c r="L82" s="246"/>
      <c r="M82" s="246"/>
      <c r="N82" s="246"/>
      <c r="O82" s="246"/>
      <c r="P82" s="246"/>
      <c r="Q82" s="241">
        <f>Q80+Q79+Q76+Q68+Q62+Q52+Q44+Q40</f>
        <v>-19282.089999999094</v>
      </c>
      <c r="R82" s="271" t="s">
        <v>210</v>
      </c>
      <c r="S82" s="230"/>
      <c r="T82" s="218"/>
      <c r="U82" s="273"/>
      <c r="V82" s="318" t="s">
        <v>220</v>
      </c>
      <c r="W82" s="273">
        <f>SUM(W80:W81)</f>
        <v>-19283.129999998957</v>
      </c>
      <c r="X82" s="135"/>
      <c r="Z82" s="240"/>
      <c r="AA82" s="186"/>
      <c r="AB82" s="178"/>
      <c r="AC82" s="179"/>
      <c r="AD82" s="179"/>
      <c r="AE82" s="179"/>
      <c r="AF82" s="179"/>
      <c r="AG82" s="179"/>
      <c r="AH82" s="179"/>
      <c r="AI82" s="179"/>
      <c r="AJ82" s="179"/>
      <c r="AK82" s="179"/>
      <c r="AL82" s="179"/>
      <c r="AM82" s="179"/>
      <c r="AN82" s="179"/>
      <c r="AO82" s="179"/>
    </row>
    <row r="83" spans="2:41" x14ac:dyDescent="0.2">
      <c r="B83" s="258"/>
      <c r="C83" s="310"/>
      <c r="D83" s="310"/>
      <c r="E83" s="294"/>
      <c r="F83" s="294"/>
      <c r="G83" s="294"/>
      <c r="H83" s="294"/>
      <c r="I83" s="294"/>
      <c r="J83" s="311"/>
      <c r="K83" s="311"/>
      <c r="L83" s="299"/>
      <c r="M83" s="299"/>
      <c r="N83" s="299"/>
      <c r="O83" s="299"/>
      <c r="P83" s="299"/>
      <c r="Q83" s="288"/>
      <c r="S83" s="230"/>
      <c r="T83" s="218"/>
      <c r="U83" s="273"/>
      <c r="V83" s="319" t="s">
        <v>245</v>
      </c>
      <c r="W83" s="275">
        <f>Q82</f>
        <v>-19282.089999999094</v>
      </c>
      <c r="X83" s="135"/>
      <c r="Z83" s="240"/>
      <c r="AA83" s="186"/>
      <c r="AB83" s="178"/>
      <c r="AC83" s="179"/>
      <c r="AD83" s="179"/>
      <c r="AE83" s="179"/>
      <c r="AF83" s="179"/>
      <c r="AG83" s="179"/>
      <c r="AH83" s="179"/>
      <c r="AI83" s="179"/>
      <c r="AJ83" s="179"/>
      <c r="AK83" s="179"/>
      <c r="AL83" s="179"/>
      <c r="AM83" s="179"/>
      <c r="AN83" s="179"/>
      <c r="AO83" s="179"/>
    </row>
    <row r="84" spans="2:41" ht="13.5" thickBot="1" x14ac:dyDescent="0.25">
      <c r="B84" s="305" t="s">
        <v>229</v>
      </c>
      <c r="C84" s="306" t="s">
        <v>52</v>
      </c>
      <c r="D84" s="306" t="s">
        <v>145</v>
      </c>
      <c r="E84" s="308">
        <v>-85751.33</v>
      </c>
      <c r="F84" s="309">
        <v>116794.78</v>
      </c>
      <c r="G84" s="309">
        <v>-1455850.4</v>
      </c>
      <c r="H84" s="309">
        <v>667784.47</v>
      </c>
      <c r="I84" s="309">
        <v>713695.88</v>
      </c>
      <c r="J84" s="309">
        <v>-517518.13</v>
      </c>
      <c r="K84" s="309">
        <v>848620.78</v>
      </c>
      <c r="L84" s="309">
        <v>807464.59</v>
      </c>
      <c r="M84" s="309"/>
      <c r="N84" s="309"/>
      <c r="O84" s="309"/>
      <c r="P84" s="309"/>
      <c r="Q84" s="313">
        <f>SUM(E84:P84)</f>
        <v>1095240.6400000001</v>
      </c>
      <c r="R84" s="314" t="s">
        <v>236</v>
      </c>
      <c r="S84" s="227"/>
      <c r="T84" s="219"/>
      <c r="U84" s="233"/>
      <c r="V84" s="283" t="s">
        <v>242</v>
      </c>
      <c r="W84" s="233">
        <f>W82-W83</f>
        <v>-1.0399999998626299</v>
      </c>
      <c r="X84" s="36" t="s">
        <v>213</v>
      </c>
      <c r="Z84" s="166" t="s">
        <v>164</v>
      </c>
      <c r="AA84" s="180" t="s">
        <v>52</v>
      </c>
      <c r="AB84" s="180" t="s">
        <v>145</v>
      </c>
      <c r="AC84" s="179">
        <v>523701.75</v>
      </c>
      <c r="AD84" s="179">
        <v>-143678.1</v>
      </c>
      <c r="AE84" s="179">
        <v>-1815001.47</v>
      </c>
      <c r="AF84" s="179">
        <v>171177.65</v>
      </c>
      <c r="AG84" s="179">
        <v>869203.41</v>
      </c>
      <c r="AH84" s="179">
        <v>-1425154.8599999999</v>
      </c>
      <c r="AI84" s="179">
        <v>535061.27</v>
      </c>
      <c r="AJ84" s="179">
        <v>595958.76</v>
      </c>
      <c r="AK84" s="179">
        <v>-1600361.2</v>
      </c>
      <c r="AL84" s="179">
        <v>557294.66999994998</v>
      </c>
      <c r="AM84" s="179">
        <v>269336.8</v>
      </c>
      <c r="AN84" s="187">
        <v>313793.29999999935</v>
      </c>
      <c r="AO84" s="187">
        <v>-1148668.0200000501</v>
      </c>
    </row>
    <row r="85" spans="2:41" ht="13.5" thickBot="1" x14ac:dyDescent="0.25">
      <c r="B85" s="276"/>
      <c r="C85" s="277"/>
      <c r="D85" s="277"/>
      <c r="E85" s="287"/>
      <c r="F85" s="248"/>
      <c r="G85" s="248"/>
      <c r="H85" s="248"/>
      <c r="I85" s="248"/>
      <c r="J85" s="248"/>
      <c r="K85" s="248"/>
      <c r="L85" s="287"/>
      <c r="M85" s="287"/>
      <c r="N85" s="287"/>
      <c r="O85" s="287"/>
      <c r="P85" s="287"/>
      <c r="Q85" s="347">
        <f>Q82+Q84</f>
        <v>1075958.550000001</v>
      </c>
      <c r="R85" s="348" t="s">
        <v>148</v>
      </c>
      <c r="S85" s="227"/>
      <c r="T85" s="219"/>
      <c r="U85" s="233"/>
      <c r="V85" s="233"/>
      <c r="W85" s="233"/>
      <c r="X85" s="36"/>
      <c r="Z85" s="279"/>
      <c r="AA85" s="280"/>
      <c r="AB85" s="280"/>
      <c r="AC85" s="281"/>
      <c r="AD85" s="281"/>
      <c r="AE85" s="281"/>
      <c r="AF85" s="281"/>
      <c r="AG85" s="281"/>
      <c r="AH85" s="281"/>
      <c r="AI85" s="281"/>
      <c r="AJ85" s="281"/>
      <c r="AK85" s="281"/>
      <c r="AL85" s="281"/>
      <c r="AM85" s="281"/>
      <c r="AN85" s="282"/>
      <c r="AO85" s="282"/>
    </row>
    <row r="86" spans="2:41" s="203" customFormat="1" x14ac:dyDescent="0.2">
      <c r="B86" s="298"/>
      <c r="C86" s="298"/>
      <c r="D86" s="258"/>
      <c r="E86" s="299"/>
      <c r="F86" s="300"/>
      <c r="G86" s="300"/>
      <c r="H86" s="300"/>
      <c r="I86" s="300"/>
      <c r="J86" s="301"/>
      <c r="K86" s="301"/>
      <c r="L86" s="299"/>
      <c r="M86" s="299"/>
      <c r="N86" s="299"/>
      <c r="O86" s="299"/>
      <c r="P86" s="299"/>
      <c r="Q86" s="219"/>
      <c r="R86" s="295"/>
      <c r="S86" s="227"/>
      <c r="T86" s="219"/>
      <c r="U86" s="233"/>
      <c r="V86" s="233"/>
      <c r="W86" s="233"/>
      <c r="X86" s="274"/>
      <c r="Z86" s="296"/>
      <c r="AA86" s="296"/>
      <c r="AB86" s="296"/>
      <c r="AC86" s="297"/>
      <c r="AD86" s="297"/>
      <c r="AE86" s="297"/>
      <c r="AF86" s="297"/>
      <c r="AG86" s="297"/>
      <c r="AH86" s="297"/>
      <c r="AI86" s="297"/>
      <c r="AJ86" s="297"/>
      <c r="AK86" s="297"/>
      <c r="AL86" s="297"/>
      <c r="AM86" s="297"/>
      <c r="AN86" s="297"/>
      <c r="AO86" s="297"/>
    </row>
    <row r="87" spans="2:41" x14ac:dyDescent="0.2">
      <c r="B87" s="302" t="s">
        <v>206</v>
      </c>
      <c r="C87" s="303"/>
      <c r="D87" s="303"/>
      <c r="E87" s="304">
        <v>134549.20000000001</v>
      </c>
      <c r="F87" s="304">
        <v>69973.430000000109</v>
      </c>
      <c r="G87" s="304">
        <v>4725.5299999999697</v>
      </c>
      <c r="H87" s="304">
        <v>89180.719999999914</v>
      </c>
      <c r="I87" s="304">
        <v>122007.59000000003</v>
      </c>
      <c r="J87" s="304">
        <v>485581.17999999993</v>
      </c>
      <c r="K87" s="317">
        <f>-127187</f>
        <v>-127187</v>
      </c>
      <c r="L87" s="304">
        <v>94977.749999999942</v>
      </c>
      <c r="M87" s="304">
        <f>'SAP detail'!F41</f>
        <v>246508.21999999997</v>
      </c>
      <c r="N87" s="304">
        <f>'SAP detail'!O41</f>
        <v>0</v>
      </c>
      <c r="O87" s="304">
        <f>'SAP detail'!P41</f>
        <v>0</v>
      </c>
      <c r="P87" s="304">
        <f>'SAP detail'!Q41</f>
        <v>0</v>
      </c>
      <c r="Q87" s="137">
        <f>SUM(E87:P87)</f>
        <v>1120316.6199999999</v>
      </c>
      <c r="R87" s="278"/>
      <c r="S87" s="227"/>
      <c r="T87" s="219"/>
      <c r="U87" s="233"/>
      <c r="V87" s="233"/>
      <c r="W87" s="233"/>
      <c r="X87" s="36"/>
      <c r="Z87" s="279"/>
      <c r="AA87" s="280"/>
      <c r="AB87" s="280"/>
      <c r="AC87" s="281"/>
      <c r="AD87" s="281"/>
      <c r="AE87" s="281"/>
      <c r="AF87" s="281"/>
      <c r="AG87" s="281"/>
      <c r="AH87" s="281"/>
      <c r="AI87" s="281"/>
      <c r="AJ87" s="281"/>
      <c r="AK87" s="281"/>
      <c r="AL87" s="281"/>
      <c r="AM87" s="281"/>
      <c r="AN87" s="282"/>
      <c r="AO87" s="282"/>
    </row>
    <row r="88" spans="2:41" ht="13.5" thickBot="1" x14ac:dyDescent="0.25">
      <c r="B88" s="305" t="s">
        <v>229</v>
      </c>
      <c r="C88" s="315" t="s">
        <v>222</v>
      </c>
      <c r="D88" s="306"/>
      <c r="E88" s="307"/>
      <c r="F88" s="307"/>
      <c r="G88" s="307"/>
      <c r="H88" s="307"/>
      <c r="I88" s="307"/>
      <c r="J88" s="307">
        <f>-SUM(E87:J87)</f>
        <v>-906017.64999999991</v>
      </c>
      <c r="K88" s="307">
        <v>127187</v>
      </c>
      <c r="L88" s="308">
        <v>-94978</v>
      </c>
      <c r="M88" s="308"/>
      <c r="N88" s="308"/>
      <c r="O88" s="308"/>
      <c r="P88" s="308"/>
      <c r="Q88" s="341">
        <f>SUM(E88:P88)</f>
        <v>-873808.64999999991</v>
      </c>
      <c r="R88" s="314" t="s">
        <v>226</v>
      </c>
      <c r="S88" s="227"/>
      <c r="T88" s="219"/>
      <c r="U88" s="233"/>
      <c r="V88" s="233"/>
      <c r="W88" s="233"/>
      <c r="X88" s="36"/>
      <c r="Z88" s="279"/>
      <c r="AA88" s="280"/>
      <c r="AB88" s="280"/>
      <c r="AC88" s="281"/>
      <c r="AD88" s="281"/>
      <c r="AE88" s="281"/>
      <c r="AF88" s="281"/>
      <c r="AG88" s="281"/>
      <c r="AH88" s="281"/>
      <c r="AI88" s="281"/>
      <c r="AJ88" s="281"/>
      <c r="AK88" s="281"/>
      <c r="AL88" s="281"/>
      <c r="AM88" s="281"/>
      <c r="AN88" s="282"/>
      <c r="AO88" s="282"/>
    </row>
    <row r="89" spans="2:41" ht="13.5" thickBot="1" x14ac:dyDescent="0.25">
      <c r="B89" s="249"/>
      <c r="C89" s="270"/>
      <c r="D89" s="273"/>
      <c r="L89" s="273"/>
      <c r="M89" s="351"/>
      <c r="N89" s="273"/>
      <c r="O89" s="273"/>
      <c r="P89" s="273"/>
      <c r="Q89" s="352">
        <f>SUM(Q87:Q88)</f>
        <v>246507.96999999997</v>
      </c>
      <c r="R89" s="353" t="s">
        <v>223</v>
      </c>
      <c r="S89" s="342"/>
      <c r="T89" s="220"/>
      <c r="U89" s="220"/>
      <c r="V89" s="220"/>
      <c r="W89" s="220"/>
      <c r="X89" s="135"/>
      <c r="Z89" s="252"/>
      <c r="AA89" s="252"/>
      <c r="AB89" s="252"/>
      <c r="AC89" s="253"/>
      <c r="AD89" s="253"/>
      <c r="AE89" s="253"/>
      <c r="AF89" s="253"/>
      <c r="AG89" s="253"/>
      <c r="AH89" s="253"/>
      <c r="AI89" s="253"/>
      <c r="AJ89" s="253"/>
      <c r="AK89" s="253"/>
      <c r="AL89" s="253"/>
      <c r="AM89" s="253"/>
      <c r="AN89" s="253"/>
      <c r="AO89" s="253"/>
    </row>
    <row r="90" spans="2:41" ht="13.5" thickTop="1" x14ac:dyDescent="0.2">
      <c r="B90" s="129" t="s">
        <v>163</v>
      </c>
      <c r="C90" s="129"/>
      <c r="D90" s="129"/>
      <c r="E90" s="189">
        <f>E52+E40+E62+E68+E76+E44+E79+E80+E87+E84</f>
        <v>1.3096723705530167E-10</v>
      </c>
      <c r="F90" s="189">
        <f>F52+F40+F62+F68+F76+F44+F79+F80+F87+F84</f>
        <v>3.7834979593753815E-10</v>
      </c>
      <c r="G90" s="189">
        <f>G52+G40+G62+G68+G76+G44+G79+G80+G87+G84</f>
        <v>0</v>
      </c>
      <c r="H90" s="189">
        <f>H52+H40+H62+H68+H76+H44+H79+H80+H87+H84</f>
        <v>0</v>
      </c>
      <c r="I90" s="189">
        <f>I52+I40+I62+I68+I76+I44+I79+I80+I87+I84</f>
        <v>0</v>
      </c>
      <c r="J90" s="138">
        <f>J52+J40+J62+J68+J76+J44+J79+J80+J87+J84+J88</f>
        <v>0</v>
      </c>
      <c r="K90" s="138">
        <f>K52+K40+K62+K68+K76+K44+K79+K80+K87+K84+K88</f>
        <v>4.6566128730773926E-10</v>
      </c>
      <c r="L90" s="138">
        <f>L52+L40+L62+L68+L76+L44+L79+L80+L87+L84+L88</f>
        <v>-0.25000000034924597</v>
      </c>
      <c r="M90" s="251">
        <f>M52+M40+M62+M68+M76+M44+M79+M80+M87+M84</f>
        <v>1322466.77</v>
      </c>
      <c r="N90" s="251">
        <f>N52+N40+N62+N68+N76+N44+N79+N80+N87+N84</f>
        <v>0</v>
      </c>
      <c r="O90" s="251">
        <f>O52+O40+O62+O68+O76+O44+O79+O80+O87+O84</f>
        <v>0</v>
      </c>
      <c r="P90" s="251">
        <f>P52+P40+P62+P68+P76+P44+P79+P80+P87+P84</f>
        <v>0</v>
      </c>
      <c r="Q90" s="350"/>
      <c r="R90" s="201" t="s">
        <v>148</v>
      </c>
      <c r="S90" s="231"/>
      <c r="T90" s="220"/>
      <c r="U90" s="220"/>
      <c r="V90" s="220"/>
      <c r="W90" s="220"/>
      <c r="X90" s="135"/>
      <c r="Z90" s="181" t="s">
        <v>163</v>
      </c>
      <c r="AA90" s="181"/>
      <c r="AB90" s="181"/>
      <c r="AC90" s="182">
        <v>5.163019523024559E-8</v>
      </c>
      <c r="AD90" s="182">
        <v>4.6449713408946991E-8</v>
      </c>
      <c r="AE90" s="182">
        <v>-1.9999999760184437</v>
      </c>
      <c r="AF90" s="182">
        <v>4.9330992624163628E-8</v>
      </c>
      <c r="AG90" s="182">
        <v>2.0000000499421731</v>
      </c>
      <c r="AH90" s="182">
        <v>7.520429790019989E-8</v>
      </c>
      <c r="AI90" s="182">
        <v>5.005858838558197E-8</v>
      </c>
      <c r="AJ90" s="182">
        <v>2.5029294192790985E-8</v>
      </c>
      <c r="AK90" s="182">
        <v>5.029141902923584E-8</v>
      </c>
      <c r="AL90" s="182">
        <v>0</v>
      </c>
      <c r="AM90" s="182">
        <v>1.0000000067520887E-2</v>
      </c>
      <c r="AN90" s="182">
        <v>-4.6566128730773926E-10</v>
      </c>
      <c r="AO90" s="182">
        <v>1.0000421432778239E-2</v>
      </c>
    </row>
    <row r="91" spans="2:41" x14ac:dyDescent="0.2">
      <c r="B91" s="249"/>
      <c r="C91" s="249"/>
      <c r="D91" s="249"/>
      <c r="E91" s="250"/>
      <c r="F91" s="250"/>
      <c r="G91" s="250"/>
      <c r="H91" s="250"/>
      <c r="I91" s="220"/>
      <c r="J91" s="251"/>
      <c r="K91" s="251" t="s">
        <v>227</v>
      </c>
      <c r="L91" s="251"/>
      <c r="M91" s="251"/>
      <c r="N91" s="251"/>
      <c r="O91" s="251"/>
      <c r="P91" s="251"/>
      <c r="Q91" s="250"/>
      <c r="R91" s="201"/>
      <c r="S91" s="231"/>
      <c r="T91" s="220"/>
      <c r="U91" s="220"/>
      <c r="V91" s="220"/>
      <c r="W91" s="220"/>
      <c r="X91" s="135"/>
      <c r="Y91" s="252"/>
      <c r="Z91" s="252"/>
      <c r="AA91" s="252"/>
      <c r="AB91" s="253"/>
      <c r="AC91" s="253"/>
      <c r="AD91" s="253"/>
      <c r="AE91" s="253"/>
      <c r="AF91" s="253"/>
      <c r="AG91" s="253"/>
      <c r="AH91" s="253"/>
      <c r="AI91" s="253"/>
      <c r="AJ91" s="253"/>
      <c r="AK91" s="253"/>
      <c r="AL91" s="253"/>
      <c r="AM91" s="253"/>
      <c r="AN91" s="253"/>
    </row>
    <row r="92" spans="2:41" x14ac:dyDescent="0.2">
      <c r="C92" s="249"/>
      <c r="D92" s="249"/>
      <c r="E92" s="250"/>
      <c r="F92" s="250"/>
      <c r="G92" s="250"/>
      <c r="H92" s="389" t="s">
        <v>214</v>
      </c>
      <c r="I92" s="389"/>
      <c r="J92" s="251"/>
      <c r="K92" s="251"/>
      <c r="L92" s="354"/>
      <c r="M92" s="354" t="s">
        <v>281</v>
      </c>
      <c r="N92" s="354"/>
      <c r="O92" s="354"/>
      <c r="P92" s="354"/>
      <c r="Q92" s="355"/>
      <c r="R92" s="201"/>
      <c r="S92" s="231"/>
      <c r="T92" s="220"/>
      <c r="U92" s="220"/>
      <c r="V92" s="220"/>
      <c r="W92" s="220"/>
      <c r="X92" s="135"/>
      <c r="Y92" s="252"/>
      <c r="Z92" s="252"/>
      <c r="AA92" s="252"/>
      <c r="AB92" s="253"/>
      <c r="AC92" s="253"/>
      <c r="AD92" s="253"/>
      <c r="AE92" s="253"/>
      <c r="AF92" s="253"/>
      <c r="AG92" s="253"/>
      <c r="AH92" s="253"/>
      <c r="AI92" s="253"/>
      <c r="AJ92" s="253"/>
      <c r="AK92" s="253"/>
      <c r="AL92" s="253"/>
      <c r="AM92" s="253"/>
      <c r="AN92" s="253"/>
    </row>
    <row r="93" spans="2:41" x14ac:dyDescent="0.2">
      <c r="H93" s="389"/>
      <c r="I93" s="389"/>
      <c r="L93" s="116" t="s">
        <v>217</v>
      </c>
      <c r="Q93" s="272">
        <f>Support!F25</f>
        <v>1322466.77</v>
      </c>
    </row>
    <row r="94" spans="2:41" x14ac:dyDescent="0.2">
      <c r="H94" s="389"/>
      <c r="I94" s="389"/>
      <c r="L94" s="116" t="s">
        <v>237</v>
      </c>
      <c r="Q94" s="346">
        <f>Q85</f>
        <v>1075958.550000001</v>
      </c>
    </row>
    <row r="95" spans="2:41" x14ac:dyDescent="0.2">
      <c r="H95" s="389"/>
      <c r="I95" s="389"/>
      <c r="L95" s="116" t="s">
        <v>238</v>
      </c>
      <c r="Q95" s="349">
        <f>Q89</f>
        <v>246507.96999999997</v>
      </c>
    </row>
    <row r="96" spans="2:41" x14ac:dyDescent="0.2">
      <c r="H96" s="389"/>
      <c r="I96" s="389"/>
      <c r="L96" s="116" t="s">
        <v>239</v>
      </c>
      <c r="Q96" s="360">
        <f>SUM(Q94:Q95)</f>
        <v>1322466.5200000009</v>
      </c>
    </row>
    <row r="97" spans="2:24" x14ac:dyDescent="0.2">
      <c r="C97" s="36"/>
      <c r="E97" s="135"/>
      <c r="F97" s="135"/>
      <c r="G97" s="135"/>
      <c r="H97" s="389"/>
      <c r="I97" s="389"/>
      <c r="L97" s="116" t="s">
        <v>65</v>
      </c>
      <c r="Q97" s="343">
        <f>Q93-Q96</f>
        <v>0.24999999906867743</v>
      </c>
      <c r="S97" s="227"/>
      <c r="T97" s="214"/>
      <c r="U97" s="214"/>
      <c r="V97" s="214"/>
      <c r="W97" s="214"/>
      <c r="X97" s="135"/>
    </row>
    <row r="98" spans="2:24" x14ac:dyDescent="0.2">
      <c r="B98" s="388"/>
      <c r="C98" s="388"/>
      <c r="J98" s="135"/>
      <c r="K98" s="135"/>
      <c r="L98" s="135"/>
      <c r="M98" s="135"/>
      <c r="N98" s="135"/>
      <c r="O98" s="135"/>
      <c r="P98" s="135"/>
    </row>
    <row r="99" spans="2:24" x14ac:dyDescent="0.2">
      <c r="B99" s="203"/>
      <c r="C99" s="203"/>
    </row>
    <row r="102" spans="2:24" x14ac:dyDescent="0.2">
      <c r="J102" s="120"/>
    </row>
    <row r="105" spans="2:24" x14ac:dyDescent="0.2">
      <c r="B105" s="36"/>
    </row>
  </sheetData>
  <mergeCells count="8">
    <mergeCell ref="T33:X39"/>
    <mergeCell ref="T40:X46"/>
    <mergeCell ref="T55:W59"/>
    <mergeCell ref="B98:C98"/>
    <mergeCell ref="H92:I97"/>
    <mergeCell ref="T61:W66"/>
    <mergeCell ref="T48:X52"/>
    <mergeCell ref="T68:X71"/>
  </mergeCells>
  <pageMargins left="0.01" right="0.01" top="0.01" bottom="0.01" header="0.01" footer="0.01"/>
  <pageSetup scale="35" orientation="landscape" r:id="rId1"/>
  <headerFooter>
    <oddHeader>&amp;RExh. KTW-4 Walker WP14</oddHeader>
    <oddFooter>&amp;L&amp;11&amp;Z&amp;F&amp;R&amp;11&amp;A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1"/>
  <sheetViews>
    <sheetView showGridLines="0" workbookViewId="0">
      <selection activeCell="A37" sqref="A37"/>
    </sheetView>
  </sheetViews>
  <sheetFormatPr defaultRowHeight="12.75" x14ac:dyDescent="0.2"/>
  <cols>
    <col min="1" max="1" width="47.7109375" customWidth="1"/>
    <col min="2" max="2" width="9.5703125" customWidth="1"/>
    <col min="3" max="3" width="13.42578125" bestFit="1" customWidth="1"/>
    <col min="4" max="4" width="13.7109375" hidden="1" customWidth="1"/>
    <col min="5" max="5" width="13.7109375" style="119" bestFit="1" customWidth="1"/>
    <col min="6" max="6" width="36.42578125" bestFit="1" customWidth="1"/>
    <col min="7" max="7" width="13.7109375" bestFit="1" customWidth="1"/>
  </cols>
  <sheetData>
    <row r="1" spans="1:11" s="36" customFormat="1" x14ac:dyDescent="0.2">
      <c r="A1" s="102" t="s">
        <v>149</v>
      </c>
      <c r="E1" s="209"/>
    </row>
    <row r="2" spans="1:11" s="36" customFormat="1" ht="12.6" customHeight="1" x14ac:dyDescent="0.2">
      <c r="A2" s="107" t="s">
        <v>139</v>
      </c>
      <c r="D2" s="131"/>
      <c r="E2" s="210"/>
      <c r="F2" s="131"/>
      <c r="G2" s="131"/>
      <c r="H2" s="131"/>
      <c r="I2" s="131"/>
      <c r="J2" s="131"/>
      <c r="K2" s="131"/>
    </row>
    <row r="3" spans="1:11" s="36" customFormat="1" ht="12.6" customHeight="1" x14ac:dyDescent="0.2">
      <c r="A3" s="36" t="s">
        <v>241</v>
      </c>
      <c r="D3" s="131"/>
      <c r="E3" s="210"/>
      <c r="F3" s="131"/>
      <c r="G3" s="131"/>
      <c r="H3" s="131"/>
      <c r="I3" s="131"/>
      <c r="J3" s="131"/>
      <c r="K3" s="131"/>
    </row>
    <row r="4" spans="1:11" s="36" customFormat="1" ht="12.6" customHeight="1" x14ac:dyDescent="0.2">
      <c r="A4" s="113">
        <v>9999999</v>
      </c>
      <c r="D4" s="131"/>
      <c r="E4" s="210"/>
      <c r="F4" s="131"/>
      <c r="G4" s="131"/>
      <c r="H4" s="131"/>
      <c r="I4" s="131"/>
      <c r="J4" s="131"/>
      <c r="K4" s="131"/>
    </row>
    <row r="5" spans="1:11" s="36" customFormat="1" x14ac:dyDescent="0.2">
      <c r="A5" s="113" t="s">
        <v>140</v>
      </c>
      <c r="E5" s="209"/>
      <c r="F5" s="115"/>
      <c r="J5" s="117"/>
      <c r="K5" s="114"/>
    </row>
    <row r="6" spans="1:11" x14ac:dyDescent="0.2">
      <c r="A6" s="105" t="s">
        <v>71</v>
      </c>
      <c r="B6" s="105" t="s">
        <v>70</v>
      </c>
      <c r="C6" s="105" t="s">
        <v>55</v>
      </c>
      <c r="D6" s="119"/>
    </row>
    <row r="7" spans="1:11" x14ac:dyDescent="0.2">
      <c r="A7" s="106" t="s">
        <v>73</v>
      </c>
      <c r="B7" s="106" t="s">
        <v>72</v>
      </c>
      <c r="C7" s="108">
        <v>13645.4</v>
      </c>
      <c r="D7" s="147">
        <f>VLOOKUP(B7,Summary!$C:$E,3,FALSE)</f>
        <v>17689.919999999998</v>
      </c>
      <c r="F7" s="204"/>
      <c r="G7" s="119"/>
    </row>
    <row r="8" spans="1:11" x14ac:dyDescent="0.2">
      <c r="A8" s="106" t="s">
        <v>75</v>
      </c>
      <c r="B8" s="106" t="s">
        <v>74</v>
      </c>
      <c r="C8" s="108">
        <v>873621.61</v>
      </c>
      <c r="D8" s="147">
        <f>VLOOKUP(B8,Summary!$C:$E,3,FALSE)</f>
        <v>849283.67</v>
      </c>
      <c r="F8" s="204"/>
      <c r="G8" s="119"/>
    </row>
    <row r="9" spans="1:11" x14ac:dyDescent="0.2">
      <c r="A9" s="106" t="s">
        <v>77</v>
      </c>
      <c r="B9" s="106" t="s">
        <v>76</v>
      </c>
      <c r="C9" s="108">
        <v>14746.53</v>
      </c>
      <c r="D9" s="149">
        <f>VLOOKUP(B9,Summary!$C:$E,3,FALSE)</f>
        <v>2346.29</v>
      </c>
      <c r="F9" s="204"/>
      <c r="G9" s="119"/>
    </row>
    <row r="10" spans="1:11" x14ac:dyDescent="0.2">
      <c r="A10" s="106" t="s">
        <v>79</v>
      </c>
      <c r="B10" s="106" t="s">
        <v>78</v>
      </c>
      <c r="C10" s="108">
        <v>378382.42</v>
      </c>
      <c r="D10" s="149">
        <f>VLOOKUP(B10,Summary!$C:$E,3,FALSE)</f>
        <v>357911.83</v>
      </c>
      <c r="F10" s="204"/>
      <c r="G10" s="119"/>
    </row>
    <row r="11" spans="1:11" x14ac:dyDescent="0.2">
      <c r="A11" s="106" t="s">
        <v>81</v>
      </c>
      <c r="B11" s="106" t="s">
        <v>80</v>
      </c>
      <c r="C11" s="108">
        <v>238164</v>
      </c>
      <c r="D11" s="149">
        <f>VLOOKUP(B11,Summary!$C:$E,3,FALSE)</f>
        <v>221297.01</v>
      </c>
      <c r="F11" s="204"/>
      <c r="G11" s="119"/>
    </row>
    <row r="12" spans="1:11" x14ac:dyDescent="0.2">
      <c r="A12" s="106" t="s">
        <v>83</v>
      </c>
      <c r="B12" s="106" t="s">
        <v>82</v>
      </c>
      <c r="C12" s="108">
        <v>-432250.55</v>
      </c>
      <c r="D12" s="149">
        <f>VLOOKUP(B12,Summary!$C:$E,3,FALSE)</f>
        <v>-422813.07</v>
      </c>
      <c r="F12" s="204"/>
      <c r="G12" s="119"/>
    </row>
    <row r="13" spans="1:11" x14ac:dyDescent="0.2">
      <c r="A13" s="106" t="s">
        <v>85</v>
      </c>
      <c r="B13" s="106" t="s">
        <v>84</v>
      </c>
      <c r="C13" s="108">
        <v>-285700.84000000003</v>
      </c>
      <c r="D13" s="149">
        <f>VLOOKUP(B13,Summary!$C:$E,3,FALSE)</f>
        <v>-278622.87</v>
      </c>
      <c r="F13" s="204"/>
      <c r="G13" s="119"/>
    </row>
    <row r="14" spans="1:11" x14ac:dyDescent="0.2">
      <c r="A14" s="106" t="s">
        <v>86</v>
      </c>
      <c r="B14" s="106" t="s">
        <v>69</v>
      </c>
      <c r="C14" s="108">
        <v>-1837263.15</v>
      </c>
      <c r="D14" s="147">
        <f>VLOOKUP(B14,Summary!$C:$E,3,FALSE)</f>
        <v>-1711767.94</v>
      </c>
      <c r="F14" s="204"/>
      <c r="G14" s="119"/>
    </row>
    <row r="15" spans="1:11" x14ac:dyDescent="0.2">
      <c r="A15" s="106" t="s">
        <v>88</v>
      </c>
      <c r="B15" s="106" t="s">
        <v>87</v>
      </c>
      <c r="C15" s="108">
        <v>-27678.5</v>
      </c>
      <c r="D15" s="148">
        <f>VLOOKUP(B15,Summary!$C:$E,3,FALSE)</f>
        <v>-27678.5</v>
      </c>
      <c r="F15" s="204"/>
      <c r="G15" s="119"/>
    </row>
    <row r="16" spans="1:11" x14ac:dyDescent="0.2">
      <c r="A16" s="106" t="s">
        <v>92</v>
      </c>
      <c r="B16" s="106" t="s">
        <v>91</v>
      </c>
      <c r="C16" s="108">
        <v>755355.85</v>
      </c>
      <c r="D16" s="147">
        <f>VLOOKUP(B16,Summary!$C:$E,3,FALSE)</f>
        <v>819983.12</v>
      </c>
      <c r="F16" s="204"/>
      <c r="G16" s="119"/>
    </row>
    <row r="17" spans="1:7" x14ac:dyDescent="0.2">
      <c r="A17" s="106" t="s">
        <v>96</v>
      </c>
      <c r="B17" s="106" t="s">
        <v>95</v>
      </c>
      <c r="C17" s="108">
        <v>1363750.34</v>
      </c>
      <c r="D17" s="150">
        <f>VLOOKUP(B17,Summary!$C:$E,3,FALSE)</f>
        <v>-667753.21</v>
      </c>
      <c r="F17" s="204"/>
      <c r="G17" s="119"/>
    </row>
    <row r="18" spans="1:7" x14ac:dyDescent="0.2">
      <c r="A18" s="106" t="s">
        <v>98</v>
      </c>
      <c r="B18" s="106" t="s">
        <v>97</v>
      </c>
      <c r="C18" s="108">
        <v>-51000.75</v>
      </c>
      <c r="D18" s="119">
        <f>VLOOKUP(B18,Summary!$C:$E,3,FALSE)</f>
        <v>-46678.79</v>
      </c>
      <c r="F18" s="204"/>
      <c r="G18" s="119"/>
    </row>
    <row r="19" spans="1:7" x14ac:dyDescent="0.2">
      <c r="A19" s="106" t="s">
        <v>100</v>
      </c>
      <c r="B19" s="106" t="s">
        <v>99</v>
      </c>
      <c r="C19" s="108">
        <v>600455.82999999996</v>
      </c>
      <c r="D19" s="150">
        <f>VLOOKUP(B19,Summary!$C:$E,3,FALSE)</f>
        <v>557253.84</v>
      </c>
      <c r="F19" s="204"/>
      <c r="G19" s="119"/>
    </row>
    <row r="20" spans="1:7" x14ac:dyDescent="0.2">
      <c r="A20" s="106" t="s">
        <v>102</v>
      </c>
      <c r="B20" s="106" t="s">
        <v>101</v>
      </c>
      <c r="C20" s="108">
        <v>-545102.89</v>
      </c>
      <c r="D20" s="148">
        <f>VLOOKUP(B20,Summary!$C:$E,3,FALSE)</f>
        <v>-597272.44999999995</v>
      </c>
      <c r="F20" s="204"/>
      <c r="G20" s="119"/>
    </row>
    <row r="21" spans="1:7" x14ac:dyDescent="0.2">
      <c r="A21" s="106" t="s">
        <v>104</v>
      </c>
      <c r="B21" s="106" t="s">
        <v>103</v>
      </c>
      <c r="C21" s="108">
        <v>5123.99</v>
      </c>
      <c r="D21" s="148">
        <f>VLOOKUP(B21,Summary!$C:$E,3,FALSE)</f>
        <v>5069.82</v>
      </c>
      <c r="F21" s="204"/>
      <c r="G21" s="119"/>
    </row>
    <row r="22" spans="1:7" x14ac:dyDescent="0.2">
      <c r="A22" s="106" t="s">
        <v>106</v>
      </c>
      <c r="B22" s="106" t="s">
        <v>105</v>
      </c>
      <c r="C22" s="108">
        <v>64013.7</v>
      </c>
      <c r="D22" s="148">
        <f>VLOOKUP(B22,Summary!$C:$E,3,FALSE)</f>
        <v>57503.69</v>
      </c>
      <c r="F22" s="204"/>
      <c r="G22" s="119"/>
    </row>
    <row r="23" spans="1:7" x14ac:dyDescent="0.2">
      <c r="A23" s="106" t="s">
        <v>108</v>
      </c>
      <c r="B23" s="106" t="s">
        <v>107</v>
      </c>
      <c r="C23" s="108">
        <v>8293.11</v>
      </c>
      <c r="D23" s="147">
        <f>VLOOKUP(B23,Summary!$C:$E,3,FALSE)</f>
        <v>8531.75</v>
      </c>
      <c r="F23" s="204"/>
      <c r="G23" s="119"/>
    </row>
    <row r="24" spans="1:7" x14ac:dyDescent="0.2">
      <c r="A24" s="106" t="s">
        <v>110</v>
      </c>
      <c r="B24" s="106" t="s">
        <v>109</v>
      </c>
      <c r="C24" s="108">
        <v>109702.75</v>
      </c>
      <c r="D24" s="148">
        <f>VLOOKUP(B24,Summary!$C:$E,3,FALSE)</f>
        <v>113928.43</v>
      </c>
      <c r="F24" s="204"/>
      <c r="G24" s="119"/>
    </row>
    <row r="25" spans="1:7" x14ac:dyDescent="0.2">
      <c r="A25" s="106" t="s">
        <v>112</v>
      </c>
      <c r="B25" s="106" t="s">
        <v>111</v>
      </c>
      <c r="C25" s="108">
        <v>-205963.11</v>
      </c>
      <c r="D25" s="148">
        <f>VLOOKUP(B25,Summary!$C:$E,3,FALSE)</f>
        <v>-27506.52</v>
      </c>
      <c r="F25" s="204"/>
      <c r="G25" s="119"/>
    </row>
    <row r="26" spans="1:7" x14ac:dyDescent="0.2">
      <c r="A26" s="106" t="s">
        <v>114</v>
      </c>
      <c r="B26" s="106" t="s">
        <v>113</v>
      </c>
      <c r="C26" s="108">
        <v>25000</v>
      </c>
      <c r="D26" s="148">
        <f>VLOOKUP(B26,Summary!$C:$E,3,FALSE)</f>
        <v>15698.89</v>
      </c>
      <c r="F26" s="204"/>
      <c r="G26" s="119"/>
    </row>
    <row r="27" spans="1:7" x14ac:dyDescent="0.2">
      <c r="A27" s="106" t="s">
        <v>116</v>
      </c>
      <c r="B27" s="106" t="s">
        <v>115</v>
      </c>
      <c r="C27" s="108">
        <v>15697.39</v>
      </c>
      <c r="D27" s="148">
        <f>VLOOKUP(B27,Summary!$C:$E,3,FALSE)</f>
        <v>-79.790000000000006</v>
      </c>
      <c r="F27" s="204"/>
      <c r="G27" s="119"/>
    </row>
    <row r="28" spans="1:7" x14ac:dyDescent="0.2">
      <c r="A28" s="106" t="s">
        <v>118</v>
      </c>
      <c r="B28" s="106" t="s">
        <v>117</v>
      </c>
      <c r="C28" s="108">
        <v>-122448.95</v>
      </c>
      <c r="D28" s="148">
        <f>VLOOKUP(B28,Summary!$C:$E,3,FALSE)</f>
        <v>-118923.66</v>
      </c>
      <c r="F28" s="204"/>
      <c r="G28" s="119"/>
    </row>
    <row r="29" spans="1:7" x14ac:dyDescent="0.2">
      <c r="A29" s="106" t="s">
        <v>120</v>
      </c>
      <c r="B29" s="106" t="s">
        <v>119</v>
      </c>
      <c r="C29" s="108">
        <v>-17616.64</v>
      </c>
      <c r="D29" s="119">
        <f>VLOOKUP(B29,Summary!$C:$E,3,FALSE)</f>
        <v>564205.91</v>
      </c>
      <c r="F29" s="204"/>
      <c r="G29" s="119"/>
    </row>
    <row r="30" spans="1:7" x14ac:dyDescent="0.2">
      <c r="A30" s="106" t="s">
        <v>122</v>
      </c>
      <c r="B30" s="106" t="s">
        <v>121</v>
      </c>
      <c r="C30" s="108">
        <v>58971.53</v>
      </c>
      <c r="D30" s="147">
        <f>VLOOKUP(B30,Summary!$C:$E,3,FALSE)</f>
        <v>-24646.58</v>
      </c>
      <c r="F30" s="204"/>
      <c r="G30" s="119"/>
    </row>
    <row r="31" spans="1:7" x14ac:dyDescent="0.2">
      <c r="A31" s="106" t="s">
        <v>124</v>
      </c>
      <c r="B31" s="106" t="s">
        <v>123</v>
      </c>
      <c r="C31" s="108">
        <v>65806.009999999995</v>
      </c>
      <c r="D31" s="151">
        <f>VLOOKUP(B31,Summary!$C:$E,3,FALSE)</f>
        <v>113590.79</v>
      </c>
      <c r="F31" s="204"/>
      <c r="G31" s="119"/>
    </row>
    <row r="32" spans="1:7" x14ac:dyDescent="0.2">
      <c r="A32" s="106" t="s">
        <v>126</v>
      </c>
      <c r="B32" s="106" t="s">
        <v>125</v>
      </c>
      <c r="C32" s="108">
        <v>-5186.6099999999997</v>
      </c>
      <c r="D32" s="151">
        <f>VLOOKUP(B32,Summary!$C:$E,3,FALSE)</f>
        <v>13029.67</v>
      </c>
      <c r="F32" s="204"/>
      <c r="G32" s="119"/>
    </row>
    <row r="33" spans="1:7" x14ac:dyDescent="0.2">
      <c r="A33" s="106" t="s">
        <v>128</v>
      </c>
      <c r="B33" s="106" t="s">
        <v>127</v>
      </c>
      <c r="C33" s="108">
        <v>15440.08</v>
      </c>
      <c r="D33" s="151">
        <f>VLOOKUP(B33,Summary!$C:$E,3,FALSE)</f>
        <v>11991.88</v>
      </c>
      <c r="F33" s="204"/>
      <c r="G33" s="119"/>
    </row>
    <row r="34" spans="1:7" x14ac:dyDescent="0.2">
      <c r="A34" s="106" t="s">
        <v>257</v>
      </c>
      <c r="B34" s="106" t="s">
        <v>258</v>
      </c>
      <c r="C34" s="108">
        <v>-19350.91</v>
      </c>
      <c r="D34" s="151" t="e">
        <f>VLOOKUP(B34,Summary!$C:$E,3,FALSE)</f>
        <v>#N/A</v>
      </c>
      <c r="F34" s="204"/>
      <c r="G34" s="119"/>
    </row>
    <row r="35" spans="1:7" x14ac:dyDescent="0.2">
      <c r="A35" s="106" t="s">
        <v>185</v>
      </c>
      <c r="B35" s="106" t="s">
        <v>129</v>
      </c>
      <c r="C35" s="108">
        <v>2849.83</v>
      </c>
      <c r="D35" s="119" t="e">
        <f>VLOOKUP(B36,Summary!$C:$E,3,FALSE)</f>
        <v>#N/A</v>
      </c>
    </row>
    <row r="36" spans="1:7" x14ac:dyDescent="0.2">
      <c r="A36" s="106" t="s">
        <v>224</v>
      </c>
      <c r="B36" s="106" t="s">
        <v>225</v>
      </c>
      <c r="C36" s="108">
        <v>393.15</v>
      </c>
      <c r="D36" s="119" t="e">
        <f>VLOOKUP(B37,Summary!$C:$E,3,FALSE)</f>
        <v>#N/A</v>
      </c>
      <c r="F36" s="36" t="s">
        <v>183</v>
      </c>
      <c r="G36" s="36"/>
    </row>
    <row r="37" spans="1:7" x14ac:dyDescent="0.2">
      <c r="A37" s="106" t="s">
        <v>259</v>
      </c>
      <c r="B37" s="106" t="s">
        <v>260</v>
      </c>
      <c r="C37" s="108">
        <v>135.80000000000001</v>
      </c>
      <c r="D37" s="119" t="e">
        <f>VLOOKUP(B38,Summary!$C:$E,3,FALSE)</f>
        <v>#N/A</v>
      </c>
      <c r="F37" s="192">
        <f>(C34+C35+C36+C37+C38)</f>
        <v>-3.637978807091713E-12</v>
      </c>
      <c r="G37" t="s">
        <v>195</v>
      </c>
    </row>
    <row r="38" spans="1:7" x14ac:dyDescent="0.2">
      <c r="A38" s="106" t="s">
        <v>186</v>
      </c>
      <c r="B38" s="106" t="s">
        <v>130</v>
      </c>
      <c r="C38" s="108">
        <v>15972.13</v>
      </c>
      <c r="D38" s="119" t="e">
        <f>VLOOKUP(B39,Summary!$C:$E,3,FALSE)</f>
        <v>#N/A</v>
      </c>
    </row>
    <row r="39" spans="1:7" x14ac:dyDescent="0.2">
      <c r="A39" s="106" t="s">
        <v>187</v>
      </c>
      <c r="B39" s="106" t="s">
        <v>131</v>
      </c>
      <c r="C39" s="361">
        <v>3062.01</v>
      </c>
      <c r="D39" s="119" t="e">
        <f>VLOOKUP(B40,Summary!$C:$E,3,FALSE)</f>
        <v>#N/A</v>
      </c>
    </row>
    <row r="40" spans="1:7" x14ac:dyDescent="0.2">
      <c r="A40" s="106" t="s">
        <v>188</v>
      </c>
      <c r="B40" s="106" t="s">
        <v>132</v>
      </c>
      <c r="C40" s="361">
        <v>119464.22</v>
      </c>
      <c r="D40" s="119" t="e">
        <f>VLOOKUP(B41,Summary!$C:$E,3,FALSE)</f>
        <v>#N/A</v>
      </c>
      <c r="F40" s="102" t="s">
        <v>175</v>
      </c>
    </row>
    <row r="41" spans="1:7" x14ac:dyDescent="0.2">
      <c r="A41" s="106" t="s">
        <v>253</v>
      </c>
      <c r="B41" s="106" t="s">
        <v>254</v>
      </c>
      <c r="C41" s="361">
        <v>1000</v>
      </c>
      <c r="D41" s="119" t="e">
        <f>VLOOKUP(B42,Summary!$C:$E,3,FALSE)</f>
        <v>#N/A</v>
      </c>
      <c r="F41" s="133">
        <f>SUM(C39:C50)</f>
        <v>246508.21999999997</v>
      </c>
    </row>
    <row r="42" spans="1:7" x14ac:dyDescent="0.2">
      <c r="A42" s="106" t="s">
        <v>189</v>
      </c>
      <c r="B42" s="106" t="s">
        <v>133</v>
      </c>
      <c r="C42" s="361">
        <v>-196867.84</v>
      </c>
      <c r="D42" s="119" t="e">
        <f>VLOOKUP(B43,Summary!$C:$E,3,FALSE)</f>
        <v>#N/A</v>
      </c>
    </row>
    <row r="43" spans="1:7" x14ac:dyDescent="0.2">
      <c r="A43" s="106" t="s">
        <v>190</v>
      </c>
      <c r="B43" s="106" t="s">
        <v>134</v>
      </c>
      <c r="C43" s="361">
        <v>102093.19</v>
      </c>
      <c r="D43" s="119" t="e">
        <f>VLOOKUP(B44,Summary!$C:$E,3,FALSE)</f>
        <v>#N/A</v>
      </c>
    </row>
    <row r="44" spans="1:7" x14ac:dyDescent="0.2">
      <c r="A44" s="106" t="s">
        <v>191</v>
      </c>
      <c r="B44" s="106" t="s">
        <v>135</v>
      </c>
      <c r="C44" s="361">
        <v>710.82</v>
      </c>
      <c r="D44" s="119" t="e">
        <f>VLOOKUP(#REF!,Summary!$C:$E,3,FALSE)</f>
        <v>#REF!</v>
      </c>
    </row>
    <row r="45" spans="1:7" x14ac:dyDescent="0.2">
      <c r="A45" s="106" t="s">
        <v>192</v>
      </c>
      <c r="B45" s="106" t="s">
        <v>136</v>
      </c>
      <c r="C45" s="361">
        <v>994.06</v>
      </c>
    </row>
    <row r="46" spans="1:7" x14ac:dyDescent="0.2">
      <c r="A46" s="106" t="s">
        <v>193</v>
      </c>
      <c r="B46" s="106" t="s">
        <v>137</v>
      </c>
      <c r="C46" s="361">
        <v>-676628.22</v>
      </c>
    </row>
    <row r="47" spans="1:7" x14ac:dyDescent="0.2">
      <c r="A47" s="106" t="s">
        <v>261</v>
      </c>
      <c r="B47" s="106" t="s">
        <v>262</v>
      </c>
      <c r="C47" s="361">
        <v>338265.27</v>
      </c>
    </row>
    <row r="48" spans="1:7" x14ac:dyDescent="0.2">
      <c r="A48" s="106" t="s">
        <v>204</v>
      </c>
      <c r="B48" s="106" t="s">
        <v>205</v>
      </c>
      <c r="C48" s="361">
        <v>0</v>
      </c>
    </row>
    <row r="49" spans="1:3" x14ac:dyDescent="0.2">
      <c r="A49" s="106" t="s">
        <v>255</v>
      </c>
      <c r="B49" s="106" t="s">
        <v>256</v>
      </c>
      <c r="C49" s="361">
        <v>16.100000000000001</v>
      </c>
    </row>
    <row r="50" spans="1:3" x14ac:dyDescent="0.2">
      <c r="A50" s="106" t="s">
        <v>194</v>
      </c>
      <c r="B50" s="106" t="s">
        <v>138</v>
      </c>
      <c r="C50" s="361">
        <v>554398.61</v>
      </c>
    </row>
    <row r="51" spans="1:3" x14ac:dyDescent="0.2">
      <c r="B51" s="358" t="s">
        <v>152</v>
      </c>
      <c r="C51" s="359">
        <f>SUM(C7:C50)</f>
        <v>1322466.7699999998</v>
      </c>
    </row>
  </sheetData>
  <conditionalFormatting sqref="B7:B44">
    <cfRule type="duplicateValues" dxfId="0" priority="7"/>
  </conditionalFormatting>
  <pageMargins left="0.01" right="0.01" top="0.01" bottom="0.01" header="0.01" footer="0.01"/>
  <pageSetup scale="65" orientation="landscape" r:id="rId1"/>
  <headerFooter>
    <oddHeader>&amp;RExh. KTW-4 Walker WP14</oddHeader>
    <oddFooter>&amp;L&amp;11&amp;Z&amp;F&amp;R&amp;11&amp;A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A3EA0-7C63-44F0-BC2D-0B330BB903D1}">
  <dimension ref="A1:H20"/>
  <sheetViews>
    <sheetView zoomScaleNormal="100" workbookViewId="0">
      <selection activeCell="B17" sqref="B17"/>
    </sheetView>
  </sheetViews>
  <sheetFormatPr defaultRowHeight="12.75" x14ac:dyDescent="0.2"/>
  <cols>
    <col min="1" max="1" width="30.85546875" style="264" customWidth="1"/>
    <col min="2" max="2" width="16.28515625" style="363" customWidth="1"/>
    <col min="3" max="3" width="2.5703125" style="264" customWidth="1"/>
    <col min="4" max="4" width="16.28515625" style="264" customWidth="1"/>
    <col min="5" max="5" width="2.5703125" style="264" customWidth="1"/>
    <col min="6" max="6" width="16.28515625" style="264" customWidth="1"/>
    <col min="7" max="7" width="2.5703125" style="264" customWidth="1"/>
    <col min="8" max="8" width="16.28515625" style="264" customWidth="1"/>
    <col min="9" max="16384" width="9.140625" style="264"/>
  </cols>
  <sheetData>
    <row r="1" spans="1:8" ht="15" x14ac:dyDescent="0.25">
      <c r="A1" s="362" t="s">
        <v>283</v>
      </c>
    </row>
    <row r="2" spans="1:8" ht="15" x14ac:dyDescent="0.25">
      <c r="A2" s="362" t="s">
        <v>284</v>
      </c>
    </row>
    <row r="3" spans="1:8" x14ac:dyDescent="0.2">
      <c r="A3" s="377" t="s">
        <v>294</v>
      </c>
    </row>
    <row r="4" spans="1:8" x14ac:dyDescent="0.2">
      <c r="A4" s="364"/>
    </row>
    <row r="6" spans="1:8" ht="15" x14ac:dyDescent="0.25">
      <c r="B6" s="379" t="s">
        <v>285</v>
      </c>
      <c r="C6" s="380"/>
      <c r="D6" s="381" t="s">
        <v>286</v>
      </c>
      <c r="E6" s="366"/>
      <c r="F6" s="367" t="s">
        <v>287</v>
      </c>
      <c r="H6" s="367" t="s">
        <v>288</v>
      </c>
    </row>
    <row r="7" spans="1:8" ht="15" x14ac:dyDescent="0.25">
      <c r="B7" s="368" t="s">
        <v>64</v>
      </c>
      <c r="C7" s="365"/>
      <c r="D7" s="368" t="s">
        <v>64</v>
      </c>
      <c r="F7" s="368" t="s">
        <v>64</v>
      </c>
      <c r="H7" s="368" t="s">
        <v>289</v>
      </c>
    </row>
    <row r="8" spans="1:8" x14ac:dyDescent="0.2">
      <c r="B8" s="369"/>
      <c r="C8" s="365"/>
    </row>
    <row r="9" spans="1:8" x14ac:dyDescent="0.2">
      <c r="A9" s="264" t="s">
        <v>56</v>
      </c>
      <c r="B9" s="370">
        <f>'[6]SAP Detail Review'!$I$7</f>
        <v>-264490.42999999988</v>
      </c>
      <c r="C9" s="371"/>
      <c r="D9" s="370">
        <f>Summary!Q7</f>
        <v>142442.62</v>
      </c>
      <c r="F9" s="378">
        <f>D9-B9</f>
        <v>406933.04999999987</v>
      </c>
      <c r="H9" s="372" t="s">
        <v>290</v>
      </c>
    </row>
    <row r="10" spans="1:8" x14ac:dyDescent="0.2">
      <c r="A10" s="264" t="s">
        <v>57</v>
      </c>
      <c r="B10" s="370">
        <f>'[6]SAP Detail Review'!$I$8</f>
        <v>412416.52999999933</v>
      </c>
      <c r="C10" s="371"/>
      <c r="D10" s="370">
        <f>Summary!Q9+Summary!Q10</f>
        <v>-62145.67</v>
      </c>
      <c r="F10" s="378">
        <f t="shared" ref="F10:F17" si="0">D10-B10</f>
        <v>-474562.19999999931</v>
      </c>
      <c r="H10" s="372" t="s">
        <v>290</v>
      </c>
    </row>
    <row r="11" spans="1:8" x14ac:dyDescent="0.2">
      <c r="A11" s="264" t="s">
        <v>58</v>
      </c>
      <c r="B11" s="370">
        <f>'[6]SAP Detail Review'!$I$9</f>
        <v>87233.299999999901</v>
      </c>
      <c r="C11" s="371"/>
      <c r="D11" s="370">
        <f>Summary!Q11</f>
        <v>0</v>
      </c>
      <c r="F11" s="378">
        <f t="shared" si="0"/>
        <v>-87233.299999999901</v>
      </c>
      <c r="H11" s="372" t="s">
        <v>290</v>
      </c>
    </row>
    <row r="12" spans="1:8" x14ac:dyDescent="0.2">
      <c r="A12" s="264" t="s">
        <v>59</v>
      </c>
      <c r="B12" s="370">
        <f>'[6]SAP Detail Review'!$I$10</f>
        <v>13432.219999999739</v>
      </c>
      <c r="C12" s="371"/>
      <c r="D12" s="370">
        <f>Summary!Q8</f>
        <v>7.0000000000000007E-2</v>
      </c>
      <c r="F12" s="378">
        <f t="shared" si="0"/>
        <v>-13432.14999999974</v>
      </c>
      <c r="H12" s="372" t="s">
        <v>290</v>
      </c>
    </row>
    <row r="13" spans="1:8" x14ac:dyDescent="0.2">
      <c r="A13" s="264" t="s">
        <v>60</v>
      </c>
      <c r="B13" s="370">
        <f>'[6]SAP Detail Review'!$I$11</f>
        <v>-14762.099999999977</v>
      </c>
      <c r="C13" s="371"/>
      <c r="D13" s="370">
        <f>Summary!Q12</f>
        <v>-0.42</v>
      </c>
      <c r="F13" s="378">
        <f t="shared" si="0"/>
        <v>14761.679999999977</v>
      </c>
      <c r="H13" s="372" t="s">
        <v>290</v>
      </c>
    </row>
    <row r="14" spans="1:8" x14ac:dyDescent="0.2">
      <c r="A14" s="264" t="s">
        <v>61</v>
      </c>
      <c r="B14" s="370">
        <f>'[6]SAP Detail Review'!$I$15</f>
        <v>0.01</v>
      </c>
      <c r="C14" s="371"/>
      <c r="D14" s="370">
        <f>Summary!Q16</f>
        <v>1.0000000002328306</v>
      </c>
      <c r="F14" s="378">
        <f t="shared" si="0"/>
        <v>0.99000000023283063</v>
      </c>
      <c r="H14" s="372" t="s">
        <v>290</v>
      </c>
    </row>
    <row r="15" spans="1:8" x14ac:dyDescent="0.2">
      <c r="A15" s="264" t="s">
        <v>62</v>
      </c>
      <c r="B15" s="370">
        <f>'[6]SAP Detail Review'!$I$12</f>
        <v>257958.05999999997</v>
      </c>
      <c r="C15" s="371"/>
      <c r="D15" s="370">
        <f>Summary!Q13</f>
        <v>-99579.69</v>
      </c>
      <c r="F15" s="378">
        <f t="shared" si="0"/>
        <v>-357537.75</v>
      </c>
      <c r="H15" s="372" t="s">
        <v>290</v>
      </c>
    </row>
    <row r="16" spans="1:8" x14ac:dyDescent="0.2">
      <c r="A16" s="264" t="s">
        <v>63</v>
      </c>
      <c r="B16" s="370">
        <f>'[6]SAP Detail Review'!$I$16</f>
        <v>5.8207660913467407E-11</v>
      </c>
      <c r="C16" s="371"/>
      <c r="D16" s="370">
        <f>Summary!Q17</f>
        <v>-3.637978807091713E-12</v>
      </c>
      <c r="F16" s="378">
        <f t="shared" si="0"/>
        <v>-6.184563972055912E-11</v>
      </c>
      <c r="H16" s="372" t="s">
        <v>291</v>
      </c>
    </row>
    <row r="17" spans="1:8" x14ac:dyDescent="0.2">
      <c r="A17" s="264" t="s">
        <v>292</v>
      </c>
      <c r="B17" s="373">
        <f>'[6]SAP Detail Review'!$I$17</f>
        <v>1796959.23</v>
      </c>
      <c r="D17" s="373">
        <f>Summary!Q21</f>
        <v>1374690.6199999999</v>
      </c>
      <c r="F17" s="376">
        <f t="shared" si="0"/>
        <v>-422268.6100000001</v>
      </c>
      <c r="H17" s="374" t="s">
        <v>293</v>
      </c>
    </row>
    <row r="18" spans="1:8" ht="15" x14ac:dyDescent="0.25">
      <c r="A18" s="362" t="s">
        <v>64</v>
      </c>
      <c r="B18" s="375">
        <f>SUM(B9:B17)</f>
        <v>2288746.8199999994</v>
      </c>
      <c r="C18" s="362"/>
      <c r="D18" s="375">
        <f t="shared" ref="D18" si="1">SUM(D9:D17)</f>
        <v>1355408.53</v>
      </c>
      <c r="E18" s="375"/>
      <c r="F18" s="375">
        <f>SUM(F9:F17)</f>
        <v>-933338.28999999911</v>
      </c>
      <c r="H18" s="370"/>
    </row>
    <row r="20" spans="1:8" x14ac:dyDescent="0.2">
      <c r="C20" s="363"/>
      <c r="D20" s="363"/>
      <c r="E20" s="363"/>
      <c r="F20" s="363"/>
    </row>
  </sheetData>
  <pageMargins left="0.7" right="0.7" top="0.75" bottom="0.75" header="0.3" footer="0.3"/>
  <pageSetup orientation="portrait" horizontalDpi="4294967295" verticalDpi="4294967295" r:id="rId1"/>
  <headerFooter>
    <oddHeader>&amp;RExh. KTW-4 Walker WP14</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EEC80525953A745BD9B79DC421B8604" ma:contentTypeVersion="52" ma:contentTypeDescription="" ma:contentTypeScope="" ma:versionID="661ebdd58a449a96898bb3f3afaf286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2020-12-18T08:00:00+00:00</OpenedDate>
    <SignificantOrder xmlns="dc463f71-b30c-4ab2-9473-d307f9d35888">false</SignificantOrder>
    <Date1 xmlns="dc463f71-b30c-4ab2-9473-d307f9d35888">2020-12-18T08:00:00+00:00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200994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63FBD53-92C8-4749-A679-CBF4965DF72F}">
  <ds:schemaRefs>
    <ds:schemaRef ds:uri="http://schemas.microsoft.com/sharepoint/v3/contenttype/forms"/>
  </ds:schemaRefs>
</ds:datastoreItem>
</file>

<file path=customXml/itemProps2.xml><?xml version="1.0" encoding="utf-8"?>
<ds:datastoreItem xmlns:ds="http://schemas.openxmlformats.org/officeDocument/2006/customXml" ds:itemID="{726007C4-CA51-4A3F-867E-C7EFF95C243F}"/>
</file>

<file path=customXml/itemProps3.xml><?xml version="1.0" encoding="utf-8"?>
<ds:datastoreItem xmlns:ds="http://schemas.openxmlformats.org/officeDocument/2006/customXml" ds:itemID="{C83B0EEA-F12C-447C-B99F-5C2CF223E8A4}">
  <ds:schemaRefs>
    <ds:schemaRef ds:uri="http://schemas.microsoft.com/office/2006/metadata/properties"/>
    <ds:schemaRef ds:uri="http://purl.org/dc/elements/1.1/"/>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9286F088-AE56-4336-B00F-3A4652BAD1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SAP Upload</vt:lpstr>
      <vt:lpstr>Journal Page</vt:lpstr>
      <vt:lpstr>Support</vt:lpstr>
      <vt:lpstr>Summary</vt:lpstr>
      <vt:lpstr>SAP detail</vt:lpstr>
      <vt:lpstr>2020 vs 2019 Clearing Adj</vt:lpstr>
      <vt:lpstr>'Journal Page'!Print_Area</vt:lpstr>
      <vt:lpstr>'SAP detail'!Print_Area</vt:lpstr>
      <vt:lpstr>Summary!Print_Area</vt:lpstr>
      <vt:lpstr>Support!Print_Area</vt:lpstr>
      <vt:lpstr>'Journal Page'!Print_Titles</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buildckb</dc:creator>
  <cp:lastModifiedBy>Lee-Pella, Erica N.</cp:lastModifiedBy>
  <cp:lastPrinted>2020-12-17T20:28:48Z</cp:lastPrinted>
  <dcterms:created xsi:type="dcterms:W3CDTF">2008-01-12T19:51:48Z</dcterms:created>
  <dcterms:modified xsi:type="dcterms:W3CDTF">2020-12-17T20:28:53Z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0x0101006E56B4D1795A2E4DB2F0B01679ED314A008EEC80525953A745BD9B79DC421B8604</vt:lpwstr>
  </property>
  <property fmtid="{D5CDD505-2E9C-101B-9397-08002B2CF9AE}" pid="3" name="_dlc_policyId">
    <vt:lpwstr/>
  </property>
  <property fmtid="{D5CDD505-2E9C-101B-9397-08002B2CF9AE}" pid="4" name="ItemRetentionFormula">
    <vt:lpwstr>&lt;formula id="Microsoft.Office.RecordsManagement.PolicyFeatures.Expiration.Formula.BuiltIn"&gt;&lt;number&gt;100&lt;/number&gt;&lt;property&gt;Modified&lt;/property&gt;&lt;propertyId&gt;28cf69c5-fa48-462a-b5cd-27b6f9d2bd5f&lt;/propertyId&gt;&lt;period&gt;years&lt;/period&gt;&lt;/formula&gt;</vt:lpwstr>
  </property>
  <property fmtid="{D5CDD505-2E9C-101B-9397-08002B2CF9AE}" pid="5" name="nwnYear">
    <vt:lpwstr>29;#2020|6417106d-fb9b-4144-aaf7-def643ab7399</vt:lpwstr>
  </property>
  <property fmtid="{D5CDD505-2E9C-101B-9397-08002B2CF9AE}" pid="6" name="nwnEntity">
    <vt:lpwstr/>
  </property>
  <property fmtid="{D5CDD505-2E9C-101B-9397-08002B2CF9AE}" pid="7" name="nwnCompanyCodes">
    <vt:lpwstr>32;#5000 NWN|ecbaee6d-42f1-4afd-bdf3-cb998709eed5</vt:lpwstr>
  </property>
  <property fmtid="{D5CDD505-2E9C-101B-9397-08002B2CF9AE}" pid="8" name="_dlc_DocIdItemGuid">
    <vt:lpwstr>2e810f56-6cfc-4841-9ac6-69c59cb35b21</vt:lpwstr>
  </property>
  <property fmtid="{D5CDD505-2E9C-101B-9397-08002B2CF9AE}" pid="9" name="_docset_NoMedatataSyncRequired">
    <vt:lpwstr>False</vt:lpwstr>
  </property>
  <property fmtid="{D5CDD505-2E9C-101B-9397-08002B2CF9AE}" pid="10" name="IsEFSEC">
    <vt:bool>false</vt:bool>
  </property>
</Properties>
</file>