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840"/>
  </bookViews>
  <sheets>
    <sheet name="JAP-47 Page 1" sheetId="4" r:id="rId1"/>
    <sheet name="JAP-47 Page 2" sheetId="5" r:id="rId2"/>
    <sheet name="JAP-47 Page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1">{"'Sheet1'!$A$1:$J$121"}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 localSheetId="1">MATCH(0.01,End_Bal,-1)+1</definedName>
    <definedName name="Number_of_Payments" localSheetId="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45621"/>
</workbook>
</file>

<file path=xl/calcChain.xml><?xml version="1.0" encoding="utf-8"?>
<calcChain xmlns="http://schemas.openxmlformats.org/spreadsheetml/2006/main">
  <c r="A10" i="6" l="1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A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A12" i="6"/>
  <c r="A13" i="6"/>
  <c r="A14" i="6"/>
  <c r="C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A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A16" i="6"/>
  <c r="A17" i="6"/>
  <c r="A18" i="6"/>
  <c r="C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A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A20" i="6"/>
  <c r="A21" i="6"/>
  <c r="A22" i="6"/>
  <c r="C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A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A24" i="6"/>
  <c r="A25" i="6"/>
  <c r="A26" i="6"/>
  <c r="C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A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A28" i="6"/>
  <c r="A29" i="6"/>
  <c r="A30" i="6"/>
  <c r="C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A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A32" i="6"/>
  <c r="A33" i="6"/>
  <c r="A34" i="6"/>
  <c r="B34" i="6"/>
  <c r="A35" i="6"/>
  <c r="Q35" i="6"/>
  <c r="G36" i="6" s="1"/>
  <c r="A36" i="6"/>
  <c r="D36" i="6"/>
  <c r="A37" i="6"/>
  <c r="A38" i="6"/>
  <c r="B38" i="6"/>
  <c r="A39" i="6"/>
  <c r="D39" i="6"/>
  <c r="Q39" i="6"/>
  <c r="G40" i="6" s="1"/>
  <c r="A40" i="6"/>
  <c r="D40" i="6"/>
  <c r="E40" i="6"/>
  <c r="F40" i="6"/>
  <c r="H40" i="6"/>
  <c r="I40" i="6"/>
  <c r="J40" i="6"/>
  <c r="L40" i="6"/>
  <c r="M40" i="6"/>
  <c r="N40" i="6"/>
  <c r="P40" i="6"/>
  <c r="A41" i="6"/>
  <c r="A42" i="6"/>
  <c r="B42" i="6"/>
  <c r="A43" i="6"/>
  <c r="D43" i="6"/>
  <c r="Q43" i="6"/>
  <c r="A44" i="6"/>
  <c r="D44" i="6"/>
  <c r="E44" i="6"/>
  <c r="F44" i="6"/>
  <c r="G44" i="6"/>
  <c r="Q44" i="6" s="1"/>
  <c r="H44" i="6"/>
  <c r="I44" i="6"/>
  <c r="J44" i="6"/>
  <c r="K44" i="6"/>
  <c r="L44" i="6"/>
  <c r="M44" i="6"/>
  <c r="N44" i="6"/>
  <c r="O44" i="6"/>
  <c r="P44" i="6"/>
  <c r="A45" i="6"/>
  <c r="A46" i="6"/>
  <c r="B46" i="6"/>
  <c r="A47" i="6"/>
  <c r="D47" i="6"/>
  <c r="Q47" i="6"/>
  <c r="H48" i="6" s="1"/>
  <c r="A48" i="6"/>
  <c r="D48" i="6"/>
  <c r="G48" i="6"/>
  <c r="K48" i="6"/>
  <c r="O48" i="6"/>
  <c r="A49" i="6"/>
  <c r="A50" i="6"/>
  <c r="B50" i="6"/>
  <c r="A51" i="6"/>
  <c r="D51" i="6"/>
  <c r="Q51" i="6"/>
  <c r="G52" i="6" s="1"/>
  <c r="A52" i="6"/>
  <c r="D52" i="6"/>
  <c r="N52" i="6"/>
  <c r="A53" i="6"/>
  <c r="A54" i="6"/>
  <c r="B54" i="6"/>
  <c r="A55" i="6"/>
  <c r="D55" i="6"/>
  <c r="Q55" i="6"/>
  <c r="G56" i="6" s="1"/>
  <c r="A56" i="6"/>
  <c r="D56" i="6"/>
  <c r="E56" i="6"/>
  <c r="F56" i="6"/>
  <c r="H56" i="6"/>
  <c r="I56" i="6"/>
  <c r="J56" i="6"/>
  <c r="L56" i="6"/>
  <c r="M56" i="6"/>
  <c r="N56" i="6"/>
  <c r="O56" i="6"/>
  <c r="P56" i="6"/>
  <c r="D10" i="5"/>
  <c r="E10" i="5"/>
  <c r="F10" i="5"/>
  <c r="G10" i="5"/>
  <c r="G14" i="5" s="1"/>
  <c r="H10" i="5"/>
  <c r="I10" i="5"/>
  <c r="A11" i="5"/>
  <c r="A12" i="5"/>
  <c r="D12" i="5"/>
  <c r="E12" i="5"/>
  <c r="F12" i="5"/>
  <c r="G12" i="5"/>
  <c r="H12" i="5"/>
  <c r="I12" i="5"/>
  <c r="A13" i="5"/>
  <c r="A14" i="5"/>
  <c r="C14" i="5"/>
  <c r="D14" i="5"/>
  <c r="E14" i="5"/>
  <c r="F14" i="5"/>
  <c r="H14" i="5"/>
  <c r="I14" i="5"/>
  <c r="A10" i="4"/>
  <c r="D10" i="4"/>
  <c r="E10" i="4"/>
  <c r="F10" i="4"/>
  <c r="G10" i="4"/>
  <c r="H10" i="4"/>
  <c r="I10" i="4"/>
  <c r="K10" i="4"/>
  <c r="L10" i="4"/>
  <c r="M10" i="4"/>
  <c r="N10" i="4"/>
  <c r="O10" i="4"/>
  <c r="A11" i="4"/>
  <c r="D11" i="4"/>
  <c r="E11" i="4"/>
  <c r="F11" i="4"/>
  <c r="G11" i="4"/>
  <c r="H11" i="4"/>
  <c r="I11" i="4"/>
  <c r="K11" i="4"/>
  <c r="L11" i="4"/>
  <c r="M11" i="4"/>
  <c r="N11" i="4"/>
  <c r="O11" i="4"/>
  <c r="A12" i="4"/>
  <c r="C12" i="4"/>
  <c r="D12" i="4"/>
  <c r="E12" i="4"/>
  <c r="F12" i="4"/>
  <c r="G12" i="4"/>
  <c r="H12" i="4"/>
  <c r="I12" i="4"/>
  <c r="K12" i="4"/>
  <c r="L12" i="4"/>
  <c r="M12" i="4"/>
  <c r="N12" i="4"/>
  <c r="O12" i="4"/>
  <c r="J52" i="6" l="1"/>
  <c r="N36" i="6"/>
  <c r="F36" i="6"/>
  <c r="M36" i="6"/>
  <c r="I36" i="6"/>
  <c r="E36" i="6"/>
  <c r="F52" i="6"/>
  <c r="J36" i="6"/>
  <c r="I52" i="6"/>
  <c r="J48" i="6"/>
  <c r="K56" i="6"/>
  <c r="Q56" i="6" s="1"/>
  <c r="P52" i="6"/>
  <c r="L52" i="6"/>
  <c r="H52" i="6"/>
  <c r="M48" i="6"/>
  <c r="I48" i="6"/>
  <c r="E48" i="6"/>
  <c r="O40" i="6"/>
  <c r="Q40" i="6" s="1"/>
  <c r="K40" i="6"/>
  <c r="P36" i="6"/>
  <c r="L36" i="6"/>
  <c r="H36" i="6"/>
  <c r="M52" i="6"/>
  <c r="E52" i="6"/>
  <c r="N48" i="6"/>
  <c r="F48" i="6"/>
  <c r="O52" i="6"/>
  <c r="K52" i="6"/>
  <c r="P48" i="6"/>
  <c r="L48" i="6"/>
  <c r="O36" i="6"/>
  <c r="K36" i="6"/>
  <c r="Q52" i="6" l="1"/>
  <c r="Q36" i="6"/>
  <c r="Q48" i="6"/>
</calcChain>
</file>

<file path=xl/sharedStrings.xml><?xml version="1.0" encoding="utf-8"?>
<sst xmlns="http://schemas.openxmlformats.org/spreadsheetml/2006/main" count="146" uniqueCount="76">
  <si>
    <t>Annual Allowed Fixed Power Cost Revenue</t>
  </si>
  <si>
    <t>UE-170033 WP</t>
  </si>
  <si>
    <t xml:space="preserve">   Allocated Variable Power Costs</t>
  </si>
  <si>
    <t>Total Allocated Power Costs</t>
  </si>
  <si>
    <t>Power Cost Revenue:</t>
  </si>
  <si>
    <t>(m)</t>
  </si>
  <si>
    <t>(l)</t>
  </si>
  <si>
    <t>(k)</t>
  </si>
  <si>
    <t>(j)</t>
  </si>
  <si>
    <t>(i)</t>
  </si>
  <si>
    <t>(h)</t>
  </si>
  <si>
    <t>(g)</t>
  </si>
  <si>
    <t>(f) = Σ (l &amp; m)</t>
  </si>
  <si>
    <t>(e) = Σ (i thru k)</t>
  </si>
  <si>
    <t>(d)</t>
  </si>
  <si>
    <t>(c)</t>
  </si>
  <si>
    <t>(b)</t>
  </si>
  <si>
    <t>(a)</t>
  </si>
  <si>
    <t>46 &amp; 49</t>
  </si>
  <si>
    <t>7A, 11, 25 &amp; 29</t>
  </si>
  <si>
    <t>10 &amp; 31</t>
  </si>
  <si>
    <t>12 &amp; 26</t>
  </si>
  <si>
    <t>40, 46 &amp; 49</t>
  </si>
  <si>
    <t>7A, 11, 25, 29, 35 &amp; 43</t>
  </si>
  <si>
    <t>8 &amp; 24</t>
  </si>
  <si>
    <t>Source</t>
  </si>
  <si>
    <t>No.</t>
  </si>
  <si>
    <t>Schedules</t>
  </si>
  <si>
    <t>Schedule</t>
  </si>
  <si>
    <t xml:space="preserve">Schedule  </t>
  </si>
  <si>
    <t>Line</t>
  </si>
  <si>
    <t>Development of Fixed Power Cost Allowed Revenue by Decoupling Group</t>
  </si>
  <si>
    <t>Electric Decoupling Mechanism</t>
  </si>
  <si>
    <t>Puget Sound Energy</t>
  </si>
  <si>
    <t>Volumetric Fixed Power Cost Revenue Per Unit ($/kWh)</t>
  </si>
  <si>
    <t>Exhibit JAP-39</t>
  </si>
  <si>
    <t>Test Year Base Sales (kWh)</t>
  </si>
  <si>
    <t>JAP-47 Page 1</t>
  </si>
  <si>
    <t>(f)</t>
  </si>
  <si>
    <t>(e)</t>
  </si>
  <si>
    <t>Development of Fixed Power Cost Revenue Per Unit Rates ($/kWh)</t>
  </si>
  <si>
    <t>Monthly Allowed FPC Revenue</t>
  </si>
  <si>
    <t>Allowed Fixed Power Cost Revenue</t>
  </si>
  <si>
    <t>Monthly Allowed Fixed Power Cost (FPC) Revenue</t>
  </si>
  <si>
    <t>% of (C(o):R(22))</t>
  </si>
  <si>
    <t>% of Annual Total</t>
  </si>
  <si>
    <t>Schedules 10 &amp; 31</t>
  </si>
  <si>
    <t>% of (C(o):R(18))</t>
  </si>
  <si>
    <t>Schedules 12 &amp; 26</t>
  </si>
  <si>
    <t>% of (C(o):R(14))</t>
  </si>
  <si>
    <t>Schedules 40, 46 &amp; 49</t>
  </si>
  <si>
    <t>% of (C(o):R(10))</t>
  </si>
  <si>
    <t>Schedules 7A, 11, 25, 29, 35 &amp; 43</t>
  </si>
  <si>
    <t>% of (C(o):R(6))</t>
  </si>
  <si>
    <t>Schedules 8 &amp; 24</t>
  </si>
  <si>
    <t>% of (C(o):R(2))</t>
  </si>
  <si>
    <t>Weather-Normalized kWh Sales (Oct15-Sep16)</t>
  </si>
  <si>
    <t>Schedule 7</t>
  </si>
  <si>
    <t>Sales</t>
  </si>
  <si>
    <t>(o)</t>
  </si>
  <si>
    <t>(n)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</si>
  <si>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</si>
  <si>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</si>
  <si>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</si>
  <si>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</si>
  <si>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</si>
  <si>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</si>
  <si>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</si>
  <si>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</si>
  <si>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</si>
  <si>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</si>
  <si>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</si>
  <si>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</si>
  <si>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</si>
  <si>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Line No.</t>
  </si>
  <si>
    <t>Development of Monthly Allowed Fixed Power Cost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</si>
</sst>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\-yy;@"/>
  </numFmts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rgb="FF00808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167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3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66" fontId="6" fillId="0" borderId="0" xfId="0" applyNumberFormat="1" applyFont="1" applyFill="1" applyBorder="1"/>
    <xf numFmtId="3" fontId="7" fillId="0" borderId="0" xfId="0" applyNumberFormat="1" applyFont="1" applyFill="1"/>
    <xf numFmtId="3" fontId="2" fillId="0" borderId="0" xfId="0" applyNumberFormat="1" applyFont="1"/>
    <xf numFmtId="0" fontId="7" fillId="0" borderId="0" xfId="0" quotePrefix="1" applyFont="1" applyFill="1" applyAlignment="1">
      <alignment horizontal="center"/>
    </xf>
    <xf numFmtId="10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10" fontId="2" fillId="0" borderId="0" xfId="0" applyNumberFormat="1" applyFont="1" applyFill="1"/>
    <xf numFmtId="44" fontId="6" fillId="0" borderId="0" xfId="0" applyNumberFormat="1" applyFont="1" applyFill="1" applyAlignment="1">
      <alignment horizontal="center"/>
    </xf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/>
    <xf numFmtId="0" fontId="1" fillId="0" borderId="0" xfId="0" applyFont="1" applyFill="1" applyAlignment="1"/>
    <xf numFmtId="0" fontId="8" fillId="0" borderId="0" xfId="0" applyFont="1"/>
    <xf numFmtId="0" fontId="1" fillId="0" borderId="0" xfId="0" applyFont="1" applyFill="1" applyAlignment="1">
      <alignment horizont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wrapText="1"/>
    </xf>
    <xf numFmtId="41" fontId="1" fillId="0" borderId="2" xfId="0" applyNumberFormat="1" applyFont="1" applyFill="1" applyBorder="1" applyAlignment="1">
      <alignment horizontal="center" wrapText="1"/>
    </xf>
    <xf numFmtId="4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/>
    <xf numFmtId="165" fontId="2" fillId="0" borderId="1" xfId="0" applyNumberFormat="1" applyFont="1" applyFill="1" applyBorder="1"/>
    <xf numFmtId="3" fontId="8" fillId="0" borderId="0" xfId="0" applyNumberFormat="1" applyFont="1" applyFill="1"/>
    <xf numFmtId="164" fontId="8" fillId="0" borderId="0" xfId="0" applyNumberFormat="1" applyFont="1" applyFill="1"/>
    <xf numFmtId="0" fontId="1" fillId="0" borderId="0" xfId="0" applyFont="1" applyAlignment="1"/>
    <xf numFmtId="0" fontId="2" fillId="0" borderId="2" xfId="0" applyFont="1" applyFill="1" applyBorder="1" applyAlignment="1"/>
    <xf numFmtId="165" fontId="6" fillId="0" borderId="0" xfId="0" applyNumberFormat="1" applyFont="1" applyFill="1"/>
    <xf numFmtId="166" fontId="2" fillId="0" borderId="0" xfId="0" applyNumberFormat="1" applyFont="1" applyFill="1" applyBorder="1"/>
    <xf numFmtId="164" fontId="2" fillId="0" borderId="3" xfId="0" applyNumberFormat="1" applyFont="1" applyFill="1" applyBorder="1"/>
    <xf numFmtId="43" fontId="2" fillId="0" borderId="0" xfId="0" applyNumberFormat="1" applyFont="1" applyFill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61" Type="http://schemas.openxmlformats.org/officeDocument/2006/relationships/customXml" Target="../customXml/item1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customXml" Target="../customXml/item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7%20GRC\Supplemental%20Filing%202017%20GRC\NO%20MS%20SUPP%202017%20GRC%20Workpapers\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GRC%202017%20-%20Pricing%20and%20COS\Testimony\Rebuttal\Workpapers\JAP_47%20WP_Electric%20Fixed%20Power%20Cost%20Decoupling%20Exhibi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Papers For Exhibits--&gt;"/>
      <sheetName val="Exhibit No.__(JAP-Res RD)"/>
      <sheetName val="Exhibit No.__(JAP-SV RD)"/>
      <sheetName val="Exhibit No.__(JAP-PV RD)"/>
      <sheetName val="Exhibit No.__(JAP-CAMP RD)"/>
      <sheetName val="Exhibit No.__(JAP-HV RD)"/>
      <sheetName val="2017 GRC PCA Costs"/>
      <sheetName val="Exh.A-1 SUPP"/>
      <sheetName val="Delivered kWh"/>
    </sheetNames>
    <sheetDataSet>
      <sheetData sheetId="0"/>
      <sheetData sheetId="1">
        <row r="23">
          <cell r="C23">
            <v>10442426489.066896</v>
          </cell>
        </row>
      </sheetData>
      <sheetData sheetId="2">
        <row r="25">
          <cell r="C25">
            <v>2787459006.7940946</v>
          </cell>
        </row>
        <row r="39">
          <cell r="C39">
            <v>2830898777.4718885</v>
          </cell>
        </row>
        <row r="61">
          <cell r="C61">
            <v>1854449604.3816457</v>
          </cell>
        </row>
        <row r="84">
          <cell r="C84">
            <v>13232300</v>
          </cell>
        </row>
        <row r="118">
          <cell r="C118">
            <v>14326829.389192818</v>
          </cell>
        </row>
      </sheetData>
      <sheetData sheetId="3">
        <row r="21">
          <cell r="C21">
            <v>1264534374.4586966</v>
          </cell>
        </row>
        <row r="43">
          <cell r="C43">
            <v>4452600</v>
          </cell>
        </row>
        <row r="62">
          <cell r="C62">
            <v>119660401.46477678</v>
          </cell>
        </row>
      </sheetData>
      <sheetData sheetId="4">
        <row r="27">
          <cell r="C27">
            <v>674604053.41613102</v>
          </cell>
        </row>
      </sheetData>
      <sheetData sheetId="5">
        <row r="19">
          <cell r="C19">
            <v>64275357.697999991</v>
          </cell>
        </row>
        <row r="35">
          <cell r="C35">
            <v>567983859</v>
          </cell>
        </row>
      </sheetData>
      <sheetData sheetId="6">
        <row r="24">
          <cell r="E24">
            <v>395395592.60232359</v>
          </cell>
          <cell r="F24">
            <v>96932143.896331742</v>
          </cell>
          <cell r="G24">
            <v>97593460.279578418</v>
          </cell>
          <cell r="H24">
            <v>62440170.973922037</v>
          </cell>
          <cell r="I24">
            <v>41151942.023402885</v>
          </cell>
          <cell r="J24">
            <v>114485.72952834582</v>
          </cell>
          <cell r="K24">
            <v>3109035.9775022175</v>
          </cell>
          <cell r="L24">
            <v>21489042.629175574</v>
          </cell>
          <cell r="M24">
            <v>18897205.665413521</v>
          </cell>
        </row>
        <row r="25">
          <cell r="E25">
            <v>714267327.85962081</v>
          </cell>
          <cell r="F25">
            <v>175104287.19971085</v>
          </cell>
          <cell r="G25">
            <v>176298930.47537953</v>
          </cell>
          <cell r="H25">
            <v>112795830.06757841</v>
          </cell>
          <cell r="I25">
            <v>74339441.853245586</v>
          </cell>
          <cell r="J25">
            <v>206814.18214622332</v>
          </cell>
          <cell r="K25">
            <v>5616357.0394256413</v>
          </cell>
          <cell r="L25">
            <v>38819150.603027031</v>
          </cell>
          <cell r="M25">
            <v>34137094.209403902</v>
          </cell>
        </row>
      </sheetData>
      <sheetData sheetId="7"/>
      <sheetData sheetId="8">
        <row r="7">
          <cell r="E7">
            <v>788389063.69857621</v>
          </cell>
          <cell r="F7">
            <v>1028566034.8299937</v>
          </cell>
          <cell r="G7">
            <v>1248946353.8319292</v>
          </cell>
          <cell r="H7">
            <v>1225806465.9287825</v>
          </cell>
          <cell r="I7">
            <v>1038920912.9571128</v>
          </cell>
          <cell r="J7">
            <v>1001139736.2453095</v>
          </cell>
          <cell r="K7">
            <v>795874664.78726423</v>
          </cell>
          <cell r="L7">
            <v>715559108.06809902</v>
          </cell>
          <cell r="M7">
            <v>618674823.07889044</v>
          </cell>
          <cell r="N7">
            <v>693231423.69833016</v>
          </cell>
          <cell r="O7">
            <v>671821991.57801056</v>
          </cell>
          <cell r="P7">
            <v>615495906.36459756</v>
          </cell>
        </row>
        <row r="8">
          <cell r="E8">
            <v>186387</v>
          </cell>
          <cell r="F8">
            <v>224606</v>
          </cell>
          <cell r="G8">
            <v>264188</v>
          </cell>
          <cell r="H8">
            <v>252203</v>
          </cell>
          <cell r="I8">
            <v>208180</v>
          </cell>
          <cell r="J8">
            <v>204824</v>
          </cell>
          <cell r="K8">
            <v>151818.66666666666</v>
          </cell>
          <cell r="L8">
            <v>43551.333333333343</v>
          </cell>
          <cell r="M8">
            <v>359958</v>
          </cell>
          <cell r="N8">
            <v>216736</v>
          </cell>
          <cell r="O8">
            <v>233522</v>
          </cell>
          <cell r="P8">
            <v>184874</v>
          </cell>
        </row>
        <row r="11">
          <cell r="E11">
            <v>215700377.70449299</v>
          </cell>
          <cell r="F11">
            <v>233739560.5283455</v>
          </cell>
          <cell r="G11">
            <v>269162189.97716194</v>
          </cell>
          <cell r="H11">
            <v>281629411.24406934</v>
          </cell>
          <cell r="I11">
            <v>229066033.29324535</v>
          </cell>
          <cell r="J11">
            <v>253473902.25955233</v>
          </cell>
          <cell r="K11">
            <v>204132207.02314135</v>
          </cell>
          <cell r="L11">
            <v>220133181.8939862</v>
          </cell>
          <cell r="M11">
            <v>204092877.67037505</v>
          </cell>
          <cell r="N11">
            <v>225355557.17316702</v>
          </cell>
          <cell r="O11">
            <v>234996257.55218324</v>
          </cell>
          <cell r="P11">
            <v>215977450.47437373</v>
          </cell>
        </row>
        <row r="12">
          <cell r="E12">
            <v>230221517.26316127</v>
          </cell>
          <cell r="F12">
            <v>233581320.96242312</v>
          </cell>
          <cell r="G12">
            <v>264288601.17093679</v>
          </cell>
          <cell r="H12">
            <v>252290150.89031228</v>
          </cell>
          <cell r="I12">
            <v>231188719.05921569</v>
          </cell>
          <cell r="J12">
            <v>254300000.21982524</v>
          </cell>
          <cell r="K12">
            <v>203463253.40056416</v>
          </cell>
          <cell r="L12">
            <v>216400408.63104883</v>
          </cell>
          <cell r="M12">
            <v>234122582.30494633</v>
          </cell>
          <cell r="N12">
            <v>238214777.3704122</v>
          </cell>
          <cell r="O12">
            <v>227104303.08518243</v>
          </cell>
          <cell r="P12">
            <v>243192295.11386013</v>
          </cell>
        </row>
        <row r="13">
          <cell r="E13">
            <v>154372436.95407352</v>
          </cell>
          <cell r="F13">
            <v>151278905.22492501</v>
          </cell>
          <cell r="G13">
            <v>163220145.69247249</v>
          </cell>
          <cell r="H13">
            <v>152463946.34980652</v>
          </cell>
          <cell r="I13">
            <v>145819713.11820722</v>
          </cell>
          <cell r="J13">
            <v>152314036.86746776</v>
          </cell>
          <cell r="K13">
            <v>148103980.90693125</v>
          </cell>
          <cell r="L13">
            <v>135025834.28021634</v>
          </cell>
          <cell r="M13">
            <v>168790660.99076775</v>
          </cell>
          <cell r="N13">
            <v>165168852.0508343</v>
          </cell>
          <cell r="O13">
            <v>158533097.62628406</v>
          </cell>
          <cell r="P13">
            <v>159357994.31965962</v>
          </cell>
        </row>
        <row r="14">
          <cell r="E14">
            <v>1043200</v>
          </cell>
          <cell r="F14">
            <v>-1522500</v>
          </cell>
          <cell r="G14">
            <v>4001000</v>
          </cell>
          <cell r="H14">
            <v>326700</v>
          </cell>
          <cell r="I14">
            <v>2315100</v>
          </cell>
          <cell r="J14">
            <v>1170900</v>
          </cell>
          <cell r="K14">
            <v>763000</v>
          </cell>
          <cell r="L14">
            <v>0</v>
          </cell>
          <cell r="M14">
            <v>1320900</v>
          </cell>
          <cell r="N14">
            <v>1118700</v>
          </cell>
          <cell r="O14">
            <v>1754900</v>
          </cell>
          <cell r="P14">
            <v>940400</v>
          </cell>
        </row>
        <row r="15">
          <cell r="E15">
            <v>355044.79382672033</v>
          </cell>
          <cell r="F15">
            <v>311574.04639389709</v>
          </cell>
          <cell r="G15">
            <v>426572.75880937552</v>
          </cell>
          <cell r="H15">
            <v>231144.09494143631</v>
          </cell>
          <cell r="I15">
            <v>309268.2396042769</v>
          </cell>
          <cell r="J15">
            <v>165319.2869411725</v>
          </cell>
          <cell r="K15">
            <v>615258.4868407693</v>
          </cell>
          <cell r="L15">
            <v>3094654.959494072</v>
          </cell>
          <cell r="M15">
            <v>805968.18113837903</v>
          </cell>
          <cell r="N15">
            <v>3527356.3994582877</v>
          </cell>
          <cell r="O15">
            <v>3121560.4136990095</v>
          </cell>
          <cell r="P15">
            <v>1363107.7280454212</v>
          </cell>
        </row>
        <row r="18">
          <cell r="E18">
            <v>105029055.36138692</v>
          </cell>
          <cell r="F18">
            <v>101436461.90904701</v>
          </cell>
          <cell r="G18">
            <v>112223545.64403586</v>
          </cell>
          <cell r="H18">
            <v>102842532.38647696</v>
          </cell>
          <cell r="I18">
            <v>111373881.29066783</v>
          </cell>
          <cell r="J18">
            <v>104689533.21365285</v>
          </cell>
          <cell r="K18">
            <v>94025993.209115341</v>
          </cell>
          <cell r="L18">
            <v>87352600.915264264</v>
          </cell>
          <cell r="M18">
            <v>113833167.48060417</v>
          </cell>
          <cell r="N18">
            <v>109461832.76293805</v>
          </cell>
          <cell r="O18">
            <v>113953401.3090072</v>
          </cell>
          <cell r="P18">
            <v>108312368.9765002</v>
          </cell>
        </row>
        <row r="19">
          <cell r="E19">
            <v>782400</v>
          </cell>
          <cell r="F19">
            <v>-776400</v>
          </cell>
          <cell r="G19">
            <v>3600</v>
          </cell>
          <cell r="H19">
            <v>3000</v>
          </cell>
          <cell r="I19">
            <v>2400</v>
          </cell>
          <cell r="J19">
            <v>3600</v>
          </cell>
          <cell r="K19">
            <v>299400</v>
          </cell>
          <cell r="L19">
            <v>802200</v>
          </cell>
          <cell r="M19">
            <v>811200</v>
          </cell>
          <cell r="N19">
            <v>912600</v>
          </cell>
          <cell r="O19">
            <v>848400</v>
          </cell>
          <cell r="P19">
            <v>760200</v>
          </cell>
        </row>
        <row r="20">
          <cell r="E20">
            <v>9337075.4695151523</v>
          </cell>
          <cell r="F20">
            <v>12485354.643910935</v>
          </cell>
          <cell r="G20">
            <v>15850434.107288616</v>
          </cell>
          <cell r="H20">
            <v>14123147.660224725</v>
          </cell>
          <cell r="I20">
            <v>12927959.375655247</v>
          </cell>
          <cell r="J20">
            <v>13179188.19975958</v>
          </cell>
          <cell r="K20">
            <v>8623983.9683423489</v>
          </cell>
          <cell r="L20">
            <v>7590553.5698564323</v>
          </cell>
          <cell r="M20">
            <v>6694592.3161879135</v>
          </cell>
          <cell r="N20">
            <v>5879296.8919463623</v>
          </cell>
          <cell r="O20">
            <v>5535078.0361081427</v>
          </cell>
          <cell r="P20">
            <v>7433737.2259813203</v>
          </cell>
        </row>
        <row r="23">
          <cell r="E23">
            <v>57574597.08998695</v>
          </cell>
          <cell r="F23">
            <v>53518585.184000134</v>
          </cell>
          <cell r="G23">
            <v>60811586.722935259</v>
          </cell>
          <cell r="H23">
            <v>61562338.537418649</v>
          </cell>
          <cell r="I23">
            <v>49268466.933640912</v>
          </cell>
          <cell r="J23">
            <v>50189195.074154593</v>
          </cell>
          <cell r="K23">
            <v>50255073.977565609</v>
          </cell>
          <cell r="L23">
            <v>62632970.122435242</v>
          </cell>
          <cell r="M23">
            <v>54868288.700705148</v>
          </cell>
          <cell r="N23">
            <v>54638483.065229639</v>
          </cell>
          <cell r="O23">
            <v>68935141.093200997</v>
          </cell>
          <cell r="P23">
            <v>50349326.914857782</v>
          </cell>
        </row>
        <row r="25">
          <cell r="E25">
            <v>5929499</v>
          </cell>
          <cell r="F25">
            <v>11395712</v>
          </cell>
          <cell r="G25">
            <v>4434417</v>
          </cell>
          <cell r="H25">
            <v>2497569</v>
          </cell>
          <cell r="I25">
            <v>6617739.7769999998</v>
          </cell>
          <cell r="J25">
            <v>1740893.2230000002</v>
          </cell>
          <cell r="K25">
            <v>7058841</v>
          </cell>
          <cell r="L25">
            <v>6233064</v>
          </cell>
          <cell r="M25">
            <v>4103891</v>
          </cell>
          <cell r="N25">
            <v>4834580</v>
          </cell>
          <cell r="O25">
            <v>3971862.6979999915</v>
          </cell>
          <cell r="P25">
            <v>5457289</v>
          </cell>
        </row>
        <row r="26">
          <cell r="E26">
            <v>49551390</v>
          </cell>
          <cell r="F26">
            <v>74570548.046999991</v>
          </cell>
          <cell r="G26">
            <v>16078171.793000001</v>
          </cell>
          <cell r="H26">
            <v>51561516.159999996</v>
          </cell>
          <cell r="I26">
            <v>89295334.787</v>
          </cell>
          <cell r="J26">
            <v>7444497.2130000032</v>
          </cell>
          <cell r="K26">
            <v>39924274</v>
          </cell>
          <cell r="L26">
            <v>43936996</v>
          </cell>
          <cell r="M26">
            <v>47284949</v>
          </cell>
          <cell r="N26">
            <v>49438522</v>
          </cell>
          <cell r="O26">
            <v>42063164</v>
          </cell>
          <cell r="P26">
            <v>56834496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workbookViewId="0">
      <selection activeCell="B21" sqref="B21"/>
    </sheetView>
  </sheetViews>
  <sheetFormatPr defaultRowHeight="15" x14ac:dyDescent="0.25"/>
  <cols>
    <col min="1" max="1" width="5.28515625" style="28" customWidth="1"/>
    <col min="2" max="2" width="37.42578125" style="28" bestFit="1" customWidth="1"/>
    <col min="3" max="3" width="14" style="28" bestFit="1" customWidth="1"/>
    <col min="4" max="4" width="15.140625" style="28" bestFit="1" customWidth="1"/>
    <col min="5" max="5" width="14" style="28" bestFit="1" customWidth="1"/>
    <col min="6" max="6" width="20.7109375" style="28" bestFit="1" customWidth="1"/>
    <col min="7" max="7" width="15" style="28" customWidth="1"/>
    <col min="8" max="9" width="14" style="28" bestFit="1" customWidth="1"/>
    <col min="10" max="10" width="3.7109375" style="28" customWidth="1"/>
    <col min="11" max="11" width="14.28515625" style="28" bestFit="1" customWidth="1"/>
    <col min="12" max="13" width="12.85546875" style="28" bestFit="1" customWidth="1"/>
    <col min="14" max="15" width="14" style="28" bestFit="1" customWidth="1"/>
    <col min="16" max="16" width="15.28515625" style="28" bestFit="1" customWidth="1"/>
    <col min="17" max="17" width="13.42578125" style="28" bestFit="1" customWidth="1"/>
    <col min="18" max="16384" width="9.140625" style="28"/>
  </cols>
  <sheetData>
    <row r="1" spans="1:19" x14ac:dyDescent="0.2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7"/>
      <c r="Q1" s="26"/>
      <c r="R1" s="26"/>
      <c r="S1" s="26"/>
    </row>
    <row r="2" spans="1:19" x14ac:dyDescent="0.25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7"/>
      <c r="Q2" s="26"/>
      <c r="R2" s="26"/>
      <c r="S2" s="26"/>
    </row>
    <row r="3" spans="1:19" x14ac:dyDescent="0.25">
      <c r="A3" s="1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"/>
      <c r="Q3" s="26"/>
      <c r="R3" s="26"/>
      <c r="S3" s="26"/>
    </row>
    <row r="4" spans="1:19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6"/>
      <c r="O4" s="26"/>
      <c r="P4" s="26"/>
      <c r="Q4" s="26"/>
      <c r="R4" s="26"/>
      <c r="S4" s="26"/>
    </row>
    <row r="5" spans="1:19" x14ac:dyDescent="0.25">
      <c r="A5" s="30"/>
      <c r="B5" s="29"/>
      <c r="C5" s="29"/>
      <c r="D5" s="29"/>
      <c r="E5" s="29"/>
      <c r="F5" s="29"/>
      <c r="G5" s="29"/>
      <c r="H5" s="29"/>
      <c r="J5" s="29"/>
      <c r="K5" s="29"/>
      <c r="L5" s="29"/>
      <c r="M5" s="29"/>
      <c r="N5" s="26"/>
      <c r="O5" s="26"/>
      <c r="P5" s="29"/>
      <c r="Q5" s="29"/>
      <c r="R5" s="26"/>
      <c r="S5" s="26"/>
    </row>
    <row r="6" spans="1:19" ht="15" customHeight="1" x14ac:dyDescent="0.25">
      <c r="A6" s="31" t="s">
        <v>30</v>
      </c>
      <c r="B6" s="29"/>
      <c r="C6" s="29"/>
      <c r="D6" s="29" t="s">
        <v>29</v>
      </c>
      <c r="E6" s="29" t="s">
        <v>27</v>
      </c>
      <c r="F6" s="29" t="s">
        <v>27</v>
      </c>
      <c r="G6" s="29" t="s">
        <v>27</v>
      </c>
      <c r="H6" s="29" t="s">
        <v>27</v>
      </c>
      <c r="I6" s="29" t="s">
        <v>27</v>
      </c>
      <c r="J6" s="29"/>
      <c r="K6" s="29" t="s">
        <v>27</v>
      </c>
      <c r="L6" s="29" t="s">
        <v>28</v>
      </c>
      <c r="M6" s="29" t="s">
        <v>28</v>
      </c>
      <c r="N6" s="29" t="s">
        <v>28</v>
      </c>
      <c r="O6" s="29" t="s">
        <v>27</v>
      </c>
      <c r="P6" s="29"/>
      <c r="Q6" s="29"/>
      <c r="R6" s="26"/>
      <c r="S6" s="26"/>
    </row>
    <row r="7" spans="1:19" ht="15" customHeight="1" x14ac:dyDescent="0.25">
      <c r="A7" s="32" t="s">
        <v>26</v>
      </c>
      <c r="B7" s="6"/>
      <c r="C7" s="33" t="s">
        <v>25</v>
      </c>
      <c r="D7" s="34">
        <v>7</v>
      </c>
      <c r="E7" s="34" t="s">
        <v>24</v>
      </c>
      <c r="F7" s="34" t="s">
        <v>23</v>
      </c>
      <c r="G7" s="34" t="s">
        <v>22</v>
      </c>
      <c r="H7" s="34" t="s">
        <v>21</v>
      </c>
      <c r="I7" s="34" t="s">
        <v>20</v>
      </c>
      <c r="J7" s="35"/>
      <c r="K7" s="34" t="s">
        <v>19</v>
      </c>
      <c r="L7" s="34">
        <v>35</v>
      </c>
      <c r="M7" s="34">
        <v>43</v>
      </c>
      <c r="N7" s="34">
        <v>40</v>
      </c>
      <c r="O7" s="34" t="s">
        <v>18</v>
      </c>
      <c r="S7" s="26"/>
    </row>
    <row r="8" spans="1:19" x14ac:dyDescent="0.25">
      <c r="A8" s="3"/>
      <c r="B8" s="4" t="s">
        <v>17</v>
      </c>
      <c r="C8" s="4" t="s">
        <v>16</v>
      </c>
      <c r="D8" s="4" t="s">
        <v>15</v>
      </c>
      <c r="E8" s="4" t="s">
        <v>14</v>
      </c>
      <c r="F8" s="4" t="s">
        <v>13</v>
      </c>
      <c r="G8" s="4" t="s">
        <v>12</v>
      </c>
      <c r="H8" s="4" t="s">
        <v>11</v>
      </c>
      <c r="I8" s="4" t="s">
        <v>10</v>
      </c>
      <c r="J8" s="36"/>
      <c r="K8" s="4" t="s">
        <v>9</v>
      </c>
      <c r="L8" s="4" t="s">
        <v>8</v>
      </c>
      <c r="M8" s="4" t="s">
        <v>7</v>
      </c>
      <c r="N8" s="4" t="s">
        <v>6</v>
      </c>
      <c r="O8" s="4" t="s">
        <v>5</v>
      </c>
      <c r="P8" s="4"/>
      <c r="S8" s="26"/>
    </row>
    <row r="9" spans="1:19" x14ac:dyDescent="0.25">
      <c r="A9" s="4">
        <v>1</v>
      </c>
      <c r="B9" s="9" t="s">
        <v>4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5">
      <c r="A10" s="4">
        <f>A9+1</f>
        <v>2</v>
      </c>
      <c r="B10" s="3" t="s">
        <v>3</v>
      </c>
      <c r="C10" s="12" t="s">
        <v>1</v>
      </c>
      <c r="D10" s="37">
        <f>'[53]2017 GRC PCA Costs'!$E$25</f>
        <v>714267327.85962081</v>
      </c>
      <c r="E10" s="37">
        <f>'[53]2017 GRC PCA Costs'!$F$25</f>
        <v>175104287.19971085</v>
      </c>
      <c r="F10" s="38">
        <f>SUM(K10:M10)</f>
        <v>182122101.69695139</v>
      </c>
      <c r="G10" s="38">
        <f>SUM(N10:O10)</f>
        <v>72956244.812430933</v>
      </c>
      <c r="H10" s="37">
        <f>'[53]2017 GRC PCA Costs'!$H$25</f>
        <v>112795830.06757841</v>
      </c>
      <c r="I10" s="37">
        <f>'[53]2017 GRC PCA Costs'!$I$25</f>
        <v>74339441.853245586</v>
      </c>
      <c r="J10" s="38"/>
      <c r="K10" s="37">
        <f>'[53]2017 GRC PCA Costs'!$G$25</f>
        <v>176298930.47537953</v>
      </c>
      <c r="L10" s="37">
        <f>'[53]2017 GRC PCA Costs'!$J$25</f>
        <v>206814.18214622332</v>
      </c>
      <c r="M10" s="37">
        <f>'[53]2017 GRC PCA Costs'!$K$25</f>
        <v>5616357.0394256413</v>
      </c>
      <c r="N10" s="37">
        <f>'[53]2017 GRC PCA Costs'!$L$25</f>
        <v>38819150.603027031</v>
      </c>
      <c r="O10" s="37">
        <f>'[53]2017 GRC PCA Costs'!$M$25</f>
        <v>34137094.209403902</v>
      </c>
      <c r="P10" s="39"/>
      <c r="Q10" s="39"/>
      <c r="R10" s="26"/>
      <c r="S10" s="26"/>
    </row>
    <row r="11" spans="1:19" x14ac:dyDescent="0.25">
      <c r="A11" s="4">
        <f>A10+1</f>
        <v>3</v>
      </c>
      <c r="B11" s="3" t="s">
        <v>2</v>
      </c>
      <c r="C11" s="12" t="s">
        <v>1</v>
      </c>
      <c r="D11" s="37">
        <f>'[53]2017 GRC PCA Costs'!E24</f>
        <v>395395592.60232359</v>
      </c>
      <c r="E11" s="37">
        <f>'[53]2017 GRC PCA Costs'!F24</f>
        <v>96932143.896331742</v>
      </c>
      <c r="F11" s="39">
        <f>SUM(K11:M11)</f>
        <v>100816981.98660898</v>
      </c>
      <c r="G11" s="39">
        <f>SUM(N11:O11)</f>
        <v>40386248.294589095</v>
      </c>
      <c r="H11" s="37">
        <f>'[53]2017 GRC PCA Costs'!H24</f>
        <v>62440170.973922037</v>
      </c>
      <c r="I11" s="37">
        <f>'[53]2017 GRC PCA Costs'!I24</f>
        <v>41151942.023402885</v>
      </c>
      <c r="J11" s="38"/>
      <c r="K11" s="37">
        <f>'[53]2017 GRC PCA Costs'!G24</f>
        <v>97593460.279578418</v>
      </c>
      <c r="L11" s="37">
        <f>'[53]2017 GRC PCA Costs'!J24</f>
        <v>114485.72952834582</v>
      </c>
      <c r="M11" s="37">
        <f>'[53]2017 GRC PCA Costs'!K24</f>
        <v>3109035.9775022175</v>
      </c>
      <c r="N11" s="37">
        <f>'[53]2017 GRC PCA Costs'!L24</f>
        <v>21489042.629175574</v>
      </c>
      <c r="O11" s="37">
        <f>'[53]2017 GRC PCA Costs'!M24</f>
        <v>18897205.665413521</v>
      </c>
      <c r="P11" s="26"/>
      <c r="Q11" s="26"/>
      <c r="R11" s="26"/>
      <c r="S11" s="26"/>
    </row>
    <row r="12" spans="1:19" ht="15.75" thickBot="1" x14ac:dyDescent="0.3">
      <c r="A12" s="4">
        <f>A11+1</f>
        <v>4</v>
      </c>
      <c r="B12" s="3" t="s">
        <v>0</v>
      </c>
      <c r="C12" s="4" t="str">
        <f>"("&amp;A10&amp;") - ("&amp;A11&amp;")"</f>
        <v>(2) - (3)</v>
      </c>
      <c r="D12" s="40">
        <f t="shared" ref="D12:I12" si="0">D10-D11</f>
        <v>318871735.25729722</v>
      </c>
      <c r="E12" s="40">
        <f t="shared" si="0"/>
        <v>78172143.303379104</v>
      </c>
      <c r="F12" s="40">
        <f t="shared" si="0"/>
        <v>81305119.710342407</v>
      </c>
      <c r="G12" s="40">
        <f t="shared" si="0"/>
        <v>32569996.517841838</v>
      </c>
      <c r="H12" s="40">
        <f t="shared" si="0"/>
        <v>50355659.093656369</v>
      </c>
      <c r="I12" s="40">
        <f t="shared" si="0"/>
        <v>33187499.829842702</v>
      </c>
      <c r="J12" s="39"/>
      <c r="K12" s="40">
        <f>K10-K11</f>
        <v>78705470.195801109</v>
      </c>
      <c r="L12" s="40">
        <f>L10-L11</f>
        <v>92328.452617877498</v>
      </c>
      <c r="M12" s="40">
        <f>M10-M11</f>
        <v>2507321.0619234238</v>
      </c>
      <c r="N12" s="40">
        <f>N10-N11</f>
        <v>17330107.973851457</v>
      </c>
      <c r="O12" s="40">
        <f>O10-O11</f>
        <v>15239888.543990381</v>
      </c>
      <c r="P12" s="26"/>
      <c r="Q12" s="26"/>
      <c r="R12" s="26"/>
      <c r="S12" s="26"/>
    </row>
    <row r="13" spans="1:19" ht="15.75" thickTop="1" x14ac:dyDescent="0.25">
      <c r="A13" s="3"/>
      <c r="B13" s="26"/>
      <c r="C13" s="26"/>
      <c r="D13" s="2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26"/>
      <c r="Q13" s="26"/>
      <c r="R13" s="26"/>
      <c r="S13" s="26"/>
    </row>
    <row r="14" spans="1:19" x14ac:dyDescent="0.25">
      <c r="A14" s="26"/>
      <c r="B14" s="3"/>
      <c r="C14" s="26"/>
      <c r="D14" s="42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x14ac:dyDescent="0.25">
      <c r="A15" s="4"/>
      <c r="B15" s="3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26"/>
      <c r="S15" s="26"/>
    </row>
    <row r="16" spans="1:19" x14ac:dyDescent="0.25">
      <c r="A16" s="26"/>
      <c r="B16" s="3"/>
      <c r="C16" s="26"/>
      <c r="D16" s="42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4" x14ac:dyDescent="0.25">
      <c r="A17" s="26"/>
      <c r="B17" s="26"/>
      <c r="C17" s="26"/>
      <c r="D17" s="26"/>
    </row>
    <row r="18" spans="1:4" x14ac:dyDescent="0.25">
      <c r="A18" s="26"/>
      <c r="B18" s="26"/>
      <c r="C18" s="26"/>
      <c r="D18" s="26"/>
    </row>
    <row r="19" spans="1:4" x14ac:dyDescent="0.25">
      <c r="A19" s="26"/>
      <c r="B19" s="26"/>
      <c r="C19" s="26"/>
      <c r="D19" s="26"/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58"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Normal="100" workbookViewId="0">
      <selection sqref="A1:XFD1048576"/>
    </sheetView>
  </sheetViews>
  <sheetFormatPr defaultRowHeight="12.75" x14ac:dyDescent="0.2"/>
  <cols>
    <col min="1" max="1" width="5.28515625" style="2" customWidth="1"/>
    <col min="2" max="2" width="63.5703125" style="2" customWidth="1"/>
    <col min="3" max="3" width="15.5703125" style="2" customWidth="1"/>
    <col min="4" max="5" width="16.42578125" style="2" customWidth="1"/>
    <col min="6" max="6" width="20.5703125" style="2" bestFit="1" customWidth="1"/>
    <col min="7" max="7" width="16.42578125" style="2" customWidth="1"/>
    <col min="8" max="8" width="17.7109375" style="2" customWidth="1"/>
    <col min="9" max="9" width="14.5703125" style="2" bestFit="1" customWidth="1"/>
    <col min="10" max="10" width="9.140625" style="2"/>
    <col min="11" max="11" width="10.28515625" style="2" bestFit="1" customWidth="1"/>
    <col min="12" max="16384" width="9.140625" style="2"/>
  </cols>
  <sheetData>
    <row r="1" spans="1:18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43"/>
      <c r="K1" s="43"/>
      <c r="L1" s="43"/>
      <c r="M1" s="43"/>
      <c r="N1" s="43"/>
      <c r="O1" s="43"/>
      <c r="P1" s="43"/>
      <c r="Q1" s="43"/>
      <c r="R1" s="43"/>
    </row>
    <row r="2" spans="1:18" x14ac:dyDescent="0.2">
      <c r="A2" s="1" t="s">
        <v>32</v>
      </c>
      <c r="B2" s="1"/>
      <c r="C2" s="1"/>
      <c r="D2" s="1"/>
      <c r="E2" s="1"/>
      <c r="F2" s="1"/>
      <c r="G2" s="1"/>
      <c r="H2" s="1"/>
      <c r="I2" s="1"/>
      <c r="J2" s="43"/>
      <c r="K2" s="43"/>
      <c r="L2" s="43"/>
      <c r="M2" s="43"/>
      <c r="N2" s="43"/>
      <c r="O2" s="43"/>
      <c r="P2" s="43"/>
      <c r="Q2" s="43"/>
      <c r="R2" s="43"/>
    </row>
    <row r="3" spans="1:18" x14ac:dyDescent="0.2">
      <c r="A3" s="1" t="s">
        <v>40</v>
      </c>
      <c r="B3" s="1"/>
      <c r="C3" s="1"/>
      <c r="D3" s="1"/>
      <c r="E3" s="1"/>
      <c r="F3" s="1"/>
      <c r="G3" s="1"/>
      <c r="H3" s="1"/>
      <c r="I3" s="1"/>
      <c r="J3" s="43"/>
      <c r="K3" s="43"/>
      <c r="L3" s="43"/>
      <c r="M3" s="43"/>
      <c r="N3" s="43"/>
      <c r="O3" s="43"/>
      <c r="P3" s="43"/>
      <c r="Q3" s="43"/>
      <c r="R3" s="43"/>
    </row>
    <row r="4" spans="1:18" x14ac:dyDescent="0.2">
      <c r="A4" s="27"/>
      <c r="B4" s="27"/>
      <c r="C4" s="27"/>
      <c r="D4" s="27"/>
      <c r="E4" s="27"/>
      <c r="F4" s="29"/>
      <c r="G4" s="29"/>
      <c r="H4" s="29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x14ac:dyDescent="0.2">
      <c r="A5" s="3"/>
      <c r="B5" s="3"/>
      <c r="C5" s="3"/>
      <c r="D5" s="3"/>
      <c r="E5" s="3"/>
      <c r="F5" s="3"/>
      <c r="G5" s="3"/>
      <c r="H5" s="3"/>
    </row>
    <row r="6" spans="1:18" ht="12.75" customHeight="1" x14ac:dyDescent="0.2">
      <c r="A6" s="31" t="s">
        <v>30</v>
      </c>
      <c r="B6" s="3"/>
      <c r="C6" s="3"/>
      <c r="D6" s="29" t="s">
        <v>29</v>
      </c>
      <c r="E6" s="29" t="s">
        <v>27</v>
      </c>
      <c r="F6" s="29" t="s">
        <v>27</v>
      </c>
      <c r="G6" s="29" t="s">
        <v>27</v>
      </c>
      <c r="H6" s="29" t="s">
        <v>27</v>
      </c>
      <c r="I6" s="29" t="s">
        <v>27</v>
      </c>
    </row>
    <row r="7" spans="1:18" x14ac:dyDescent="0.2">
      <c r="A7" s="32" t="s">
        <v>26</v>
      </c>
      <c r="B7" s="44"/>
      <c r="C7" s="33" t="s">
        <v>25</v>
      </c>
      <c r="D7" s="34">
        <v>7</v>
      </c>
      <c r="E7" s="34" t="s">
        <v>24</v>
      </c>
      <c r="F7" s="34" t="s">
        <v>23</v>
      </c>
      <c r="G7" s="34" t="s">
        <v>22</v>
      </c>
      <c r="H7" s="34" t="s">
        <v>21</v>
      </c>
      <c r="I7" s="34" t="s">
        <v>20</v>
      </c>
    </row>
    <row r="8" spans="1:18" x14ac:dyDescent="0.2">
      <c r="A8" s="3"/>
      <c r="B8" s="4" t="s">
        <v>17</v>
      </c>
      <c r="C8" s="4" t="s">
        <v>16</v>
      </c>
      <c r="D8" s="4" t="s">
        <v>15</v>
      </c>
      <c r="E8" s="4" t="s">
        <v>14</v>
      </c>
      <c r="F8" s="4" t="s">
        <v>39</v>
      </c>
      <c r="G8" s="4" t="s">
        <v>38</v>
      </c>
      <c r="H8" s="4" t="s">
        <v>11</v>
      </c>
      <c r="I8" s="4" t="s">
        <v>10</v>
      </c>
    </row>
    <row r="9" spans="1:18" ht="13.5" x14ac:dyDescent="0.25">
      <c r="A9" s="4"/>
      <c r="B9" s="9"/>
      <c r="C9" s="4"/>
      <c r="D9" s="4"/>
      <c r="E9" s="4"/>
      <c r="F9" s="4"/>
      <c r="G9" s="4"/>
    </row>
    <row r="10" spans="1:18" x14ac:dyDescent="0.2">
      <c r="A10" s="4">
        <v>1</v>
      </c>
      <c r="B10" s="3" t="s">
        <v>0</v>
      </c>
      <c r="C10" s="12" t="s">
        <v>37</v>
      </c>
      <c r="D10" s="45">
        <f>'JAP-47 Page 1'!$D$12</f>
        <v>318871735.25729722</v>
      </c>
      <c r="E10" s="45">
        <f>'JAP-47 Page 1'!$E$12</f>
        <v>78172143.303379104</v>
      </c>
      <c r="F10" s="45">
        <f>'JAP-47 Page 1'!$F$12</f>
        <v>81305119.710342407</v>
      </c>
      <c r="G10" s="45">
        <f>'JAP-47 Page 1'!$G$12</f>
        <v>32569996.517841838</v>
      </c>
      <c r="H10" s="45">
        <f>'JAP-47 Page 1'!$H$12</f>
        <v>50355659.093656369</v>
      </c>
      <c r="I10" s="45">
        <f>'JAP-47 Page 1'!$I$12</f>
        <v>33187499.829842702</v>
      </c>
    </row>
    <row r="11" spans="1:18" x14ac:dyDescent="0.2">
      <c r="A11" s="4">
        <f>A10+1</f>
        <v>2</v>
      </c>
      <c r="B11" s="3"/>
      <c r="C11" s="3"/>
      <c r="D11" s="46"/>
      <c r="E11" s="46"/>
      <c r="F11" s="46"/>
      <c r="G11" s="46"/>
      <c r="H11" s="46"/>
      <c r="I11" s="46"/>
    </row>
    <row r="12" spans="1:18" x14ac:dyDescent="0.2">
      <c r="A12" s="4">
        <f>A11+1</f>
        <v>3</v>
      </c>
      <c r="B12" s="3" t="s">
        <v>36</v>
      </c>
      <c r="C12" s="4" t="s">
        <v>35</v>
      </c>
      <c r="D12" s="13">
        <f>'[53]Exhibit No.__(JAP-Res RD)'!$C$23</f>
        <v>10442426489.066896</v>
      </c>
      <c r="E12" s="13">
        <f>'[53]Exhibit No.__(JAP-SV RD)'!$C$25</f>
        <v>2787459006.7940946</v>
      </c>
      <c r="F12" s="13">
        <f>SUM('[53]Exhibit No.__(JAP-SV RD)'!$C$39+'[53]Exhibit No.__(JAP-SV RD)'!$C$118,'[53]Exhibit No.__(JAP-PV RD)'!$C$43,'[53]Exhibit No.__(JAP-PV RD)'!$C$62)</f>
        <v>2969338608.3258581</v>
      </c>
      <c r="G12" s="13">
        <f>SUM('[53]Exhibit No.__(JAP-CAMP RD)'!$C$27,'[53]Exhibit No.__(JAP-HV RD)'!$C$19,'[53]Exhibit No.__(JAP-HV RD)'!$C$35)</f>
        <v>1306863270.114131</v>
      </c>
      <c r="H12" s="13">
        <f>SUM('[53]Exhibit No.__(JAP-SV RD)'!C61,'[53]Exhibit No.__(JAP-SV RD)'!C84)</f>
        <v>1867681904.3816457</v>
      </c>
      <c r="I12" s="13">
        <f>'[53]Exhibit No.__(JAP-PV RD)'!C21</f>
        <v>1264534374.4586966</v>
      </c>
    </row>
    <row r="13" spans="1:18" x14ac:dyDescent="0.2">
      <c r="A13" s="4">
        <f>A12+1</f>
        <v>4</v>
      </c>
      <c r="B13" s="3"/>
      <c r="C13" s="3"/>
      <c r="D13" s="46"/>
      <c r="E13" s="46"/>
      <c r="F13" s="46"/>
      <c r="G13" s="46"/>
      <c r="H13" s="46"/>
      <c r="I13" s="46"/>
    </row>
    <row r="14" spans="1:18" x14ac:dyDescent="0.2">
      <c r="A14" s="4">
        <f>A13+1</f>
        <v>5</v>
      </c>
      <c r="B14" s="3" t="s">
        <v>34</v>
      </c>
      <c r="C14" s="4" t="str">
        <f>"("&amp;A10&amp;") / ("&amp;A12&amp;")"</f>
        <v>(1) / (3)</v>
      </c>
      <c r="D14" s="47">
        <f t="shared" ref="D14:I14" si="0">ROUND(D10/D12,6)</f>
        <v>3.0536000000000001E-2</v>
      </c>
      <c r="E14" s="47">
        <f t="shared" si="0"/>
        <v>2.8043999999999999E-2</v>
      </c>
      <c r="F14" s="47">
        <f t="shared" si="0"/>
        <v>2.7382E-2</v>
      </c>
      <c r="G14" s="47">
        <f t="shared" si="0"/>
        <v>2.4922E-2</v>
      </c>
      <c r="H14" s="47">
        <f t="shared" si="0"/>
        <v>2.6962E-2</v>
      </c>
      <c r="I14" s="47">
        <f t="shared" si="0"/>
        <v>2.6245000000000001E-2</v>
      </c>
    </row>
    <row r="15" spans="1:18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18" x14ac:dyDescent="0.2">
      <c r="A16" s="3"/>
      <c r="B16" s="3"/>
      <c r="C16" s="3"/>
      <c r="D16" s="22"/>
      <c r="E16" s="22"/>
      <c r="F16" s="22"/>
      <c r="G16" s="22"/>
      <c r="H16" s="22"/>
      <c r="I16" s="3"/>
    </row>
    <row r="17" spans="1:9" x14ac:dyDescent="0.2">
      <c r="A17" s="3"/>
      <c r="B17" s="3"/>
      <c r="C17" s="3"/>
      <c r="D17" s="48"/>
      <c r="E17" s="48"/>
      <c r="F17" s="48"/>
      <c r="G17" s="48"/>
      <c r="H17" s="48"/>
      <c r="I17" s="3"/>
    </row>
    <row r="18" spans="1:9" x14ac:dyDescent="0.2">
      <c r="A18" s="3"/>
      <c r="C18" s="3"/>
      <c r="D18" s="3"/>
      <c r="E18" s="3"/>
      <c r="F18" s="3"/>
      <c r="G18" s="3"/>
      <c r="H18" s="3"/>
      <c r="I18" s="3"/>
    </row>
    <row r="19" spans="1:9" x14ac:dyDescent="0.2">
      <c r="D19" s="49"/>
      <c r="E19" s="49"/>
      <c r="F19" s="49"/>
      <c r="G19" s="49"/>
      <c r="H19" s="49"/>
    </row>
    <row r="20" spans="1:9" x14ac:dyDescent="0.2">
      <c r="D20" s="49"/>
      <c r="E20" s="49"/>
      <c r="F20" s="49"/>
      <c r="G20" s="49"/>
      <c r="H20" s="49"/>
    </row>
    <row r="21" spans="1:9" x14ac:dyDescent="0.2">
      <c r="D21" s="49"/>
      <c r="E21" s="49"/>
      <c r="F21" s="49"/>
      <c r="G21" s="49"/>
      <c r="H21" s="49"/>
    </row>
    <row r="22" spans="1:9" x14ac:dyDescent="0.2">
      <c r="D22" s="49"/>
      <c r="E22" s="49"/>
      <c r="F22" s="49"/>
      <c r="G22" s="49"/>
      <c r="H22" s="49"/>
    </row>
    <row r="23" spans="1:9" x14ac:dyDescent="0.2">
      <c r="D23" s="49"/>
      <c r="E23" s="49"/>
      <c r="F23" s="49"/>
      <c r="G23" s="49"/>
      <c r="H23" s="49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pane xSplit="4" ySplit="7" topLeftCell="E8" activePane="bottomRight" state="frozen"/>
      <selection activeCell="B17" sqref="B17"/>
      <selection pane="topRight" activeCell="B17" sqref="B17"/>
      <selection pane="bottomLeft" activeCell="B17" sqref="B17"/>
      <selection pane="bottomRight" sqref="A1:XFD1048576"/>
    </sheetView>
  </sheetViews>
  <sheetFormatPr defaultRowHeight="12.75" x14ac:dyDescent="0.2"/>
  <cols>
    <col min="1" max="1" width="5.28515625" style="2" customWidth="1"/>
    <col min="2" max="2" width="2.7109375" style="2" customWidth="1"/>
    <col min="3" max="3" width="40.85546875" style="2" customWidth="1"/>
    <col min="4" max="4" width="14.140625" style="25" bestFit="1" customWidth="1"/>
    <col min="5" max="8" width="15" style="25" bestFit="1" customWidth="1"/>
    <col min="9" max="16" width="15" style="2" bestFit="1" customWidth="1"/>
    <col min="17" max="17" width="16" style="2" bestFit="1" customWidth="1"/>
    <col min="18" max="18" width="13.85546875" style="2" bestFit="1" customWidth="1"/>
    <col min="19" max="16384" width="9.140625" style="2"/>
  </cols>
  <sheetData>
    <row r="1" spans="1:18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x14ac:dyDescent="0.2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x14ac:dyDescent="0.2">
      <c r="A3" s="1" t="s">
        <v>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">
      <c r="A4" s="3"/>
      <c r="B4" s="3"/>
      <c r="C4" s="3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</row>
    <row r="5" spans="1:18" x14ac:dyDescent="0.2">
      <c r="A5" s="3"/>
      <c r="B5" s="3"/>
      <c r="C5" s="3"/>
      <c r="D5" s="4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</row>
    <row r="6" spans="1:18" ht="25.5" x14ac:dyDescent="0.2">
      <c r="A6" s="5" t="s">
        <v>74</v>
      </c>
      <c r="B6" s="5"/>
      <c r="C6" s="6"/>
      <c r="D6" s="5" t="s">
        <v>25</v>
      </c>
      <c r="E6" s="7" t="s">
        <v>73</v>
      </c>
      <c r="F6" s="7" t="s">
        <v>72</v>
      </c>
      <c r="G6" s="7" t="s">
        <v>71</v>
      </c>
      <c r="H6" s="7" t="s">
        <v>70</v>
      </c>
      <c r="I6" s="7" t="s">
        <v>69</v>
      </c>
      <c r="J6" s="7" t="s">
        <v>68</v>
      </c>
      <c r="K6" s="7" t="s">
        <v>67</v>
      </c>
      <c r="L6" s="7" t="s">
        <v>66</v>
      </c>
      <c r="M6" s="7" t="s">
        <v>65</v>
      </c>
      <c r="N6" s="7" t="s">
        <v>64</v>
      </c>
      <c r="O6" s="7" t="s">
        <v>63</v>
      </c>
      <c r="P6" s="7" t="s">
        <v>62</v>
      </c>
      <c r="Q6" s="5" t="s">
        <v>61</v>
      </c>
    </row>
    <row r="7" spans="1:18" x14ac:dyDescent="0.2">
      <c r="A7" s="3"/>
      <c r="B7" s="3"/>
      <c r="C7" s="4" t="s">
        <v>17</v>
      </c>
      <c r="D7" s="4" t="s">
        <v>16</v>
      </c>
      <c r="E7" s="4" t="s">
        <v>15</v>
      </c>
      <c r="F7" s="4" t="s">
        <v>14</v>
      </c>
      <c r="G7" s="4" t="s">
        <v>39</v>
      </c>
      <c r="H7" s="4" t="s">
        <v>38</v>
      </c>
      <c r="I7" s="4" t="s">
        <v>11</v>
      </c>
      <c r="J7" s="4" t="s">
        <v>10</v>
      </c>
      <c r="K7" s="4" t="s">
        <v>9</v>
      </c>
      <c r="L7" s="4" t="s">
        <v>8</v>
      </c>
      <c r="M7" s="4" t="s">
        <v>7</v>
      </c>
      <c r="N7" s="4" t="s">
        <v>6</v>
      </c>
      <c r="O7" s="4" t="s">
        <v>5</v>
      </c>
      <c r="P7" s="4" t="s">
        <v>60</v>
      </c>
      <c r="Q7" s="4" t="s">
        <v>59</v>
      </c>
    </row>
    <row r="8" spans="1:18" ht="13.5" x14ac:dyDescent="0.25">
      <c r="A8" s="4"/>
      <c r="B8" s="8" t="s">
        <v>58</v>
      </c>
      <c r="C8" s="9"/>
      <c r="D8" s="4"/>
      <c r="E8" s="4"/>
      <c r="F8" s="4"/>
      <c r="G8" s="4"/>
      <c r="H8" s="4"/>
      <c r="I8" s="4"/>
      <c r="J8" s="4"/>
      <c r="K8" s="3"/>
      <c r="L8" s="3"/>
      <c r="M8" s="3"/>
      <c r="N8" s="3"/>
      <c r="O8" s="3"/>
      <c r="P8" s="3"/>
      <c r="Q8" s="3"/>
    </row>
    <row r="9" spans="1:18" x14ac:dyDescent="0.2">
      <c r="A9" s="4">
        <v>1</v>
      </c>
      <c r="B9" s="10" t="s">
        <v>57</v>
      </c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1"/>
    </row>
    <row r="10" spans="1:18" x14ac:dyDescent="0.2">
      <c r="A10" s="4">
        <f t="shared" ref="A10:A56" si="0">A9+1</f>
        <v>2</v>
      </c>
      <c r="B10" s="4"/>
      <c r="C10" s="3" t="s">
        <v>56</v>
      </c>
      <c r="D10" s="12" t="s">
        <v>1</v>
      </c>
      <c r="E10" s="13">
        <f>'[53]Delivered kWh'!H7</f>
        <v>1225806465.9287825</v>
      </c>
      <c r="F10" s="13">
        <f>'[53]Delivered kWh'!I7</f>
        <v>1038920912.9571128</v>
      </c>
      <c r="G10" s="13">
        <f>'[53]Delivered kWh'!J7</f>
        <v>1001139736.2453095</v>
      </c>
      <c r="H10" s="13">
        <f>'[53]Delivered kWh'!K7</f>
        <v>795874664.78726423</v>
      </c>
      <c r="I10" s="13">
        <f>'[53]Delivered kWh'!L7</f>
        <v>715559108.06809902</v>
      </c>
      <c r="J10" s="13">
        <f>'[53]Delivered kWh'!M7</f>
        <v>618674823.07889044</v>
      </c>
      <c r="K10" s="13">
        <f>'[53]Delivered kWh'!N7</f>
        <v>693231423.69833016</v>
      </c>
      <c r="L10" s="13">
        <f>'[53]Delivered kWh'!O7</f>
        <v>671821991.57801056</v>
      </c>
      <c r="M10" s="13">
        <f>'[53]Delivered kWh'!P7</f>
        <v>615495906.36459756</v>
      </c>
      <c r="N10" s="13">
        <f>'[53]Delivered kWh'!E7</f>
        <v>788389063.69857621</v>
      </c>
      <c r="O10" s="13">
        <f>'[53]Delivered kWh'!F7</f>
        <v>1028566034.8299937</v>
      </c>
      <c r="P10" s="13">
        <f>'[53]Delivered kWh'!G7</f>
        <v>1248946353.8319292</v>
      </c>
      <c r="Q10" s="14">
        <f>SUM(E10:P10)</f>
        <v>10442426485.066895</v>
      </c>
      <c r="R10" s="15"/>
    </row>
    <row r="11" spans="1:18" x14ac:dyDescent="0.2">
      <c r="A11" s="4">
        <f t="shared" si="0"/>
        <v>3</v>
      </c>
      <c r="B11" s="4"/>
      <c r="C11" s="3" t="s">
        <v>45</v>
      </c>
      <c r="D11" s="16" t="s">
        <v>55</v>
      </c>
      <c r="E11" s="17">
        <f t="shared" ref="E11:P11" si="1">E10/$Q10</f>
        <v>0.11738712910085954</v>
      </c>
      <c r="F11" s="17">
        <f t="shared" si="1"/>
        <v>9.949037366390015E-2</v>
      </c>
      <c r="G11" s="17">
        <f t="shared" si="1"/>
        <v>9.5872327918897118E-2</v>
      </c>
      <c r="H11" s="17">
        <f t="shared" si="1"/>
        <v>7.621549128695311E-2</v>
      </c>
      <c r="I11" s="17">
        <f t="shared" si="1"/>
        <v>6.8524217919214314E-2</v>
      </c>
      <c r="J11" s="17">
        <f t="shared" si="1"/>
        <v>5.9246270391620302E-2</v>
      </c>
      <c r="K11" s="17">
        <f t="shared" si="1"/>
        <v>6.638604779163923E-2</v>
      </c>
      <c r="L11" s="17">
        <f t="shared" si="1"/>
        <v>6.4335812422404312E-2</v>
      </c>
      <c r="M11" s="17">
        <f t="shared" si="1"/>
        <v>5.8941847208096927E-2</v>
      </c>
      <c r="N11" s="17">
        <f t="shared" si="1"/>
        <v>7.5498646298923486E-2</v>
      </c>
      <c r="O11" s="17">
        <f t="shared" si="1"/>
        <v>9.8498757573336621E-2</v>
      </c>
      <c r="P11" s="17">
        <f t="shared" si="1"/>
        <v>0.11960307842415502</v>
      </c>
      <c r="Q11" s="17">
        <f>SUM(E11:P11)</f>
        <v>1</v>
      </c>
    </row>
    <row r="12" spans="1:18" x14ac:dyDescent="0.2">
      <c r="A12" s="4">
        <f t="shared" si="0"/>
        <v>4</v>
      </c>
      <c r="B12" s="4"/>
      <c r="C12" s="3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8" x14ac:dyDescent="0.2">
      <c r="A13" s="4">
        <f t="shared" si="0"/>
        <v>5</v>
      </c>
      <c r="B13" s="10" t="s">
        <v>54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8" x14ac:dyDescent="0.2">
      <c r="A14" s="4">
        <f t="shared" si="0"/>
        <v>6</v>
      </c>
      <c r="B14" s="4"/>
      <c r="C14" s="3" t="str">
        <f>C10</f>
        <v>Weather-Normalized kWh Sales (Oct15-Sep16)</v>
      </c>
      <c r="D14" s="12" t="s">
        <v>1</v>
      </c>
      <c r="E14" s="13">
        <f>'[53]Delivered kWh'!H11</f>
        <v>281629411.24406934</v>
      </c>
      <c r="F14" s="13">
        <f>'[53]Delivered kWh'!I11</f>
        <v>229066033.29324535</v>
      </c>
      <c r="G14" s="13">
        <f>'[53]Delivered kWh'!J11</f>
        <v>253473902.25955233</v>
      </c>
      <c r="H14" s="13">
        <f>'[53]Delivered kWh'!K11</f>
        <v>204132207.02314135</v>
      </c>
      <c r="I14" s="13">
        <f>'[53]Delivered kWh'!L11</f>
        <v>220133181.8939862</v>
      </c>
      <c r="J14" s="13">
        <f>'[53]Delivered kWh'!M11</f>
        <v>204092877.67037505</v>
      </c>
      <c r="K14" s="13">
        <f>'[53]Delivered kWh'!N11</f>
        <v>225355557.17316702</v>
      </c>
      <c r="L14" s="13">
        <f>'[53]Delivered kWh'!O11</f>
        <v>234996257.55218324</v>
      </c>
      <c r="M14" s="13">
        <f>'[53]Delivered kWh'!P11</f>
        <v>215977450.47437373</v>
      </c>
      <c r="N14" s="13">
        <f>'[53]Delivered kWh'!E11</f>
        <v>215700377.70449299</v>
      </c>
      <c r="O14" s="13">
        <f>'[53]Delivered kWh'!F11</f>
        <v>233739560.5283455</v>
      </c>
      <c r="P14" s="13">
        <f>'[53]Delivered kWh'!G11</f>
        <v>269162189.97716194</v>
      </c>
      <c r="Q14" s="14">
        <f>SUM(E14:P14)</f>
        <v>2787459006.7940941</v>
      </c>
      <c r="R14" s="15"/>
    </row>
    <row r="15" spans="1:18" x14ac:dyDescent="0.2">
      <c r="A15" s="4">
        <f t="shared" si="0"/>
        <v>7</v>
      </c>
      <c r="B15" s="4"/>
      <c r="C15" s="3" t="s">
        <v>45</v>
      </c>
      <c r="D15" s="12" t="s">
        <v>53</v>
      </c>
      <c r="E15" s="20">
        <f t="shared" ref="E15:P15" si="2">E14/$Q14</f>
        <v>0.10103445846472781</v>
      </c>
      <c r="F15" s="20">
        <f t="shared" si="2"/>
        <v>8.2177363948644486E-2</v>
      </c>
      <c r="G15" s="20">
        <f t="shared" si="2"/>
        <v>9.0933678895991063E-2</v>
      </c>
      <c r="H15" s="20">
        <f t="shared" si="2"/>
        <v>7.3232361991905096E-2</v>
      </c>
      <c r="I15" s="20">
        <f t="shared" si="2"/>
        <v>7.8972706453238672E-2</v>
      </c>
      <c r="J15" s="20">
        <f t="shared" si="2"/>
        <v>7.3218252599562314E-2</v>
      </c>
      <c r="K15" s="20">
        <f t="shared" si="2"/>
        <v>8.0846231863460627E-2</v>
      </c>
      <c r="L15" s="20">
        <f t="shared" si="2"/>
        <v>8.4304829947062287E-2</v>
      </c>
      <c r="M15" s="20">
        <f t="shared" si="2"/>
        <v>7.748183917609365E-2</v>
      </c>
      <c r="N15" s="20">
        <f t="shared" si="2"/>
        <v>7.7382439411216239E-2</v>
      </c>
      <c r="O15" s="20">
        <f t="shared" si="2"/>
        <v>8.3853990303941181E-2</v>
      </c>
      <c r="P15" s="20">
        <f t="shared" si="2"/>
        <v>9.6561846944156551E-2</v>
      </c>
      <c r="Q15" s="20">
        <f>SUM(E15:P15)</f>
        <v>1</v>
      </c>
    </row>
    <row r="16" spans="1:18" x14ac:dyDescent="0.2">
      <c r="A16" s="4">
        <f t="shared" si="0"/>
        <v>8</v>
      </c>
      <c r="B16" s="4"/>
      <c r="C16" s="3"/>
      <c r="D16" s="1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x14ac:dyDescent="0.2">
      <c r="A17" s="4">
        <f t="shared" si="0"/>
        <v>9</v>
      </c>
      <c r="B17" s="10" t="s">
        <v>52</v>
      </c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1"/>
    </row>
    <row r="18" spans="1:17" x14ac:dyDescent="0.2">
      <c r="A18" s="4">
        <f t="shared" si="0"/>
        <v>10</v>
      </c>
      <c r="B18" s="4"/>
      <c r="C18" s="3" t="str">
        <f>C10</f>
        <v>Weather-Normalized kWh Sales (Oct15-Sep16)</v>
      </c>
      <c r="D18" s="12" t="s">
        <v>1</v>
      </c>
      <c r="E18" s="13">
        <f>SUM('[53]Delivered kWh'!H8,'[53]Delivered kWh'!H12,'[53]Delivered kWh'!H15,'[53]Delivered kWh'!H19:H20)</f>
        <v>266899645.64547846</v>
      </c>
      <c r="F18" s="13">
        <f>SUM('[53]Delivered kWh'!I8,'[53]Delivered kWh'!I12,'[53]Delivered kWh'!I15,'[53]Delivered kWh'!I19:I20)</f>
        <v>244636526.67447519</v>
      </c>
      <c r="G18" s="13">
        <f>SUM('[53]Delivered kWh'!J8,'[53]Delivered kWh'!J12,'[53]Delivered kWh'!J15,'[53]Delivered kWh'!J19:J20)</f>
        <v>267852931.70652598</v>
      </c>
      <c r="H18" s="13">
        <f>SUM('[53]Delivered kWh'!K8,'[53]Delivered kWh'!K12,'[53]Delivered kWh'!K15,'[53]Delivered kWh'!K19:K20)</f>
        <v>213153714.52241391</v>
      </c>
      <c r="I18" s="13">
        <f>SUM('[53]Delivered kWh'!L8,'[53]Delivered kWh'!L12,'[53]Delivered kWh'!L15,'[53]Delivered kWh'!L19:L20)</f>
        <v>227931368.49373269</v>
      </c>
      <c r="J18" s="13">
        <f>SUM('[53]Delivered kWh'!M8,'[53]Delivered kWh'!M12,'[53]Delivered kWh'!M15,'[53]Delivered kWh'!M19:M20)</f>
        <v>242794300.80227262</v>
      </c>
      <c r="K18" s="13">
        <f>SUM('[53]Delivered kWh'!N8,'[53]Delivered kWh'!N12,'[53]Delivered kWh'!N15,'[53]Delivered kWh'!N19:N20)</f>
        <v>248750766.66181687</v>
      </c>
      <c r="L18" s="13">
        <f>SUM('[53]Delivered kWh'!O8,'[53]Delivered kWh'!O12,'[53]Delivered kWh'!O15,'[53]Delivered kWh'!O19:O20)</f>
        <v>236842863.53498957</v>
      </c>
      <c r="M18" s="13">
        <f>SUM('[53]Delivered kWh'!P8,'[53]Delivered kWh'!P12,'[53]Delivered kWh'!P15,'[53]Delivered kWh'!P19:P20)</f>
        <v>252934214.06788689</v>
      </c>
      <c r="N18" s="13">
        <f>SUM('[53]Delivered kWh'!E8,'[53]Delivered kWh'!E12,'[53]Delivered kWh'!E15,'[53]Delivered kWh'!E19:E20)</f>
        <v>240882424.52650315</v>
      </c>
      <c r="O18" s="13">
        <f>SUM('[53]Delivered kWh'!F8,'[53]Delivered kWh'!F12,'[53]Delivered kWh'!F15,'[53]Delivered kWh'!F19:F20)</f>
        <v>245826455.65272796</v>
      </c>
      <c r="P18" s="13">
        <f>SUM('[53]Delivered kWh'!G8,'[53]Delivered kWh'!G12,'[53]Delivered kWh'!G15,'[53]Delivered kWh'!G19:G20)</f>
        <v>280833396.03703481</v>
      </c>
      <c r="Q18" s="14">
        <f>SUM(E18:P18)</f>
        <v>2969338608.3258586</v>
      </c>
    </row>
    <row r="19" spans="1:17" x14ac:dyDescent="0.2">
      <c r="A19" s="4">
        <f t="shared" si="0"/>
        <v>11</v>
      </c>
      <c r="B19" s="4"/>
      <c r="C19" s="3" t="s">
        <v>45</v>
      </c>
      <c r="D19" s="16" t="s">
        <v>51</v>
      </c>
      <c r="E19" s="17">
        <f t="shared" ref="E19:P19" si="3">E18/$Q18</f>
        <v>8.9885217164895531E-2</v>
      </c>
      <c r="F19" s="17">
        <f t="shared" si="3"/>
        <v>8.2387547849385762E-2</v>
      </c>
      <c r="G19" s="17">
        <f t="shared" si="3"/>
        <v>9.0206260395995733E-2</v>
      </c>
      <c r="H19" s="17">
        <f t="shared" si="3"/>
        <v>7.1784913288347407E-2</v>
      </c>
      <c r="I19" s="17">
        <f t="shared" si="3"/>
        <v>7.6761662632421221E-2</v>
      </c>
      <c r="J19" s="17">
        <f t="shared" si="3"/>
        <v>8.1767131616950331E-2</v>
      </c>
      <c r="K19" s="17">
        <f t="shared" si="3"/>
        <v>8.3773122393092425E-2</v>
      </c>
      <c r="L19" s="17">
        <f t="shared" si="3"/>
        <v>7.9762834346643885E-2</v>
      </c>
      <c r="M19" s="17">
        <f t="shared" si="3"/>
        <v>8.5182004288319818E-2</v>
      </c>
      <c r="N19" s="17">
        <f t="shared" si="3"/>
        <v>8.1123258846627452E-2</v>
      </c>
      <c r="O19" s="17">
        <f t="shared" si="3"/>
        <v>8.2788286577840736E-2</v>
      </c>
      <c r="P19" s="17">
        <f t="shared" si="3"/>
        <v>9.4577760599479546E-2</v>
      </c>
      <c r="Q19" s="17">
        <f>SUM(E19:P19)</f>
        <v>0.99999999999999978</v>
      </c>
    </row>
    <row r="20" spans="1:17" x14ac:dyDescent="0.2">
      <c r="A20" s="4">
        <f t="shared" si="0"/>
        <v>12</v>
      </c>
      <c r="B20" s="4"/>
      <c r="C20" s="3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x14ac:dyDescent="0.2">
      <c r="A21" s="4">
        <f t="shared" si="0"/>
        <v>13</v>
      </c>
      <c r="B21" s="10" t="s">
        <v>50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x14ac:dyDescent="0.2">
      <c r="A22" s="4">
        <f t="shared" si="0"/>
        <v>14</v>
      </c>
      <c r="B22" s="4"/>
      <c r="C22" s="3" t="str">
        <f>C10</f>
        <v>Weather-Normalized kWh Sales (Oct15-Sep16)</v>
      </c>
      <c r="D22" s="12" t="s">
        <v>1</v>
      </c>
      <c r="E22" s="13">
        <f>SUM('[53]Delivered kWh'!H23,'[53]Delivered kWh'!H25:H26)</f>
        <v>115621423.69741865</v>
      </c>
      <c r="F22" s="13">
        <f>SUM('[53]Delivered kWh'!I23,'[53]Delivered kWh'!I25:I26)</f>
        <v>145181541.49764091</v>
      </c>
      <c r="G22" s="13">
        <f>SUM('[53]Delivered kWh'!J23,'[53]Delivered kWh'!J25:J26)</f>
        <v>59374585.51015459</v>
      </c>
      <c r="H22" s="13">
        <f>SUM('[53]Delivered kWh'!K23,'[53]Delivered kWh'!K25:K26)</f>
        <v>97238188.977565616</v>
      </c>
      <c r="I22" s="13">
        <f>SUM('[53]Delivered kWh'!L23,'[53]Delivered kWh'!L25:L26)</f>
        <v>112803030.12243524</v>
      </c>
      <c r="J22" s="13">
        <f>SUM('[53]Delivered kWh'!M23,'[53]Delivered kWh'!M25:M26)</f>
        <v>106257128.70070514</v>
      </c>
      <c r="K22" s="13">
        <f>SUM('[53]Delivered kWh'!N23,'[53]Delivered kWh'!N25:N26)</f>
        <v>108911585.06522964</v>
      </c>
      <c r="L22" s="13">
        <f>SUM('[53]Delivered kWh'!O23,'[53]Delivered kWh'!O25:O26)</f>
        <v>114970167.791201</v>
      </c>
      <c r="M22" s="13">
        <f>SUM('[53]Delivered kWh'!P23,'[53]Delivered kWh'!P25:P26)</f>
        <v>112641111.91485777</v>
      </c>
      <c r="N22" s="13">
        <f>SUM('[53]Delivered kWh'!E23,'[53]Delivered kWh'!E25:E26)</f>
        <v>113055486.08998695</v>
      </c>
      <c r="O22" s="13">
        <f>SUM('[53]Delivered kWh'!F23,'[53]Delivered kWh'!F25:F26)</f>
        <v>139484845.23100013</v>
      </c>
      <c r="P22" s="13">
        <f>SUM('[53]Delivered kWh'!G23,'[53]Delivered kWh'!G25:G26)</f>
        <v>81324175.515935257</v>
      </c>
      <c r="Q22" s="14">
        <f>SUM(E22:P22)</f>
        <v>1306863270.114131</v>
      </c>
    </row>
    <row r="23" spans="1:17" x14ac:dyDescent="0.2">
      <c r="A23" s="4">
        <f t="shared" si="0"/>
        <v>15</v>
      </c>
      <c r="B23" s="4"/>
      <c r="C23" s="3" t="s">
        <v>45</v>
      </c>
      <c r="D23" s="12" t="s">
        <v>49</v>
      </c>
      <c r="E23" s="20">
        <f t="shared" ref="E23:P23" si="4">E22/$Q22</f>
        <v>8.8472471712607845E-2</v>
      </c>
      <c r="F23" s="20">
        <f t="shared" si="4"/>
        <v>0.11109160752904312</v>
      </c>
      <c r="G23" s="20">
        <f t="shared" si="4"/>
        <v>4.5432897892194408E-2</v>
      </c>
      <c r="H23" s="20">
        <f t="shared" si="4"/>
        <v>7.4405786130230453E-2</v>
      </c>
      <c r="I23" s="20">
        <f t="shared" si="4"/>
        <v>8.6315862341577579E-2</v>
      </c>
      <c r="J23" s="20">
        <f t="shared" si="4"/>
        <v>8.1306997549503018E-2</v>
      </c>
      <c r="K23" s="20">
        <f t="shared" si="4"/>
        <v>8.3338163644095811E-2</v>
      </c>
      <c r="L23" s="20">
        <f t="shared" si="4"/>
        <v>8.7974136560713359E-2</v>
      </c>
      <c r="M23" s="20">
        <f t="shared" si="4"/>
        <v>8.6191963987954603E-2</v>
      </c>
      <c r="N23" s="20">
        <f t="shared" si="4"/>
        <v>8.6509039373425495E-2</v>
      </c>
      <c r="O23" s="20">
        <f t="shared" si="4"/>
        <v>0.10673254687065972</v>
      </c>
      <c r="P23" s="20">
        <f t="shared" si="4"/>
        <v>6.2228526407994506E-2</v>
      </c>
      <c r="Q23" s="20">
        <f>SUM(E23:P23)</f>
        <v>0.99999999999999989</v>
      </c>
    </row>
    <row r="24" spans="1:17" x14ac:dyDescent="0.2">
      <c r="A24" s="4">
        <f t="shared" si="0"/>
        <v>16</v>
      </c>
      <c r="B24" s="4"/>
      <c r="C24" s="3"/>
      <c r="D24" s="1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x14ac:dyDescent="0.2">
      <c r="A25" s="4">
        <f t="shared" si="0"/>
        <v>17</v>
      </c>
      <c r="B25" s="10" t="s">
        <v>48</v>
      </c>
      <c r="C25" s="3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1"/>
    </row>
    <row r="26" spans="1:17" x14ac:dyDescent="0.2">
      <c r="A26" s="4">
        <f t="shared" si="0"/>
        <v>18</v>
      </c>
      <c r="B26" s="4"/>
      <c r="C26" s="3" t="str">
        <f>C10</f>
        <v>Weather-Normalized kWh Sales (Oct15-Sep16)</v>
      </c>
      <c r="D26" s="12" t="s">
        <v>1</v>
      </c>
      <c r="E26" s="13">
        <f>SUM('[53]Delivered kWh'!H13:H14)</f>
        <v>152790646.34980652</v>
      </c>
      <c r="F26" s="13">
        <f>SUM('[53]Delivered kWh'!I13:I14)</f>
        <v>148134813.11820722</v>
      </c>
      <c r="G26" s="13">
        <f>SUM('[53]Delivered kWh'!J13:J14)</f>
        <v>153484936.86746776</v>
      </c>
      <c r="H26" s="13">
        <f>SUM('[53]Delivered kWh'!K13:K14)</f>
        <v>148866980.90693125</v>
      </c>
      <c r="I26" s="13">
        <f>SUM('[53]Delivered kWh'!L13:L14)</f>
        <v>135025834.28021634</v>
      </c>
      <c r="J26" s="13">
        <f>SUM('[53]Delivered kWh'!M13:M14)</f>
        <v>170111560.99076775</v>
      </c>
      <c r="K26" s="13">
        <f>SUM('[53]Delivered kWh'!N13:N14)</f>
        <v>166287552.0508343</v>
      </c>
      <c r="L26" s="13">
        <f>SUM('[53]Delivered kWh'!O13:O14)</f>
        <v>160287997.62628406</v>
      </c>
      <c r="M26" s="13">
        <f>SUM('[53]Delivered kWh'!P13:P14)</f>
        <v>160298394.31965962</v>
      </c>
      <c r="N26" s="13">
        <f>SUM('[53]Delivered kWh'!E13:E14)</f>
        <v>155415636.95407352</v>
      </c>
      <c r="O26" s="13">
        <f>SUM('[53]Delivered kWh'!F13:F14)</f>
        <v>149756405.22492501</v>
      </c>
      <c r="P26" s="13">
        <f>SUM('[53]Delivered kWh'!G13:G14)</f>
        <v>167221145.69247249</v>
      </c>
      <c r="Q26" s="14">
        <f>SUM(E26:P26)</f>
        <v>1867681904.3816459</v>
      </c>
    </row>
    <row r="27" spans="1:17" x14ac:dyDescent="0.2">
      <c r="A27" s="4">
        <f t="shared" si="0"/>
        <v>19</v>
      </c>
      <c r="B27" s="4"/>
      <c r="C27" s="3" t="s">
        <v>45</v>
      </c>
      <c r="D27" s="16" t="s">
        <v>47</v>
      </c>
      <c r="E27" s="17">
        <f t="shared" ref="E27:P27" si="5">E26/$Q26</f>
        <v>8.1807638651611073E-2</v>
      </c>
      <c r="F27" s="17">
        <f t="shared" si="5"/>
        <v>7.9314798077058976E-2</v>
      </c>
      <c r="G27" s="17">
        <f t="shared" si="5"/>
        <v>8.2179377819845453E-2</v>
      </c>
      <c r="H27" s="17">
        <f t="shared" si="5"/>
        <v>7.9706817610474351E-2</v>
      </c>
      <c r="I27" s="17">
        <f t="shared" si="5"/>
        <v>7.2295948235853807E-2</v>
      </c>
      <c r="J27" s="17">
        <f t="shared" si="5"/>
        <v>9.1081656138382122E-2</v>
      </c>
      <c r="K27" s="17">
        <f t="shared" si="5"/>
        <v>8.9034193489115024E-2</v>
      </c>
      <c r="L27" s="17">
        <f t="shared" si="5"/>
        <v>8.58218935731202E-2</v>
      </c>
      <c r="M27" s="17">
        <f t="shared" si="5"/>
        <v>8.5827460202721931E-2</v>
      </c>
      <c r="N27" s="17">
        <f t="shared" si="5"/>
        <v>8.3213119209145356E-2</v>
      </c>
      <c r="O27" s="17">
        <f t="shared" si="5"/>
        <v>8.0183035919334733E-2</v>
      </c>
      <c r="P27" s="17">
        <f t="shared" si="5"/>
        <v>8.9534061073336918E-2</v>
      </c>
      <c r="Q27" s="17">
        <f>SUM(E27:P27)</f>
        <v>1</v>
      </c>
    </row>
    <row r="28" spans="1:17" x14ac:dyDescent="0.2">
      <c r="A28" s="4">
        <f t="shared" si="0"/>
        <v>20</v>
      </c>
      <c r="B28" s="4"/>
      <c r="C28" s="3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x14ac:dyDescent="0.2">
      <c r="A29" s="4">
        <f t="shared" si="0"/>
        <v>21</v>
      </c>
      <c r="B29" s="10" t="s">
        <v>46</v>
      </c>
      <c r="C29" s="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x14ac:dyDescent="0.2">
      <c r="A30" s="4">
        <f t="shared" si="0"/>
        <v>22</v>
      </c>
      <c r="B30" s="4"/>
      <c r="C30" s="3" t="str">
        <f>C10</f>
        <v>Weather-Normalized kWh Sales (Oct15-Sep16)</v>
      </c>
      <c r="D30" s="12" t="s">
        <v>1</v>
      </c>
      <c r="E30" s="13">
        <f>'[53]Delivered kWh'!H18</f>
        <v>102842532.38647696</v>
      </c>
      <c r="F30" s="13">
        <f>'[53]Delivered kWh'!I18</f>
        <v>111373881.29066783</v>
      </c>
      <c r="G30" s="13">
        <f>'[53]Delivered kWh'!J18</f>
        <v>104689533.21365285</v>
      </c>
      <c r="H30" s="13">
        <f>'[53]Delivered kWh'!K18</f>
        <v>94025993.209115341</v>
      </c>
      <c r="I30" s="13">
        <f>'[53]Delivered kWh'!L18</f>
        <v>87352600.915264264</v>
      </c>
      <c r="J30" s="13">
        <f>'[53]Delivered kWh'!M18</f>
        <v>113833167.48060417</v>
      </c>
      <c r="K30" s="13">
        <f>'[53]Delivered kWh'!N18</f>
        <v>109461832.76293805</v>
      </c>
      <c r="L30" s="13">
        <f>'[53]Delivered kWh'!O18</f>
        <v>113953401.3090072</v>
      </c>
      <c r="M30" s="13">
        <f>'[53]Delivered kWh'!P18</f>
        <v>108312368.9765002</v>
      </c>
      <c r="N30" s="13">
        <f>'[53]Delivered kWh'!E18</f>
        <v>105029055.36138692</v>
      </c>
      <c r="O30" s="13">
        <f>'[53]Delivered kWh'!F18</f>
        <v>101436461.90904701</v>
      </c>
      <c r="P30" s="13">
        <f>'[53]Delivered kWh'!G18</f>
        <v>112223545.64403586</v>
      </c>
      <c r="Q30" s="14">
        <f>SUM(E30:P30)</f>
        <v>1264534374.4586964</v>
      </c>
    </row>
    <row r="31" spans="1:17" x14ac:dyDescent="0.2">
      <c r="A31" s="4">
        <f t="shared" si="0"/>
        <v>23</v>
      </c>
      <c r="B31" s="4"/>
      <c r="C31" s="3" t="s">
        <v>45</v>
      </c>
      <c r="D31" s="12" t="s">
        <v>44</v>
      </c>
      <c r="E31" s="20">
        <f t="shared" ref="E31:P31" si="6">E30/$Q30</f>
        <v>8.1328380203583087E-2</v>
      </c>
      <c r="F31" s="20">
        <f t="shared" si="6"/>
        <v>8.8075012858660456E-2</v>
      </c>
      <c r="G31" s="20">
        <f t="shared" si="6"/>
        <v>8.2788997537901518E-2</v>
      </c>
      <c r="H31" s="20">
        <f t="shared" si="6"/>
        <v>7.4356217678435699E-2</v>
      </c>
      <c r="I31" s="20">
        <f t="shared" si="6"/>
        <v>6.9078866244863368E-2</v>
      </c>
      <c r="J31" s="20">
        <f t="shared" si="6"/>
        <v>9.0019828467954643E-2</v>
      </c>
      <c r="K31" s="20">
        <f t="shared" si="6"/>
        <v>8.6562955482957823E-2</v>
      </c>
      <c r="L31" s="20">
        <f t="shared" si="6"/>
        <v>9.0114909970546844E-2</v>
      </c>
      <c r="M31" s="20">
        <f t="shared" si="6"/>
        <v>8.5653953869672381E-2</v>
      </c>
      <c r="N31" s="20">
        <f t="shared" si="6"/>
        <v>8.3057493321481476E-2</v>
      </c>
      <c r="O31" s="20">
        <f t="shared" si="6"/>
        <v>8.0216452757536513E-2</v>
      </c>
      <c r="P31" s="20">
        <f t="shared" si="6"/>
        <v>8.8746931606406426E-2</v>
      </c>
      <c r="Q31" s="20">
        <f>SUM(E31:P31)</f>
        <v>1.0000000000000002</v>
      </c>
    </row>
    <row r="32" spans="1:17" x14ac:dyDescent="0.2">
      <c r="A32" s="4">
        <f t="shared" si="0"/>
        <v>24</v>
      </c>
      <c r="B32" s="4"/>
      <c r="C32" s="3"/>
      <c r="D32" s="12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x14ac:dyDescent="0.2">
      <c r="A33" s="4">
        <f t="shared" si="0"/>
        <v>25</v>
      </c>
      <c r="B33" s="8" t="s">
        <v>43</v>
      </c>
      <c r="D33" s="4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">
      <c r="A34" s="4">
        <f t="shared" si="0"/>
        <v>26</v>
      </c>
      <c r="B34" s="10" t="str">
        <f>B9</f>
        <v>Schedule 7</v>
      </c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">
      <c r="A35" s="4">
        <f t="shared" si="0"/>
        <v>27</v>
      </c>
      <c r="B35" s="4"/>
      <c r="C35" s="3" t="s">
        <v>42</v>
      </c>
      <c r="D35" s="4" t="s">
        <v>37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1">
        <f>'JAP-47 Page 1'!D12</f>
        <v>318871735.25729722</v>
      </c>
    </row>
    <row r="36" spans="1:17" x14ac:dyDescent="0.2">
      <c r="A36" s="4">
        <f t="shared" si="0"/>
        <v>28</v>
      </c>
      <c r="B36" s="4"/>
      <c r="C36" s="3" t="s">
        <v>41</v>
      </c>
      <c r="D36" s="4" t="str">
        <f>"("&amp;A$11&amp;") x ("&amp;A35&amp;")"</f>
        <v>(3) x (27)</v>
      </c>
      <c r="E36" s="22">
        <f t="shared" ref="E36:P36" si="7">$Q35*E$11</f>
        <v>37431437.553263448</v>
      </c>
      <c r="F36" s="22">
        <f t="shared" si="7"/>
        <v>31724668.091604743</v>
      </c>
      <c r="G36" s="22">
        <f t="shared" si="7"/>
        <v>30570975.566655345</v>
      </c>
      <c r="H36" s="22">
        <f t="shared" si="7"/>
        <v>24302965.960158154</v>
      </c>
      <c r="I36" s="22">
        <f t="shared" si="7"/>
        <v>21850436.275049049</v>
      </c>
      <c r="J36" s="22">
        <f t="shared" si="7"/>
        <v>18891961.047298998</v>
      </c>
      <c r="K36" s="22">
        <f t="shared" si="7"/>
        <v>21168634.256193865</v>
      </c>
      <c r="L36" s="22">
        <f t="shared" si="7"/>
        <v>20514872.146320041</v>
      </c>
      <c r="M36" s="22">
        <f t="shared" si="7"/>
        <v>18794889.098516345</v>
      </c>
      <c r="N36" s="22">
        <f t="shared" si="7"/>
        <v>24074384.354914654</v>
      </c>
      <c r="O36" s="22">
        <f t="shared" si="7"/>
        <v>31408469.748097695</v>
      </c>
      <c r="P36" s="22">
        <f t="shared" si="7"/>
        <v>38138041.159224913</v>
      </c>
      <c r="Q36" s="23">
        <f>SUM(E36:P36)</f>
        <v>318871735.25729728</v>
      </c>
    </row>
    <row r="37" spans="1:17" x14ac:dyDescent="0.2">
      <c r="A37" s="4">
        <f t="shared" si="0"/>
        <v>29</v>
      </c>
      <c r="B37" s="4"/>
      <c r="C37" s="3"/>
      <c r="D37" s="2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3"/>
    </row>
    <row r="38" spans="1:17" x14ac:dyDescent="0.2">
      <c r="A38" s="4">
        <f t="shared" si="0"/>
        <v>30</v>
      </c>
      <c r="B38" s="10" t="str">
        <f>B13</f>
        <v>Schedules 8 &amp; 24</v>
      </c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23"/>
    </row>
    <row r="39" spans="1:17" x14ac:dyDescent="0.2">
      <c r="A39" s="4">
        <f t="shared" si="0"/>
        <v>31</v>
      </c>
      <c r="B39" s="4"/>
      <c r="C39" s="3" t="s">
        <v>42</v>
      </c>
      <c r="D39" s="4" t="str">
        <f>$D$35</f>
        <v>JAP-47 Page 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21">
        <f>'JAP-47 Page 1'!E12</f>
        <v>78172143.303379104</v>
      </c>
    </row>
    <row r="40" spans="1:17" x14ac:dyDescent="0.2">
      <c r="A40" s="4">
        <f t="shared" si="0"/>
        <v>32</v>
      </c>
      <c r="B40" s="4"/>
      <c r="C40" s="3" t="s">
        <v>41</v>
      </c>
      <c r="D40" s="4" t="str">
        <f>"("&amp;A$15&amp;") x ("&amp;A39&amp;")"</f>
        <v>(7) x (31)</v>
      </c>
      <c r="E40" s="22">
        <f t="shared" ref="E40:P40" si="8">$Q39*E$15</f>
        <v>7898080.1656840062</v>
      </c>
      <c r="F40" s="22">
        <f t="shared" si="8"/>
        <v>6423980.6708873762</v>
      </c>
      <c r="G40" s="22">
        <f t="shared" si="8"/>
        <v>7108480.5777608734</v>
      </c>
      <c r="H40" s="22">
        <f t="shared" si="8"/>
        <v>5724730.6960761379</v>
      </c>
      <c r="I40" s="22">
        <f t="shared" si="8"/>
        <v>6173465.7259182651</v>
      </c>
      <c r="J40" s="22">
        <f t="shared" si="8"/>
        <v>5723627.7346359948</v>
      </c>
      <c r="K40" s="22">
        <f t="shared" si="8"/>
        <v>6319923.2227686578</v>
      </c>
      <c r="L40" s="22">
        <f t="shared" si="8"/>
        <v>6590289.2477887589</v>
      </c>
      <c r="M40" s="22">
        <f t="shared" si="8"/>
        <v>6056921.4354829658</v>
      </c>
      <c r="N40" s="22">
        <f t="shared" si="8"/>
        <v>6049151.1428186465</v>
      </c>
      <c r="O40" s="22">
        <f t="shared" si="8"/>
        <v>6555046.1465998515</v>
      </c>
      <c r="P40" s="22">
        <f t="shared" si="8"/>
        <v>7548446.5369575657</v>
      </c>
      <c r="Q40" s="23">
        <f>SUM(E40:P40)</f>
        <v>78172143.303379089</v>
      </c>
    </row>
    <row r="41" spans="1:17" x14ac:dyDescent="0.2">
      <c r="A41" s="4">
        <f t="shared" si="0"/>
        <v>33</v>
      </c>
      <c r="B41" s="4"/>
      <c r="C41" s="3"/>
      <c r="D41" s="24"/>
      <c r="E41" s="4"/>
      <c r="F41" s="4"/>
      <c r="G41" s="4"/>
      <c r="H41" s="4"/>
      <c r="I41" s="3"/>
      <c r="J41" s="3"/>
      <c r="K41" s="3"/>
      <c r="L41" s="3"/>
      <c r="M41" s="3"/>
      <c r="N41" s="3"/>
      <c r="O41" s="3"/>
      <c r="P41" s="3"/>
      <c r="Q41" s="23"/>
    </row>
    <row r="42" spans="1:17" x14ac:dyDescent="0.2">
      <c r="A42" s="4">
        <f t="shared" si="0"/>
        <v>34</v>
      </c>
      <c r="B42" s="10" t="str">
        <f>B17</f>
        <v>Schedules 7A, 11, 25, 29, 35 &amp; 43</v>
      </c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3"/>
    </row>
    <row r="43" spans="1:17" x14ac:dyDescent="0.2">
      <c r="A43" s="4">
        <f t="shared" si="0"/>
        <v>35</v>
      </c>
      <c r="B43" s="4"/>
      <c r="C43" s="3" t="s">
        <v>42</v>
      </c>
      <c r="D43" s="4" t="str">
        <f>$D$35</f>
        <v>JAP-47 Page 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21">
        <f>'JAP-47 Page 1'!F12</f>
        <v>81305119.710342407</v>
      </c>
    </row>
    <row r="44" spans="1:17" x14ac:dyDescent="0.2">
      <c r="A44" s="4">
        <f t="shared" si="0"/>
        <v>36</v>
      </c>
      <c r="B44" s="4"/>
      <c r="C44" s="3" t="s">
        <v>41</v>
      </c>
      <c r="D44" s="4" t="str">
        <f>"("&amp;A$19&amp;") x ("&amp;A43&amp;")"</f>
        <v>(11) x (35)</v>
      </c>
      <c r="E44" s="22">
        <f t="shared" ref="E44:P44" si="9">$Q43*E$19</f>
        <v>7308128.3417819552</v>
      </c>
      <c r="F44" s="22">
        <f t="shared" si="9"/>
        <v>6698529.4405358722</v>
      </c>
      <c r="G44" s="22">
        <f t="shared" si="9"/>
        <v>7334230.8001187528</v>
      </c>
      <c r="H44" s="22">
        <f t="shared" si="9"/>
        <v>5836480.9683056353</v>
      </c>
      <c r="I44" s="22">
        <f t="shared" si="9"/>
        <v>6241116.1694939248</v>
      </c>
      <c r="J44" s="22">
        <f t="shared" si="9"/>
        <v>6648086.4244874697</v>
      </c>
      <c r="K44" s="22">
        <f t="shared" si="9"/>
        <v>6811183.744679546</v>
      </c>
      <c r="L44" s="22">
        <f t="shared" si="9"/>
        <v>6485126.7949900925</v>
      </c>
      <c r="M44" s="22">
        <f t="shared" si="9"/>
        <v>6925733.0558287427</v>
      </c>
      <c r="N44" s="22">
        <f t="shared" si="9"/>
        <v>6595736.2718181387</v>
      </c>
      <c r="O44" s="22">
        <f t="shared" si="9"/>
        <v>6731111.5508254748</v>
      </c>
      <c r="P44" s="22">
        <f t="shared" si="9"/>
        <v>7689656.1474767895</v>
      </c>
      <c r="Q44" s="23">
        <f>SUM(E44:P44)</f>
        <v>81305119.710342392</v>
      </c>
    </row>
    <row r="45" spans="1:17" x14ac:dyDescent="0.2">
      <c r="A45" s="4">
        <f t="shared" si="0"/>
        <v>37</v>
      </c>
    </row>
    <row r="46" spans="1:17" x14ac:dyDescent="0.2">
      <c r="A46" s="4">
        <f t="shared" si="0"/>
        <v>38</v>
      </c>
      <c r="B46" s="10" t="str">
        <f>B21</f>
        <v>Schedules 40, 46 &amp; 49</v>
      </c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23"/>
    </row>
    <row r="47" spans="1:17" x14ac:dyDescent="0.2">
      <c r="A47" s="4">
        <f t="shared" si="0"/>
        <v>39</v>
      </c>
      <c r="B47" s="4"/>
      <c r="C47" s="3" t="s">
        <v>42</v>
      </c>
      <c r="D47" s="4" t="str">
        <f>$D$35</f>
        <v>JAP-47 Page 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21">
        <f>'JAP-47 Page 1'!G12</f>
        <v>32569996.517841838</v>
      </c>
    </row>
    <row r="48" spans="1:17" x14ac:dyDescent="0.2">
      <c r="A48" s="4">
        <f t="shared" si="0"/>
        <v>40</v>
      </c>
      <c r="B48" s="4"/>
      <c r="C48" s="3" t="s">
        <v>41</v>
      </c>
      <c r="D48" s="4" t="str">
        <f>"("&amp;A$23&amp;") x ("&amp;A47&amp;")"</f>
        <v>(15) x (39)</v>
      </c>
      <c r="E48" s="22">
        <f t="shared" ref="E48:P48" si="10">$Q47*E$23</f>
        <v>2881548.0956044979</v>
      </c>
      <c r="F48" s="22">
        <f t="shared" si="10"/>
        <v>3618253.2703823866</v>
      </c>
      <c r="G48" s="22">
        <f t="shared" si="10"/>
        <v>1479749.3261442357</v>
      </c>
      <c r="H48" s="22">
        <f t="shared" si="10"/>
        <v>2423396.1951688905</v>
      </c>
      <c r="I48" s="22">
        <f t="shared" si="10"/>
        <v>2811307.3358996972</v>
      </c>
      <c r="J48" s="22">
        <f t="shared" si="10"/>
        <v>2648168.6270634881</v>
      </c>
      <c r="K48" s="22">
        <f t="shared" si="10"/>
        <v>2714323.699691534</v>
      </c>
      <c r="L48" s="22">
        <f t="shared" si="10"/>
        <v>2865317.3214425766</v>
      </c>
      <c r="M48" s="22">
        <f t="shared" si="10"/>
        <v>2807271.9669536306</v>
      </c>
      <c r="N48" s="22">
        <f t="shared" si="10"/>
        <v>2817599.1111543109</v>
      </c>
      <c r="O48" s="22">
        <f t="shared" si="10"/>
        <v>3476278.6799177779</v>
      </c>
      <c r="P48" s="22">
        <f t="shared" si="10"/>
        <v>2026782.88841881</v>
      </c>
      <c r="Q48" s="23">
        <f>SUM(E48:P48)</f>
        <v>32569996.517841838</v>
      </c>
    </row>
    <row r="49" spans="1:17" x14ac:dyDescent="0.2">
      <c r="A49" s="4">
        <f t="shared" si="0"/>
        <v>41</v>
      </c>
    </row>
    <row r="50" spans="1:17" x14ac:dyDescent="0.2">
      <c r="A50" s="4">
        <f t="shared" si="0"/>
        <v>42</v>
      </c>
      <c r="B50" s="10" t="str">
        <f>B25</f>
        <v>Schedules 12 &amp; 26</v>
      </c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3"/>
    </row>
    <row r="51" spans="1:17" x14ac:dyDescent="0.2">
      <c r="A51" s="4">
        <f t="shared" si="0"/>
        <v>43</v>
      </c>
      <c r="B51" s="4"/>
      <c r="C51" s="3" t="s">
        <v>42</v>
      </c>
      <c r="D51" s="4" t="str">
        <f>$D$35</f>
        <v>JAP-47 Page 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21">
        <f>'JAP-47 Page 1'!H12</f>
        <v>50355659.093656369</v>
      </c>
    </row>
    <row r="52" spans="1:17" x14ac:dyDescent="0.2">
      <c r="A52" s="4">
        <f t="shared" si="0"/>
        <v>44</v>
      </c>
      <c r="B52" s="4"/>
      <c r="C52" s="3" t="s">
        <v>41</v>
      </c>
      <c r="D52" s="4" t="str">
        <f>"("&amp;A$27&amp;") x ("&amp;A51&amp;")"</f>
        <v>(19) x (43)</v>
      </c>
      <c r="E52" s="22">
        <f t="shared" ref="E52:P52" si="11">$Q51*E$27</f>
        <v>4119477.5631975532</v>
      </c>
      <c r="F52" s="22">
        <f t="shared" si="11"/>
        <v>3993948.9330505733</v>
      </c>
      <c r="G52" s="22">
        <f t="shared" si="11"/>
        <v>4138196.7340249233</v>
      </c>
      <c r="H52" s="22">
        <f t="shared" si="11"/>
        <v>4013689.3350332924</v>
      </c>
      <c r="I52" s="22">
        <f t="shared" si="11"/>
        <v>3640510.1232172819</v>
      </c>
      <c r="J52" s="22">
        <f t="shared" si="11"/>
        <v>4586476.8261900041</v>
      </c>
      <c r="K52" s="22">
        <f t="shared" si="11"/>
        <v>4483375.4950165153</v>
      </c>
      <c r="L52" s="22">
        <f t="shared" si="11"/>
        <v>4321618.0155400997</v>
      </c>
      <c r="M52" s="22">
        <f t="shared" si="11"/>
        <v>4321898.3268426247</v>
      </c>
      <c r="N52" s="22">
        <f t="shared" si="11"/>
        <v>4190251.4630155116</v>
      </c>
      <c r="O52" s="22">
        <f t="shared" si="11"/>
        <v>4037669.6218484235</v>
      </c>
      <c r="P52" s="22">
        <f t="shared" si="11"/>
        <v>4508546.6566795632</v>
      </c>
      <c r="Q52" s="23">
        <f>SUM(E52:P52)</f>
        <v>50355659.093656376</v>
      </c>
    </row>
    <row r="53" spans="1:17" x14ac:dyDescent="0.2">
      <c r="A53" s="4">
        <f t="shared" si="0"/>
        <v>45</v>
      </c>
    </row>
    <row r="54" spans="1:17" x14ac:dyDescent="0.2">
      <c r="A54" s="4">
        <f t="shared" si="0"/>
        <v>46</v>
      </c>
      <c r="B54" s="10" t="str">
        <f>B29</f>
        <v>Schedules 10 &amp; 31</v>
      </c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3"/>
    </row>
    <row r="55" spans="1:17" x14ac:dyDescent="0.2">
      <c r="A55" s="4">
        <f t="shared" si="0"/>
        <v>47</v>
      </c>
      <c r="B55" s="4"/>
      <c r="C55" s="3" t="s">
        <v>42</v>
      </c>
      <c r="D55" s="4" t="str">
        <f>$D$35</f>
        <v>JAP-47 Page 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21">
        <f>'JAP-47 Page 1'!I12</f>
        <v>33187499.829842702</v>
      </c>
    </row>
    <row r="56" spans="1:17" x14ac:dyDescent="0.2">
      <c r="A56" s="4">
        <f t="shared" si="0"/>
        <v>48</v>
      </c>
      <c r="B56" s="4"/>
      <c r="C56" s="3" t="s">
        <v>41</v>
      </c>
      <c r="D56" s="4" t="str">
        <f>"("&amp;A$31&amp;") x ("&amp;A55&amp;")"</f>
        <v>(23) x (47)</v>
      </c>
      <c r="E56" s="22">
        <f t="shared" ref="E56:P56" si="12">$Q55*E$31</f>
        <v>2699085.6041677962</v>
      </c>
      <c r="F56" s="22">
        <f t="shared" si="12"/>
        <v>2922989.4742601877</v>
      </c>
      <c r="G56" s="22">
        <f t="shared" si="12"/>
        <v>2747559.8417019546</v>
      </c>
      <c r="H56" s="22">
        <f t="shared" si="12"/>
        <v>2467696.9615508318</v>
      </c>
      <c r="I56" s="22">
        <f t="shared" si="12"/>
        <v>2292554.8617471298</v>
      </c>
      <c r="J56" s="22">
        <f t="shared" si="12"/>
        <v>2987533.0419627139</v>
      </c>
      <c r="K56" s="22">
        <f t="shared" si="12"/>
        <v>2872808.0703613441</v>
      </c>
      <c r="L56" s="22">
        <f t="shared" si="12"/>
        <v>2990688.5593138137</v>
      </c>
      <c r="M56" s="22">
        <f t="shared" si="12"/>
        <v>2842640.5794751067</v>
      </c>
      <c r="N56" s="22">
        <f t="shared" si="12"/>
        <v>2756470.545473828</v>
      </c>
      <c r="O56" s="22">
        <f t="shared" si="12"/>
        <v>2662183.5122413281</v>
      </c>
      <c r="P56" s="22">
        <f t="shared" si="12"/>
        <v>2945288.7775866752</v>
      </c>
      <c r="Q56" s="23">
        <f>SUM(E56:P56)</f>
        <v>33187499.829842709</v>
      </c>
    </row>
  </sheetData>
  <mergeCells count="3">
    <mergeCell ref="A1:Q1"/>
    <mergeCell ref="A2:Q2"/>
    <mergeCell ref="A3:Q3"/>
  </mergeCells>
  <printOptions horizontalCentered="1"/>
  <pageMargins left="0.45" right="0.45" top="0.75" bottom="0.75" header="0.3" footer="0.3"/>
  <pageSetup scale="49" orientation="landscape" blackAndWhite="1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8ADDBAC-CE6C-455E-9CDB-69620541B0BE}"/>
</file>

<file path=customXml/itemProps2.xml><?xml version="1.0" encoding="utf-8"?>
<ds:datastoreItem xmlns:ds="http://schemas.openxmlformats.org/officeDocument/2006/customXml" ds:itemID="{2DFDE72A-7590-4968-A5C9-5FF2EFAFE06B}"/>
</file>

<file path=customXml/itemProps3.xml><?xml version="1.0" encoding="utf-8"?>
<ds:datastoreItem xmlns:ds="http://schemas.openxmlformats.org/officeDocument/2006/customXml" ds:itemID="{366C55FF-1B2F-49C3-AB5A-52D47B784F9F}"/>
</file>

<file path=customXml/itemProps4.xml><?xml version="1.0" encoding="utf-8"?>
<ds:datastoreItem xmlns:ds="http://schemas.openxmlformats.org/officeDocument/2006/customXml" ds:itemID="{9D717B05-61D1-4A8B-9B30-7714EDF457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JAP-47 Page 1</vt:lpstr>
      <vt:lpstr>JAP-47 Page 2</vt:lpstr>
      <vt:lpstr>JAP-47 Page 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dcterms:created xsi:type="dcterms:W3CDTF">2017-08-02T23:36:00Z</dcterms:created>
  <dcterms:modified xsi:type="dcterms:W3CDTF">2017-08-03T17:45:24Z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