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920E35EB-D7CC-466E-9627-8C03ACF33628}" xr6:coauthVersionLast="45" xr6:coauthVersionMax="45" xr10:uidLastSave="{00000000-0000-0000-0000-000000000000}"/>
  <bookViews>
    <workbookView xWindow="-120" yWindow="-120" windowWidth="29040" windowHeight="15840" xr2:uid="{28D56534-A793-466D-A358-B9F00ADF928F}"/>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externalReferences>
    <externalReference r:id="rId7"/>
  </externalReferences>
  <definedNames>
    <definedName name="Current_Month">[1]Summary!$K$1</definedName>
    <definedName name="_xlnm.Print_Area" localSheetId="3">'Accounting Balances'!$A$1:$H$200</definedName>
    <definedName name="_xlnm.Print_Area" localSheetId="0">'Electric Deferral'!$A$1:$U$65</definedName>
    <definedName name="_xlnm.Print_Area" localSheetId="4">'Interest Reconciliation'!$A$1:$R$190</definedName>
    <definedName name="_xlnm.Print_Area" localSheetId="5">Notes!$A$1:$J$35</definedName>
    <definedName name="_xlnm.Print_Titles" localSheetId="0">'Electric Deferral'!$1:$7</definedName>
    <definedName name="_xlnm.Print_Titles" localSheetId="4">'Interest Reconciliation'!$1:$2</definedName>
    <definedName name="_xlnm.Print_Titles" localSheetId="2">'Nat Gas Deferral'!$1:$7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2" i="3" l="1"/>
  <c r="U26" i="2"/>
  <c r="U9" i="1"/>
  <c r="R9" i="1"/>
  <c r="K94" i="3" l="1"/>
  <c r="J94" i="3"/>
  <c r="J87" i="3"/>
  <c r="I87" i="3"/>
  <c r="J86" i="3"/>
  <c r="I86" i="3"/>
  <c r="J85" i="3"/>
  <c r="I85" i="3"/>
  <c r="J83" i="3"/>
  <c r="J82" i="3"/>
  <c r="J81" i="3"/>
  <c r="I83" i="3"/>
  <c r="I82" i="3"/>
  <c r="I81" i="3"/>
  <c r="J78" i="3"/>
  <c r="I78" i="3"/>
  <c r="J77" i="3"/>
  <c r="I77" i="3"/>
  <c r="J76" i="3"/>
  <c r="I76" i="3"/>
  <c r="J74" i="3"/>
  <c r="I74" i="3"/>
  <c r="J73" i="3"/>
  <c r="I73" i="3"/>
  <c r="J72" i="3"/>
  <c r="I72" i="3"/>
  <c r="J66" i="3"/>
  <c r="I66" i="3"/>
  <c r="J65" i="3"/>
  <c r="I65" i="3"/>
  <c r="J64" i="3"/>
  <c r="I64" i="3"/>
  <c r="J62" i="3"/>
  <c r="I62" i="3"/>
  <c r="J61" i="3"/>
  <c r="I61" i="3"/>
  <c r="J60" i="3"/>
  <c r="I60" i="3"/>
  <c r="J57" i="3"/>
  <c r="I57" i="3"/>
  <c r="J56" i="3"/>
  <c r="I56" i="3"/>
  <c r="J55" i="3"/>
  <c r="I55" i="3"/>
  <c r="J52" i="3"/>
  <c r="J53" i="3"/>
  <c r="I52" i="3"/>
  <c r="I53" i="3"/>
  <c r="I51" i="3"/>
  <c r="J51" i="3"/>
  <c r="I42" i="3"/>
  <c r="J42" i="3"/>
  <c r="I43" i="3"/>
  <c r="J43" i="3"/>
  <c r="J41" i="3"/>
  <c r="I41" i="3"/>
  <c r="J39" i="3"/>
  <c r="I39" i="3"/>
  <c r="J38" i="3"/>
  <c r="I38" i="3"/>
  <c r="J37" i="3"/>
  <c r="I37" i="3"/>
  <c r="J34" i="3"/>
  <c r="I34" i="3"/>
  <c r="J33" i="3"/>
  <c r="I33" i="3"/>
  <c r="J32" i="3"/>
  <c r="I32" i="3"/>
  <c r="J30" i="3"/>
  <c r="J29" i="3"/>
  <c r="J28" i="3"/>
  <c r="I30" i="3"/>
  <c r="I29" i="3"/>
  <c r="I28" i="3"/>
  <c r="J20" i="3"/>
  <c r="J21" i="3"/>
  <c r="J19" i="3"/>
  <c r="I21" i="3"/>
  <c r="I20" i="3"/>
  <c r="I19" i="3"/>
  <c r="J17" i="3"/>
  <c r="J16" i="3"/>
  <c r="J15" i="3"/>
  <c r="I17" i="3"/>
  <c r="I16" i="3"/>
  <c r="I15" i="3"/>
  <c r="J12" i="3"/>
  <c r="J11" i="3"/>
  <c r="J10" i="3"/>
  <c r="I12" i="3"/>
  <c r="I11" i="3"/>
  <c r="I10" i="3"/>
  <c r="V46" i="7"/>
  <c r="U46" i="7"/>
  <c r="V29" i="7"/>
  <c r="U29" i="7"/>
  <c r="J8" i="3"/>
  <c r="J7" i="3"/>
  <c r="J6" i="3"/>
  <c r="I6" i="3"/>
  <c r="I8" i="3"/>
  <c r="I7" i="3"/>
  <c r="L8" i="7"/>
  <c r="C8" i="7"/>
  <c r="F8" i="7"/>
  <c r="H8" i="7"/>
  <c r="F31" i="3" l="1"/>
  <c r="H179" i="7"/>
  <c r="Q179" i="7" s="1"/>
  <c r="Q178" i="7"/>
  <c r="M178" i="7" s="1"/>
  <c r="O178" i="7" s="1"/>
  <c r="D178" i="7"/>
  <c r="F178" i="7" s="1"/>
  <c r="J176" i="7"/>
  <c r="J175" i="7"/>
  <c r="Q167" i="7"/>
  <c r="Q166" i="7"/>
  <c r="Q163" i="7"/>
  <c r="H163" i="7"/>
  <c r="H164" i="7" s="1"/>
  <c r="H165" i="7" s="1"/>
  <c r="H166" i="7" s="1"/>
  <c r="H167" i="7" s="1"/>
  <c r="H168" i="7" s="1"/>
  <c r="Q162" i="7"/>
  <c r="M162" i="7"/>
  <c r="O162" i="7" s="1"/>
  <c r="D162" i="7"/>
  <c r="F162" i="7" s="1"/>
  <c r="J160" i="7"/>
  <c r="J159" i="7"/>
  <c r="H146" i="7"/>
  <c r="Q146" i="7" s="1"/>
  <c r="M146" i="7" s="1"/>
  <c r="D146" i="7"/>
  <c r="J144" i="7"/>
  <c r="J143" i="7"/>
  <c r="H130" i="7"/>
  <c r="Q130" i="7" s="1"/>
  <c r="M130" i="7" s="1"/>
  <c r="J128" i="7"/>
  <c r="J127" i="7"/>
  <c r="H114" i="7"/>
  <c r="Q114" i="7" s="1"/>
  <c r="M114" i="7" s="1"/>
  <c r="D114" i="7"/>
  <c r="J112" i="7"/>
  <c r="J111" i="7"/>
  <c r="H98" i="7"/>
  <c r="Q98" i="7" s="1"/>
  <c r="M98" i="7" s="1"/>
  <c r="J96" i="7"/>
  <c r="J95" i="7"/>
  <c r="H81" i="7"/>
  <c r="Q81" i="7" s="1"/>
  <c r="M81" i="7" s="1"/>
  <c r="A80" i="7"/>
  <c r="J80" i="7" s="1"/>
  <c r="J78" i="7"/>
  <c r="J77" i="7"/>
  <c r="H63" i="7"/>
  <c r="Q63" i="7" s="1"/>
  <c r="M63" i="7" s="1"/>
  <c r="D63" i="7"/>
  <c r="J62" i="7"/>
  <c r="J60" i="7"/>
  <c r="J59" i="7"/>
  <c r="H44" i="7"/>
  <c r="Q44" i="7" s="1"/>
  <c r="H43" i="7"/>
  <c r="J41" i="7"/>
  <c r="J40" i="7"/>
  <c r="H27" i="7"/>
  <c r="Q26" i="7"/>
  <c r="M26" i="7" s="1"/>
  <c r="D26" i="7"/>
  <c r="A26" i="7"/>
  <c r="A43" i="7" s="1"/>
  <c r="J43" i="7" s="1"/>
  <c r="A25" i="7"/>
  <c r="A61" i="7" s="1"/>
  <c r="J61" i="7" s="1"/>
  <c r="J24" i="7"/>
  <c r="J23" i="7"/>
  <c r="N21" i="7"/>
  <c r="M21" i="7"/>
  <c r="E21" i="7"/>
  <c r="D21" i="7"/>
  <c r="N20" i="7"/>
  <c r="M20" i="7"/>
  <c r="E20" i="7"/>
  <c r="D20" i="7"/>
  <c r="N19" i="7"/>
  <c r="M19" i="7"/>
  <c r="E19" i="7"/>
  <c r="D19" i="7"/>
  <c r="N18" i="7"/>
  <c r="M18" i="7"/>
  <c r="E18" i="7"/>
  <c r="D18" i="7"/>
  <c r="N17" i="7"/>
  <c r="M17" i="7"/>
  <c r="E17" i="7"/>
  <c r="D17" i="7"/>
  <c r="O16" i="7"/>
  <c r="F16" i="7"/>
  <c r="O15" i="7"/>
  <c r="F15" i="7"/>
  <c r="O14" i="7"/>
  <c r="F14" i="7"/>
  <c r="O13" i="7"/>
  <c r="F13" i="7"/>
  <c r="O12" i="7"/>
  <c r="F12" i="7"/>
  <c r="O11" i="7"/>
  <c r="F11" i="7"/>
  <c r="O10" i="7"/>
  <c r="F10" i="7"/>
  <c r="O9" i="7"/>
  <c r="F9" i="7"/>
  <c r="O8" i="7"/>
  <c r="O7" i="7"/>
  <c r="F7" i="7"/>
  <c r="O6" i="7"/>
  <c r="F6" i="7"/>
  <c r="A6" i="7"/>
  <c r="A27" i="7" s="1"/>
  <c r="O5" i="7"/>
  <c r="J5" i="7"/>
  <c r="F5" i="7"/>
  <c r="Q4" i="7"/>
  <c r="F18" i="7" l="1"/>
  <c r="A42" i="7"/>
  <c r="J42" i="7" s="1"/>
  <c r="J25" i="7"/>
  <c r="A145" i="7"/>
  <c r="J145" i="7" s="1"/>
  <c r="F26" i="7"/>
  <c r="O26" i="7"/>
  <c r="Q164" i="7"/>
  <c r="Q165" i="7"/>
  <c r="O130" i="7"/>
  <c r="O98" i="7"/>
  <c r="O63" i="7"/>
  <c r="F63" i="7"/>
  <c r="O114" i="7"/>
  <c r="O81" i="7"/>
  <c r="F146" i="7"/>
  <c r="O20" i="7"/>
  <c r="F19" i="7"/>
  <c r="O146" i="7"/>
  <c r="F114" i="7"/>
  <c r="F17" i="7"/>
  <c r="O19" i="7"/>
  <c r="D130" i="7"/>
  <c r="O17" i="7"/>
  <c r="D81" i="7"/>
  <c r="F21" i="7"/>
  <c r="D98" i="7"/>
  <c r="O18" i="7"/>
  <c r="F20" i="7"/>
  <c r="A163" i="7"/>
  <c r="J163" i="7" s="1"/>
  <c r="A115" i="7"/>
  <c r="J115" i="7" s="1"/>
  <c r="A131" i="7"/>
  <c r="J131" i="7" s="1"/>
  <c r="A179" i="7"/>
  <c r="J179" i="7" s="1"/>
  <c r="A99" i="7"/>
  <c r="J99" i="7" s="1"/>
  <c r="A147" i="7"/>
  <c r="J147" i="7" s="1"/>
  <c r="A82" i="7"/>
  <c r="J82" i="7" s="1"/>
  <c r="J27" i="7"/>
  <c r="A64" i="7"/>
  <c r="J64" i="7" s="1"/>
  <c r="A44" i="7"/>
  <c r="J44" i="7" s="1"/>
  <c r="D27" i="7"/>
  <c r="O21" i="7"/>
  <c r="M163" i="7"/>
  <c r="O163" i="7" s="1"/>
  <c r="M131" i="7"/>
  <c r="J6" i="7"/>
  <c r="A7" i="7"/>
  <c r="H147" i="7"/>
  <c r="H115" i="7"/>
  <c r="Q115" i="7" s="1"/>
  <c r="M115" i="7" s="1"/>
  <c r="H131" i="7"/>
  <c r="Q131" i="7" s="1"/>
  <c r="H99" i="7"/>
  <c r="Q99" i="7" s="1"/>
  <c r="M99" i="7" s="1"/>
  <c r="H64" i="7"/>
  <c r="Q64" i="7" s="1"/>
  <c r="H28" i="7"/>
  <c r="H82" i="7"/>
  <c r="Q82" i="7" s="1"/>
  <c r="M82" i="7" s="1"/>
  <c r="Q27" i="7"/>
  <c r="M27" i="7" s="1"/>
  <c r="D179" i="7"/>
  <c r="F179" i="7" s="1"/>
  <c r="D43" i="7"/>
  <c r="Q43" i="7"/>
  <c r="M43" i="7" s="1"/>
  <c r="A97" i="7"/>
  <c r="J97" i="7" s="1"/>
  <c r="A79" i="7"/>
  <c r="J79" i="7" s="1"/>
  <c r="A113" i="7"/>
  <c r="J113" i="7" s="1"/>
  <c r="A129" i="7"/>
  <c r="J129" i="7" s="1"/>
  <c r="A177" i="7"/>
  <c r="J177" i="7" s="1"/>
  <c r="A161" i="7"/>
  <c r="J161" i="7" s="1"/>
  <c r="D163" i="7"/>
  <c r="F163" i="7" s="1"/>
  <c r="A178" i="7"/>
  <c r="J178" i="7" s="1"/>
  <c r="A114" i="7"/>
  <c r="J114" i="7" s="1"/>
  <c r="A130" i="7"/>
  <c r="J130" i="7" s="1"/>
  <c r="A162" i="7"/>
  <c r="J162" i="7" s="1"/>
  <c r="A98" i="7"/>
  <c r="J98" i="7" s="1"/>
  <c r="A63" i="7"/>
  <c r="J63" i="7" s="1"/>
  <c r="A146" i="7"/>
  <c r="J146" i="7" s="1"/>
  <c r="M179" i="7"/>
  <c r="O179" i="7" s="1"/>
  <c r="J26" i="7"/>
  <c r="A81" i="7"/>
  <c r="J81" i="7" s="1"/>
  <c r="H169" i="7"/>
  <c r="Q168" i="7"/>
  <c r="H180" i="7"/>
  <c r="O27" i="7" l="1"/>
  <c r="F130" i="7"/>
  <c r="F27" i="7"/>
  <c r="O82" i="7"/>
  <c r="M64" i="7"/>
  <c r="O131" i="7"/>
  <c r="O99" i="7"/>
  <c r="F98" i="7"/>
  <c r="O43" i="7"/>
  <c r="O115" i="7"/>
  <c r="F81" i="7"/>
  <c r="D115" i="7"/>
  <c r="H116" i="7"/>
  <c r="Q116" i="7" s="1"/>
  <c r="H83" i="7"/>
  <c r="Q83" i="7" s="1"/>
  <c r="M83" i="7" s="1"/>
  <c r="H132" i="7"/>
  <c r="Q132" i="7" s="1"/>
  <c r="H100" i="7"/>
  <c r="Q100" i="7" s="1"/>
  <c r="H65" i="7"/>
  <c r="Q65" i="7" s="1"/>
  <c r="H45" i="7"/>
  <c r="Q45" i="7" s="1"/>
  <c r="H148" i="7"/>
  <c r="Q148" i="7" s="1"/>
  <c r="Q28" i="7"/>
  <c r="A28" i="7"/>
  <c r="J7" i="7"/>
  <c r="A8" i="7"/>
  <c r="C5" i="7"/>
  <c r="F43" i="7"/>
  <c r="H170" i="7"/>
  <c r="Q169" i="7"/>
  <c r="D82" i="7"/>
  <c r="D131" i="7"/>
  <c r="D64" i="7"/>
  <c r="Q180" i="7"/>
  <c r="H181" i="7"/>
  <c r="Q147" i="7"/>
  <c r="M147" i="7" s="1"/>
  <c r="D147" i="7"/>
  <c r="L5" i="7"/>
  <c r="D99" i="7" l="1"/>
  <c r="O147" i="7"/>
  <c r="F99" i="7"/>
  <c r="F115" i="7"/>
  <c r="O83" i="7"/>
  <c r="F147" i="7"/>
  <c r="F64" i="7"/>
  <c r="M44" i="7"/>
  <c r="M65" i="7"/>
  <c r="F131" i="7"/>
  <c r="F82" i="7"/>
  <c r="O64" i="7"/>
  <c r="D65" i="7"/>
  <c r="A164" i="7"/>
  <c r="A180" i="7"/>
  <c r="A116" i="7"/>
  <c r="A100" i="7"/>
  <c r="J28" i="7"/>
  <c r="A132" i="7"/>
  <c r="A65" i="7"/>
  <c r="J65" i="7" s="1"/>
  <c r="A148" i="7"/>
  <c r="A83" i="7"/>
  <c r="J83" i="7" s="1"/>
  <c r="A45" i="7"/>
  <c r="D44" i="7"/>
  <c r="H117" i="7"/>
  <c r="Q117" i="7" s="1"/>
  <c r="H101" i="7"/>
  <c r="Q101" i="7" s="1"/>
  <c r="H84" i="7"/>
  <c r="Q84" i="7" s="1"/>
  <c r="H133" i="7"/>
  <c r="Q133" i="7" s="1"/>
  <c r="H149" i="7"/>
  <c r="Q149" i="7" s="1"/>
  <c r="H66" i="7"/>
  <c r="Q66" i="7" s="1"/>
  <c r="H31" i="7"/>
  <c r="Q30" i="7"/>
  <c r="H47" i="7"/>
  <c r="Q5" i="7"/>
  <c r="H5" i="7"/>
  <c r="D83" i="7"/>
  <c r="H171" i="7"/>
  <c r="Q170" i="7"/>
  <c r="Q181" i="7"/>
  <c r="H182" i="7"/>
  <c r="A30" i="7"/>
  <c r="J8" i="7"/>
  <c r="A9" i="7"/>
  <c r="M84" i="7" l="1"/>
  <c r="O84" i="7" s="1"/>
  <c r="Q47" i="7"/>
  <c r="F83" i="7"/>
  <c r="F65" i="7"/>
  <c r="O65" i="7"/>
  <c r="C6" i="7"/>
  <c r="H6" i="7" s="1"/>
  <c r="O44" i="7"/>
  <c r="L6" i="7"/>
  <c r="Q6" i="7" s="1"/>
  <c r="D28" i="7"/>
  <c r="H118" i="7"/>
  <c r="Q118" i="7" s="1"/>
  <c r="H85" i="7"/>
  <c r="Q85" i="7" s="1"/>
  <c r="H134" i="7"/>
  <c r="Q134" i="7" s="1"/>
  <c r="H102" i="7"/>
  <c r="Q102" i="7" s="1"/>
  <c r="Q31" i="7"/>
  <c r="H67" i="7"/>
  <c r="Q67" i="7" s="1"/>
  <c r="H150" i="7"/>
  <c r="Q150" i="7" s="1"/>
  <c r="H48" i="7"/>
  <c r="Q48" i="7" s="1"/>
  <c r="H32" i="7"/>
  <c r="J148" i="7"/>
  <c r="M148" i="7" s="1"/>
  <c r="D148" i="7"/>
  <c r="J164" i="7"/>
  <c r="H172" i="7"/>
  <c r="Q171" i="7"/>
  <c r="D66" i="7"/>
  <c r="F66" i="7" s="1"/>
  <c r="A31" i="7"/>
  <c r="J9" i="7"/>
  <c r="A10" i="7"/>
  <c r="F44" i="7"/>
  <c r="J132" i="7"/>
  <c r="M132" i="7" s="1"/>
  <c r="D132" i="7"/>
  <c r="M28" i="7"/>
  <c r="J100" i="7"/>
  <c r="M100" i="7" s="1"/>
  <c r="D100" i="7"/>
  <c r="A181" i="7"/>
  <c r="A165" i="7"/>
  <c r="A117" i="7"/>
  <c r="A133" i="7"/>
  <c r="A101" i="7"/>
  <c r="A66" i="7"/>
  <c r="J66" i="7" s="1"/>
  <c r="A149" i="7"/>
  <c r="A84" i="7"/>
  <c r="J84" i="7" s="1"/>
  <c r="A47" i="7"/>
  <c r="J30" i="7"/>
  <c r="Q182" i="7"/>
  <c r="H183" i="7"/>
  <c r="J45" i="7"/>
  <c r="D116" i="7"/>
  <c r="J116" i="7"/>
  <c r="M116" i="7" s="1"/>
  <c r="J180" i="7"/>
  <c r="M180" i="7" s="1"/>
  <c r="O180" i="7" s="1"/>
  <c r="D180" i="7"/>
  <c r="F180" i="7" s="1"/>
  <c r="M85" i="7" l="1"/>
  <c r="O85" i="7" s="1"/>
  <c r="D84" i="7"/>
  <c r="F84" i="7" s="1"/>
  <c r="D85" i="7" s="1"/>
  <c r="F85" i="7" s="1"/>
  <c r="O148" i="7"/>
  <c r="F100" i="7"/>
  <c r="F148" i="7"/>
  <c r="O28" i="7"/>
  <c r="F28" i="7"/>
  <c r="F132" i="7"/>
  <c r="F116" i="7"/>
  <c r="M66" i="7"/>
  <c r="O66" i="7" s="1"/>
  <c r="M67" i="7" s="1"/>
  <c r="O67" i="7" s="1"/>
  <c r="O132" i="7"/>
  <c r="O116" i="7"/>
  <c r="O100" i="7"/>
  <c r="H119" i="7"/>
  <c r="Q119" i="7" s="1"/>
  <c r="H86" i="7"/>
  <c r="Q86" i="7" s="1"/>
  <c r="M86" i="7" s="1"/>
  <c r="O86" i="7" s="1"/>
  <c r="H135" i="7"/>
  <c r="Q135" i="7" s="1"/>
  <c r="H68" i="7"/>
  <c r="Q68" i="7" s="1"/>
  <c r="H33" i="7"/>
  <c r="H151" i="7"/>
  <c r="Q151" i="7" s="1"/>
  <c r="Q32" i="7"/>
  <c r="H103" i="7"/>
  <c r="Q103" i="7" s="1"/>
  <c r="H49" i="7"/>
  <c r="Q49" i="7" s="1"/>
  <c r="J133" i="7"/>
  <c r="D67" i="7"/>
  <c r="F67" i="7" s="1"/>
  <c r="J117" i="7"/>
  <c r="J47" i="7"/>
  <c r="J165" i="7"/>
  <c r="D45" i="7"/>
  <c r="Q172" i="7"/>
  <c r="H173" i="7"/>
  <c r="Q173" i="7" s="1"/>
  <c r="D181" i="7"/>
  <c r="F181" i="7" s="1"/>
  <c r="J181" i="7"/>
  <c r="M181" i="7" s="1"/>
  <c r="O181" i="7" s="1"/>
  <c r="M164" i="7"/>
  <c r="O164" i="7" s="1"/>
  <c r="A11" i="7"/>
  <c r="J10" i="7"/>
  <c r="A32" i="7"/>
  <c r="A166" i="7"/>
  <c r="A150" i="7"/>
  <c r="A182" i="7"/>
  <c r="A102" i="7"/>
  <c r="A134" i="7"/>
  <c r="A48" i="7"/>
  <c r="A67" i="7"/>
  <c r="J67" i="7" s="1"/>
  <c r="J31" i="7"/>
  <c r="A85" i="7"/>
  <c r="J85" i="7" s="1"/>
  <c r="A118" i="7"/>
  <c r="D164" i="7"/>
  <c r="F164" i="7" s="1"/>
  <c r="J149" i="7"/>
  <c r="M45" i="7"/>
  <c r="Q183" i="7"/>
  <c r="H184" i="7"/>
  <c r="D101" i="7"/>
  <c r="F101" i="7" s="1"/>
  <c r="J101" i="7"/>
  <c r="M101" i="7" s="1"/>
  <c r="O101" i="7" s="1"/>
  <c r="M117" i="7" l="1"/>
  <c r="O117" i="7" s="1"/>
  <c r="D133" i="7"/>
  <c r="F133" i="7" s="1"/>
  <c r="D117" i="7"/>
  <c r="F117" i="7" s="1"/>
  <c r="D118" i="7" s="1"/>
  <c r="F118" i="7" s="1"/>
  <c r="D149" i="7"/>
  <c r="F149" i="7" s="1"/>
  <c r="M149" i="7"/>
  <c r="O149" i="7" s="1"/>
  <c r="F29" i="7"/>
  <c r="O29" i="7"/>
  <c r="M133" i="7"/>
  <c r="O133" i="7" s="1"/>
  <c r="O45" i="7"/>
  <c r="F45" i="7"/>
  <c r="M68" i="7"/>
  <c r="O68" i="7" s="1"/>
  <c r="C7" i="7"/>
  <c r="H7" i="7" s="1"/>
  <c r="L7" i="7"/>
  <c r="Q7" i="7" s="1"/>
  <c r="D165" i="7"/>
  <c r="F165" i="7" s="1"/>
  <c r="D86" i="7"/>
  <c r="F86" i="7" s="1"/>
  <c r="D68" i="7"/>
  <c r="F68" i="7" s="1"/>
  <c r="J48" i="7"/>
  <c r="Q184" i="7"/>
  <c r="H185" i="7"/>
  <c r="H120" i="7"/>
  <c r="Q120" i="7" s="1"/>
  <c r="H87" i="7"/>
  <c r="Q87" i="7" s="1"/>
  <c r="M87" i="7" s="1"/>
  <c r="O87" i="7" s="1"/>
  <c r="H136" i="7"/>
  <c r="Q136" i="7" s="1"/>
  <c r="H152" i="7"/>
  <c r="Q152" i="7" s="1"/>
  <c r="H69" i="7"/>
  <c r="Q69" i="7" s="1"/>
  <c r="H50" i="7"/>
  <c r="Q50" i="7" s="1"/>
  <c r="Q33" i="7"/>
  <c r="H104" i="7"/>
  <c r="Q104" i="7" s="1"/>
  <c r="H34" i="7"/>
  <c r="A151" i="7"/>
  <c r="A183" i="7"/>
  <c r="A103" i="7"/>
  <c r="A135" i="7"/>
  <c r="A119" i="7"/>
  <c r="A86" i="7"/>
  <c r="J86" i="7" s="1"/>
  <c r="A167" i="7"/>
  <c r="A68" i="7"/>
  <c r="J68" i="7" s="1"/>
  <c r="J32" i="7"/>
  <c r="A49" i="7"/>
  <c r="D102" i="7"/>
  <c r="F102" i="7" s="1"/>
  <c r="J102" i="7"/>
  <c r="M102" i="7" s="1"/>
  <c r="O102" i="7" s="1"/>
  <c r="J118" i="7"/>
  <c r="M118" i="7" s="1"/>
  <c r="O118" i="7" s="1"/>
  <c r="A12" i="7"/>
  <c r="A33" i="7"/>
  <c r="J11" i="7"/>
  <c r="J134" i="7"/>
  <c r="D134" i="7"/>
  <c r="F134" i="7" s="1"/>
  <c r="J182" i="7"/>
  <c r="M182" i="7" s="1"/>
  <c r="O182" i="7" s="1"/>
  <c r="D182" i="7"/>
  <c r="F182" i="7" s="1"/>
  <c r="D150" i="7"/>
  <c r="F150" i="7" s="1"/>
  <c r="J150" i="7"/>
  <c r="M150" i="7" s="1"/>
  <c r="O150" i="7" s="1"/>
  <c r="J166" i="7"/>
  <c r="M165" i="7"/>
  <c r="O165" i="7" s="1"/>
  <c r="M30" i="7" l="1"/>
  <c r="O30" i="7" s="1"/>
  <c r="M31" i="7" s="1"/>
  <c r="D30" i="7"/>
  <c r="F30" i="7" s="1"/>
  <c r="D31" i="7" s="1"/>
  <c r="F46" i="7"/>
  <c r="O46" i="7"/>
  <c r="M69" i="7"/>
  <c r="O69" i="7" s="1"/>
  <c r="L70" i="7" s="1"/>
  <c r="L17" i="7"/>
  <c r="Q17" i="7" s="1"/>
  <c r="M134" i="7"/>
  <c r="O134" i="7" s="1"/>
  <c r="C17" i="7"/>
  <c r="H17" i="7" s="1"/>
  <c r="D166" i="7"/>
  <c r="F166" i="7" s="1"/>
  <c r="L88" i="7"/>
  <c r="D103" i="7"/>
  <c r="F103" i="7" s="1"/>
  <c r="D69" i="7"/>
  <c r="F69" i="7" s="1"/>
  <c r="J167" i="7"/>
  <c r="H121" i="7"/>
  <c r="Q121" i="7" s="1"/>
  <c r="H88" i="7"/>
  <c r="Q88" i="7" s="1"/>
  <c r="H137" i="7"/>
  <c r="Q137" i="7" s="1"/>
  <c r="H105" i="7"/>
  <c r="Q105" i="7" s="1"/>
  <c r="H70" i="7"/>
  <c r="Q70" i="7" s="1"/>
  <c r="H35" i="7"/>
  <c r="H51" i="7"/>
  <c r="Q51" i="7" s="1"/>
  <c r="Q34" i="7"/>
  <c r="H153" i="7"/>
  <c r="Q153" i="7" s="1"/>
  <c r="H186" i="7"/>
  <c r="Q185" i="7"/>
  <c r="J119" i="7"/>
  <c r="M119" i="7" s="1"/>
  <c r="O119" i="7" s="1"/>
  <c r="D119" i="7"/>
  <c r="F119" i="7" s="1"/>
  <c r="A168" i="7"/>
  <c r="A152" i="7"/>
  <c r="A184" i="7"/>
  <c r="A104" i="7"/>
  <c r="J33" i="7"/>
  <c r="A136" i="7"/>
  <c r="A69" i="7"/>
  <c r="J69" i="7" s="1"/>
  <c r="A87" i="7"/>
  <c r="J87" i="7" s="1"/>
  <c r="A120" i="7"/>
  <c r="A50" i="7"/>
  <c r="J135" i="7"/>
  <c r="D135" i="7"/>
  <c r="F135" i="7" s="1"/>
  <c r="J103" i="7"/>
  <c r="M103" i="7" s="1"/>
  <c r="O103" i="7" s="1"/>
  <c r="A13" i="7"/>
  <c r="A34" i="7"/>
  <c r="J12" i="7"/>
  <c r="M166" i="7"/>
  <c r="O166" i="7" s="1"/>
  <c r="J49" i="7"/>
  <c r="D183" i="7"/>
  <c r="F183" i="7" s="1"/>
  <c r="J183" i="7"/>
  <c r="M183" i="7" s="1"/>
  <c r="O183" i="7" s="1"/>
  <c r="J151" i="7"/>
  <c r="M151" i="7" s="1"/>
  <c r="O151" i="7" s="1"/>
  <c r="D151" i="7"/>
  <c r="F151" i="7" s="1"/>
  <c r="D87" i="7"/>
  <c r="F87" i="7" s="1"/>
  <c r="M47" i="7" l="1"/>
  <c r="D47" i="7"/>
  <c r="M135" i="7"/>
  <c r="O135" i="7" s="1"/>
  <c r="M88" i="7"/>
  <c r="O88" i="7" s="1"/>
  <c r="D104" i="7"/>
  <c r="F104" i="7" s="1"/>
  <c r="M167" i="7"/>
  <c r="O167" i="7" s="1"/>
  <c r="D167" i="7"/>
  <c r="F167" i="7" s="1"/>
  <c r="C88" i="7"/>
  <c r="D88" i="7" s="1"/>
  <c r="F31" i="7"/>
  <c r="D136" i="7"/>
  <c r="F136" i="7" s="1"/>
  <c r="J136" i="7"/>
  <c r="N136" i="7" s="1"/>
  <c r="H122" i="7"/>
  <c r="Q122" i="7" s="1"/>
  <c r="H138" i="7"/>
  <c r="Q138" i="7" s="1"/>
  <c r="H106" i="7"/>
  <c r="Q106" i="7" s="1"/>
  <c r="Q35" i="7"/>
  <c r="H154" i="7"/>
  <c r="Q154" i="7" s="1"/>
  <c r="H89" i="7"/>
  <c r="Q89" i="7" s="1"/>
  <c r="H36" i="7"/>
  <c r="H71" i="7"/>
  <c r="Q71" i="7" s="1"/>
  <c r="H52" i="7"/>
  <c r="Q52" i="7" s="1"/>
  <c r="C70" i="7"/>
  <c r="D70" i="7" s="1"/>
  <c r="J104" i="7"/>
  <c r="N104" i="7" s="1"/>
  <c r="M104" i="7" s="1"/>
  <c r="O104" i="7" s="1"/>
  <c r="Q186" i="7"/>
  <c r="H187" i="7"/>
  <c r="M70" i="7"/>
  <c r="O70" i="7" s="1"/>
  <c r="A35" i="7"/>
  <c r="A14" i="7"/>
  <c r="J13" i="7"/>
  <c r="D120" i="7"/>
  <c r="F120" i="7" s="1"/>
  <c r="J120" i="7"/>
  <c r="N120" i="7" s="1"/>
  <c r="M120" i="7" s="1"/>
  <c r="O120" i="7" s="1"/>
  <c r="D152" i="7"/>
  <c r="F152" i="7" s="1"/>
  <c r="J152" i="7"/>
  <c r="M152" i="7" s="1"/>
  <c r="O152" i="7" s="1"/>
  <c r="O31" i="7"/>
  <c r="A153" i="7"/>
  <c r="A105" i="7"/>
  <c r="A185" i="7"/>
  <c r="A137" i="7"/>
  <c r="A70" i="7"/>
  <c r="J70" i="7" s="1"/>
  <c r="A169" i="7"/>
  <c r="A88" i="7"/>
  <c r="J88" i="7" s="1"/>
  <c r="A51" i="7"/>
  <c r="J34" i="7"/>
  <c r="A121" i="7"/>
  <c r="J50" i="7"/>
  <c r="J184" i="7"/>
  <c r="M184" i="7" s="1"/>
  <c r="O184" i="7" s="1"/>
  <c r="D184" i="7"/>
  <c r="F184" i="7" s="1"/>
  <c r="L136" i="7"/>
  <c r="L104" i="7"/>
  <c r="J168" i="7"/>
  <c r="L152" i="7"/>
  <c r="L120" i="7"/>
  <c r="M136" i="7" l="1"/>
  <c r="O136" i="7" s="1"/>
  <c r="L137" i="7" s="1"/>
  <c r="L105" i="7" s="1"/>
  <c r="F47" i="7"/>
  <c r="D48" i="7" s="1"/>
  <c r="O47" i="7"/>
  <c r="M48" i="7" s="1"/>
  <c r="Q8" i="7"/>
  <c r="M89" i="7"/>
  <c r="O89" i="7" s="1"/>
  <c r="D168" i="7"/>
  <c r="F168" i="7" s="1"/>
  <c r="M71" i="7"/>
  <c r="O71" i="7" s="1"/>
  <c r="L153" i="7"/>
  <c r="J105" i="7"/>
  <c r="N105" i="7" s="1"/>
  <c r="J51" i="7"/>
  <c r="J153" i="7"/>
  <c r="A170" i="7"/>
  <c r="A106" i="7"/>
  <c r="A89" i="7"/>
  <c r="J89" i="7" s="1"/>
  <c r="A186" i="7"/>
  <c r="A122" i="7"/>
  <c r="A52" i="7"/>
  <c r="A154" i="7"/>
  <c r="J35" i="7"/>
  <c r="A71" i="7"/>
  <c r="J71" i="7" s="1"/>
  <c r="A138" i="7"/>
  <c r="J14" i="7"/>
  <c r="A15" i="7"/>
  <c r="A36" i="7"/>
  <c r="M32" i="7"/>
  <c r="H123" i="7"/>
  <c r="Q123" i="7" s="1"/>
  <c r="H139" i="7"/>
  <c r="Q139" i="7" s="1"/>
  <c r="H107" i="7"/>
  <c r="Q107" i="7" s="1"/>
  <c r="H72" i="7"/>
  <c r="Q72" i="7" s="1"/>
  <c r="H37" i="7"/>
  <c r="H155" i="7"/>
  <c r="Q155" i="7" s="1"/>
  <c r="H90" i="7"/>
  <c r="Q90" i="7" s="1"/>
  <c r="H53" i="7"/>
  <c r="Q53" i="7" s="1"/>
  <c r="Q36" i="7"/>
  <c r="C152" i="7"/>
  <c r="C153" i="7" s="1"/>
  <c r="C121" i="7" s="1"/>
  <c r="C120" i="7"/>
  <c r="D32" i="7"/>
  <c r="C104" i="7"/>
  <c r="C136" i="7"/>
  <c r="J169" i="7"/>
  <c r="M168" i="7"/>
  <c r="O168" i="7" s="1"/>
  <c r="F88" i="7"/>
  <c r="F70" i="7"/>
  <c r="H188" i="7"/>
  <c r="Q187" i="7"/>
  <c r="J137" i="7"/>
  <c r="N137" i="7" s="1"/>
  <c r="J121" i="7"/>
  <c r="N121" i="7" s="1"/>
  <c r="D185" i="7"/>
  <c r="F185" i="7" s="1"/>
  <c r="J185" i="7"/>
  <c r="M185" i="7" s="1"/>
  <c r="O185" i="7" s="1"/>
  <c r="O48" i="7" l="1"/>
  <c r="M49" i="7" s="1"/>
  <c r="O49" i="7" s="1"/>
  <c r="M50" i="7" s="1"/>
  <c r="O50" i="7" s="1"/>
  <c r="M51" i="7" s="1"/>
  <c r="O51" i="7" s="1"/>
  <c r="L9" i="7"/>
  <c r="Q9" i="7" s="1"/>
  <c r="F48" i="7"/>
  <c r="D49" i="7" s="1"/>
  <c r="F49" i="7" s="1"/>
  <c r="D50" i="7" s="1"/>
  <c r="F50" i="7" s="1"/>
  <c r="D51" i="7" s="1"/>
  <c r="F51" i="7" s="1"/>
  <c r="C9" i="7"/>
  <c r="H9" i="7" s="1"/>
  <c r="M90" i="7"/>
  <c r="O90" i="7" s="1"/>
  <c r="O32" i="7"/>
  <c r="M33" i="7" s="1"/>
  <c r="M137" i="7"/>
  <c r="O137" i="7" s="1"/>
  <c r="D153" i="7"/>
  <c r="F153" i="7" s="1"/>
  <c r="M169" i="7"/>
  <c r="O169" i="7" s="1"/>
  <c r="M72" i="7"/>
  <c r="O72" i="7" s="1"/>
  <c r="M186" i="7"/>
  <c r="O186" i="7" s="1"/>
  <c r="D169" i="7"/>
  <c r="F169" i="7" s="1"/>
  <c r="J186" i="7"/>
  <c r="D186" i="7"/>
  <c r="F186" i="7" s="1"/>
  <c r="J138" i="7"/>
  <c r="N138" i="7" s="1"/>
  <c r="J106" i="7"/>
  <c r="N106" i="7" s="1"/>
  <c r="Q188" i="7"/>
  <c r="H189" i="7"/>
  <c r="Q189" i="7" s="1"/>
  <c r="J170" i="7"/>
  <c r="J52" i="7"/>
  <c r="J154" i="7"/>
  <c r="F32" i="7"/>
  <c r="A107" i="7"/>
  <c r="A90" i="7"/>
  <c r="J90" i="7" s="1"/>
  <c r="A123" i="7"/>
  <c r="A171" i="7"/>
  <c r="A155" i="7"/>
  <c r="A187" i="7"/>
  <c r="A72" i="7"/>
  <c r="J72" i="7" s="1"/>
  <c r="A53" i="7"/>
  <c r="A139" i="7"/>
  <c r="J36" i="7"/>
  <c r="D121" i="7"/>
  <c r="F121" i="7" s="1"/>
  <c r="M105" i="7"/>
  <c r="O105" i="7" s="1"/>
  <c r="M153" i="7"/>
  <c r="O153" i="7" s="1"/>
  <c r="D71" i="7"/>
  <c r="F71" i="7" s="1"/>
  <c r="H124" i="7"/>
  <c r="Q124" i="7" s="1"/>
  <c r="H140" i="7"/>
  <c r="Q140" i="7" s="1"/>
  <c r="H91" i="7"/>
  <c r="Q91" i="7" s="1"/>
  <c r="H73" i="7"/>
  <c r="Q73" i="7" s="1"/>
  <c r="H54" i="7"/>
  <c r="Q54" i="7" s="1"/>
  <c r="Q37" i="7"/>
  <c r="H156" i="7"/>
  <c r="Q156" i="7" s="1"/>
  <c r="H108" i="7"/>
  <c r="Q108" i="7" s="1"/>
  <c r="H38" i="7"/>
  <c r="D89" i="7"/>
  <c r="F89" i="7" s="1"/>
  <c r="J15" i="7"/>
  <c r="A37" i="7"/>
  <c r="A16" i="7"/>
  <c r="J122" i="7"/>
  <c r="N122" i="7" s="1"/>
  <c r="L121" i="7"/>
  <c r="L11" i="7" l="1"/>
  <c r="Q11" i="7" s="1"/>
  <c r="L10" i="7"/>
  <c r="C10" i="7"/>
  <c r="M91" i="7"/>
  <c r="O91" i="7" s="1"/>
  <c r="D52" i="7"/>
  <c r="F52" i="7" s="1"/>
  <c r="M154" i="7"/>
  <c r="O154" i="7" s="1"/>
  <c r="M106" i="7"/>
  <c r="O106" i="7" s="1"/>
  <c r="M73" i="7"/>
  <c r="O73" i="7" s="1"/>
  <c r="D170" i="7"/>
  <c r="F170" i="7" s="1"/>
  <c r="M52" i="7"/>
  <c r="O52" i="7" s="1"/>
  <c r="D90" i="7"/>
  <c r="F90" i="7" s="1"/>
  <c r="J123" i="7"/>
  <c r="N123" i="7" s="1"/>
  <c r="D122" i="7"/>
  <c r="F122" i="7" s="1"/>
  <c r="M121" i="7"/>
  <c r="O121" i="7" s="1"/>
  <c r="M170" i="7"/>
  <c r="O170" i="7" s="1"/>
  <c r="H125" i="7"/>
  <c r="Q125" i="7" s="1"/>
  <c r="H141" i="7"/>
  <c r="Q141" i="7" s="1"/>
  <c r="H74" i="7"/>
  <c r="Q74" i="7" s="1"/>
  <c r="H109" i="7"/>
  <c r="Q109" i="7" s="1"/>
  <c r="H55" i="7"/>
  <c r="Q55" i="7" s="1"/>
  <c r="Q38" i="7"/>
  <c r="H157" i="7"/>
  <c r="Q157" i="7" s="1"/>
  <c r="H92" i="7"/>
  <c r="Q92" i="7" s="1"/>
  <c r="M92" i="7" s="1"/>
  <c r="O92" i="7" s="1"/>
  <c r="M138" i="7"/>
  <c r="O138" i="7" s="1"/>
  <c r="J139" i="7"/>
  <c r="N139" i="7" s="1"/>
  <c r="J107" i="7"/>
  <c r="N107" i="7" s="1"/>
  <c r="D154" i="7"/>
  <c r="F154" i="7" s="1"/>
  <c r="D72" i="7"/>
  <c r="F72" i="7" s="1"/>
  <c r="J53" i="7"/>
  <c r="D33" i="7"/>
  <c r="C11" i="7" s="1"/>
  <c r="A38" i="7"/>
  <c r="J16" i="7"/>
  <c r="O33" i="7"/>
  <c r="J187" i="7"/>
  <c r="M187" i="7" s="1"/>
  <c r="O187" i="7" s="1"/>
  <c r="D187" i="7"/>
  <c r="F187" i="7" s="1"/>
  <c r="A172" i="7"/>
  <c r="A156" i="7"/>
  <c r="A108" i="7"/>
  <c r="A91" i="7"/>
  <c r="J91" i="7" s="1"/>
  <c r="A140" i="7"/>
  <c r="J37" i="7"/>
  <c r="A124" i="7"/>
  <c r="A188" i="7"/>
  <c r="A54" i="7"/>
  <c r="A73" i="7"/>
  <c r="J73" i="7" s="1"/>
  <c r="J155" i="7"/>
  <c r="J171" i="7"/>
  <c r="Q10" i="7" l="1"/>
  <c r="L18" i="7"/>
  <c r="Q18" i="7" s="1"/>
  <c r="H10" i="7"/>
  <c r="C18" i="7"/>
  <c r="H18" i="7" s="1"/>
  <c r="D155" i="7"/>
  <c r="F155" i="7" s="1"/>
  <c r="D171" i="7"/>
  <c r="F171" i="7" s="1"/>
  <c r="M155" i="7"/>
  <c r="O155" i="7" s="1"/>
  <c r="M53" i="7"/>
  <c r="O53" i="7" s="1"/>
  <c r="D123" i="7"/>
  <c r="F123" i="7" s="1"/>
  <c r="M107" i="7"/>
  <c r="O107" i="7" s="1"/>
  <c r="D73" i="7"/>
  <c r="F73" i="7" s="1"/>
  <c r="M171" i="7"/>
  <c r="O171" i="7" s="1"/>
  <c r="D91" i="7"/>
  <c r="F91" i="7" s="1"/>
  <c r="D53" i="7"/>
  <c r="F53" i="7" s="1"/>
  <c r="A157" i="7"/>
  <c r="A109" i="7"/>
  <c r="A92" i="7"/>
  <c r="J92" i="7" s="1"/>
  <c r="A141" i="7"/>
  <c r="A189" i="7"/>
  <c r="A173" i="7"/>
  <c r="A74" i="7"/>
  <c r="J74" i="7" s="1"/>
  <c r="A125" i="7"/>
  <c r="J38" i="7"/>
  <c r="A55" i="7"/>
  <c r="J140" i="7"/>
  <c r="N140" i="7" s="1"/>
  <c r="J54" i="7"/>
  <c r="J156" i="7"/>
  <c r="M139" i="7"/>
  <c r="O139" i="7" s="1"/>
  <c r="J172" i="7"/>
  <c r="F33" i="7"/>
  <c r="M122" i="7"/>
  <c r="O122" i="7" s="1"/>
  <c r="H11" i="7"/>
  <c r="M74" i="7"/>
  <c r="O74" i="7" s="1"/>
  <c r="J108" i="7"/>
  <c r="N108" i="7" s="1"/>
  <c r="J188" i="7"/>
  <c r="M188" i="7" s="1"/>
  <c r="O188" i="7" s="1"/>
  <c r="D188" i="7"/>
  <c r="F188" i="7" s="1"/>
  <c r="J124" i="7"/>
  <c r="N124" i="7" s="1"/>
  <c r="M34" i="7"/>
  <c r="L12" i="7" s="1"/>
  <c r="M172" i="7" l="1"/>
  <c r="O172" i="7" s="1"/>
  <c r="D74" i="7"/>
  <c r="F74" i="7" s="1"/>
  <c r="M156" i="7"/>
  <c r="O156" i="7" s="1"/>
  <c r="D54" i="7"/>
  <c r="F54" i="7" s="1"/>
  <c r="M108" i="7"/>
  <c r="O108" i="7" s="1"/>
  <c r="D189" i="7"/>
  <c r="F189" i="7" s="1"/>
  <c r="D92" i="7"/>
  <c r="F92" i="7" s="1"/>
  <c r="J141" i="7"/>
  <c r="N141" i="7" s="1"/>
  <c r="D172" i="7"/>
  <c r="F172" i="7" s="1"/>
  <c r="J55" i="7"/>
  <c r="J109" i="7"/>
  <c r="N109" i="7" s="1"/>
  <c r="D124" i="7"/>
  <c r="F124" i="7" s="1"/>
  <c r="J157" i="7"/>
  <c r="J125" i="7"/>
  <c r="N125" i="7" s="1"/>
  <c r="M54" i="7"/>
  <c r="O54" i="7" s="1"/>
  <c r="D156" i="7"/>
  <c r="F156" i="7" s="1"/>
  <c r="O34" i="7"/>
  <c r="M123" i="7"/>
  <c r="O123" i="7" s="1"/>
  <c r="Q12" i="7"/>
  <c r="J173" i="7"/>
  <c r="M140" i="7"/>
  <c r="O140" i="7" s="1"/>
  <c r="D34" i="7"/>
  <c r="J189" i="7"/>
  <c r="M189" i="7" s="1"/>
  <c r="O189" i="7" s="1"/>
  <c r="D157" i="7" l="1"/>
  <c r="F157" i="7" s="1"/>
  <c r="M109" i="7"/>
  <c r="O109" i="7" s="1"/>
  <c r="M157" i="7"/>
  <c r="O157" i="7" s="1"/>
  <c r="D55" i="7"/>
  <c r="F55" i="7" s="1"/>
  <c r="D125" i="7"/>
  <c r="F125" i="7" s="1"/>
  <c r="M173" i="7"/>
  <c r="O173" i="7" s="1"/>
  <c r="M55" i="7"/>
  <c r="O55" i="7" s="1"/>
  <c r="D173" i="7"/>
  <c r="F173" i="7" s="1"/>
  <c r="M35" i="7"/>
  <c r="L13" i="7" s="1"/>
  <c r="F34" i="7"/>
  <c r="M141" i="7"/>
  <c r="O141" i="7" s="1"/>
  <c r="M124" i="7"/>
  <c r="O124" i="7" s="1"/>
  <c r="M125" i="7" l="1"/>
  <c r="O125" i="7" s="1"/>
  <c r="O35" i="7"/>
  <c r="Q13" i="7"/>
  <c r="L19" i="7"/>
  <c r="Q19" i="7" s="1"/>
  <c r="D35" i="7"/>
  <c r="M36" i="7" l="1"/>
  <c r="L14" i="7" s="1"/>
  <c r="F35" i="7"/>
  <c r="O36" i="7" l="1"/>
  <c r="Q14" i="7"/>
  <c r="D36" i="7"/>
  <c r="F36" i="7" l="1"/>
  <c r="M37" i="7"/>
  <c r="L15" i="7" s="1"/>
  <c r="Q15" i="7" l="1"/>
  <c r="D37" i="7"/>
  <c r="O37" i="7"/>
  <c r="M38" i="7" l="1"/>
  <c r="L16" i="7" s="1"/>
  <c r="F37" i="7"/>
  <c r="O38" i="7" l="1"/>
  <c r="D38" i="7"/>
  <c r="Q16" i="7"/>
  <c r="L21" i="7"/>
  <c r="Q21" i="7" s="1"/>
  <c r="L20" i="7"/>
  <c r="Q20" i="7" s="1"/>
  <c r="F38" i="7" l="1"/>
  <c r="D50" i="2" l="1"/>
  <c r="D49" i="2"/>
  <c r="D48" i="2"/>
  <c r="E50" i="2"/>
  <c r="E49" i="2"/>
  <c r="E48" i="2"/>
  <c r="F50" i="2"/>
  <c r="F49" i="2"/>
  <c r="F48" i="2"/>
  <c r="D44" i="2"/>
  <c r="E44" i="2"/>
  <c r="F44" i="2"/>
  <c r="D24" i="2"/>
  <c r="D23" i="2"/>
  <c r="D22" i="2"/>
  <c r="E24" i="2"/>
  <c r="E23" i="2"/>
  <c r="E22" i="2"/>
  <c r="F24" i="2"/>
  <c r="F23" i="2"/>
  <c r="F22" i="2"/>
  <c r="D18" i="2"/>
  <c r="E18" i="2"/>
  <c r="F18" i="2"/>
  <c r="D52" i="1" l="1"/>
  <c r="D51" i="1"/>
  <c r="D50" i="1"/>
  <c r="E52" i="1"/>
  <c r="E51" i="1"/>
  <c r="E50" i="1"/>
  <c r="F52" i="1"/>
  <c r="F51" i="1"/>
  <c r="F50" i="1"/>
  <c r="D46" i="1"/>
  <c r="E46" i="1"/>
  <c r="F46" i="1"/>
  <c r="D24" i="1"/>
  <c r="D23" i="1"/>
  <c r="D22" i="1"/>
  <c r="E24" i="1"/>
  <c r="E23" i="1"/>
  <c r="E22" i="1"/>
  <c r="F24" i="1"/>
  <c r="F23" i="1"/>
  <c r="F22" i="1"/>
  <c r="D18" i="1"/>
  <c r="E18" i="1"/>
  <c r="F18" i="1"/>
  <c r="U11" i="2" l="1"/>
  <c r="Q38" i="2"/>
  <c r="Q50" i="2"/>
  <c r="Q49" i="2"/>
  <c r="Q48" i="2"/>
  <c r="U42" i="2"/>
  <c r="T42" i="2"/>
  <c r="S42" i="2"/>
  <c r="R42" i="2"/>
  <c r="Q42" i="2"/>
  <c r="U41" i="2"/>
  <c r="T41" i="2"/>
  <c r="S41" i="2"/>
  <c r="R41" i="2"/>
  <c r="Q41" i="2"/>
  <c r="U40" i="2"/>
  <c r="T40" i="2"/>
  <c r="S40" i="2"/>
  <c r="R40" i="2"/>
  <c r="Q40" i="2"/>
  <c r="U39" i="2"/>
  <c r="T39" i="2"/>
  <c r="S39" i="2"/>
  <c r="R39" i="2"/>
  <c r="Q39" i="2"/>
  <c r="T38" i="2"/>
  <c r="S38" i="2"/>
  <c r="R38" i="2"/>
  <c r="T37" i="2"/>
  <c r="S37" i="2"/>
  <c r="R37" i="2"/>
  <c r="T36" i="2"/>
  <c r="S36" i="2"/>
  <c r="R36" i="2"/>
  <c r="T35" i="2"/>
  <c r="S35" i="2"/>
  <c r="R35" i="2"/>
  <c r="T12" i="2"/>
  <c r="S12" i="2"/>
  <c r="R12" i="2"/>
  <c r="T11" i="2"/>
  <c r="S11" i="2"/>
  <c r="R11" i="2"/>
  <c r="U16" i="2"/>
  <c r="T16" i="2"/>
  <c r="S16" i="2"/>
  <c r="R16" i="2"/>
  <c r="Q16" i="2"/>
  <c r="U15" i="2"/>
  <c r="T15" i="2"/>
  <c r="S15" i="2"/>
  <c r="R15" i="2"/>
  <c r="Q15" i="2"/>
  <c r="Q24" i="2"/>
  <c r="Q23" i="2"/>
  <c r="U14" i="2"/>
  <c r="T14" i="2"/>
  <c r="S14" i="2"/>
  <c r="R14" i="2"/>
  <c r="Q14" i="2"/>
  <c r="U13" i="2"/>
  <c r="T13" i="2"/>
  <c r="S13" i="2"/>
  <c r="R13" i="2"/>
  <c r="Q13" i="2"/>
  <c r="Q22" i="2"/>
  <c r="T10" i="2"/>
  <c r="S10" i="2"/>
  <c r="R10" i="2"/>
  <c r="T9" i="2"/>
  <c r="S9" i="2"/>
  <c r="R9" i="2"/>
  <c r="O50" i="2"/>
  <c r="N50" i="2"/>
  <c r="M50" i="2"/>
  <c r="L50" i="2"/>
  <c r="K50" i="2"/>
  <c r="J50" i="2"/>
  <c r="I50" i="2"/>
  <c r="H50" i="2"/>
  <c r="G50" i="2"/>
  <c r="O49" i="2"/>
  <c r="N49" i="2"/>
  <c r="M49" i="2"/>
  <c r="L49" i="2"/>
  <c r="K49" i="2"/>
  <c r="J49" i="2"/>
  <c r="I49" i="2"/>
  <c r="H49" i="2"/>
  <c r="G49" i="2"/>
  <c r="O48" i="2"/>
  <c r="N48" i="2"/>
  <c r="M48" i="2"/>
  <c r="L48" i="2"/>
  <c r="K48" i="2"/>
  <c r="J48" i="2"/>
  <c r="I48" i="2"/>
  <c r="H48" i="2"/>
  <c r="G48" i="2"/>
  <c r="O44" i="2"/>
  <c r="O46" i="2" s="1"/>
  <c r="N44" i="2"/>
  <c r="M44" i="2"/>
  <c r="L44" i="2"/>
  <c r="K44" i="2"/>
  <c r="J44" i="2"/>
  <c r="I44" i="2"/>
  <c r="H44" i="2"/>
  <c r="G44" i="2"/>
  <c r="O24" i="2"/>
  <c r="N24" i="2"/>
  <c r="M24" i="2"/>
  <c r="L24" i="2"/>
  <c r="K24" i="2"/>
  <c r="J24" i="2"/>
  <c r="I24" i="2"/>
  <c r="H24" i="2"/>
  <c r="G24" i="2"/>
  <c r="O23" i="2"/>
  <c r="N23" i="2"/>
  <c r="M23" i="2"/>
  <c r="L23" i="2"/>
  <c r="K23" i="2"/>
  <c r="J23" i="2"/>
  <c r="I23" i="2"/>
  <c r="H23" i="2"/>
  <c r="G23" i="2"/>
  <c r="O22" i="2"/>
  <c r="N22" i="2"/>
  <c r="M22" i="2"/>
  <c r="L22" i="2"/>
  <c r="K22" i="2"/>
  <c r="J22" i="2"/>
  <c r="I22" i="2"/>
  <c r="H22" i="2"/>
  <c r="G22" i="2"/>
  <c r="O18" i="2"/>
  <c r="O20" i="2" s="1"/>
  <c r="N18" i="2"/>
  <c r="M18" i="2"/>
  <c r="L18" i="2"/>
  <c r="K18" i="2"/>
  <c r="J18" i="2"/>
  <c r="I18" i="2"/>
  <c r="H18" i="2"/>
  <c r="G18" i="2"/>
  <c r="C60" i="2"/>
  <c r="C58" i="2"/>
  <c r="C53" i="2"/>
  <c r="C52" i="2"/>
  <c r="C51" i="2"/>
  <c r="C50" i="2"/>
  <c r="C49" i="2"/>
  <c r="C48" i="2"/>
  <c r="C46" i="2"/>
  <c r="C44" i="2"/>
  <c r="C32" i="2"/>
  <c r="C27" i="2"/>
  <c r="C26" i="2"/>
  <c r="C25" i="2"/>
  <c r="C24" i="2"/>
  <c r="C23" i="2"/>
  <c r="C22" i="2"/>
  <c r="A19" i="2"/>
  <c r="A20" i="2" s="1"/>
  <c r="C18" i="2"/>
  <c r="R49" i="2" l="1"/>
  <c r="R23" i="2"/>
  <c r="S50" i="2"/>
  <c r="T48" i="2"/>
  <c r="R50" i="2"/>
  <c r="T23" i="2"/>
  <c r="R24" i="2"/>
  <c r="U50" i="2"/>
  <c r="T49" i="2"/>
  <c r="T50" i="2"/>
  <c r="T22" i="2"/>
  <c r="T24" i="2"/>
  <c r="S48" i="2"/>
  <c r="S49" i="2"/>
  <c r="U48" i="2"/>
  <c r="U23" i="2"/>
  <c r="U22" i="2"/>
  <c r="S22" i="2"/>
  <c r="S23" i="2"/>
  <c r="S24" i="2"/>
  <c r="U24" i="2"/>
  <c r="R22" i="2"/>
  <c r="R48" i="2"/>
  <c r="U49" i="2"/>
  <c r="U37" i="2"/>
  <c r="Q12" i="2"/>
  <c r="Q11" i="2"/>
  <c r="Q9" i="2"/>
  <c r="U10" i="2"/>
  <c r="U12" i="2"/>
  <c r="Q10" i="2"/>
  <c r="U9" i="2"/>
  <c r="U35" i="2"/>
  <c r="Q36" i="2"/>
  <c r="U38" i="2"/>
  <c r="Q37" i="2"/>
  <c r="U36" i="2"/>
  <c r="Q35" i="2"/>
  <c r="C20" i="2"/>
  <c r="U44" i="1" l="1"/>
  <c r="T44" i="1"/>
  <c r="S44" i="1"/>
  <c r="R44" i="1"/>
  <c r="Q44" i="1"/>
  <c r="U43" i="1"/>
  <c r="T43" i="1"/>
  <c r="S43" i="1"/>
  <c r="R43" i="1"/>
  <c r="Q43" i="1"/>
  <c r="U42" i="1"/>
  <c r="T42" i="1"/>
  <c r="S42" i="1"/>
  <c r="R42" i="1"/>
  <c r="Q42" i="1"/>
  <c r="U41" i="1"/>
  <c r="T41" i="1"/>
  <c r="S41" i="1"/>
  <c r="R41" i="1"/>
  <c r="Q41" i="1"/>
  <c r="T40" i="1"/>
  <c r="S40" i="1"/>
  <c r="R40" i="1"/>
  <c r="T39" i="1"/>
  <c r="S39" i="1"/>
  <c r="R39" i="1"/>
  <c r="T38" i="1"/>
  <c r="S38" i="1"/>
  <c r="R38" i="1"/>
  <c r="T37" i="1"/>
  <c r="S37" i="1"/>
  <c r="R37" i="1"/>
  <c r="U16" i="1"/>
  <c r="T16" i="1"/>
  <c r="S16" i="1"/>
  <c r="R16" i="1"/>
  <c r="Q16" i="1"/>
  <c r="U15" i="1"/>
  <c r="T15" i="1"/>
  <c r="S15" i="1"/>
  <c r="R15" i="1"/>
  <c r="Q15" i="1"/>
  <c r="T12" i="1"/>
  <c r="S12" i="1"/>
  <c r="R12" i="1"/>
  <c r="T11" i="1"/>
  <c r="S11" i="1"/>
  <c r="R11" i="1"/>
  <c r="U14" i="1"/>
  <c r="T14" i="1"/>
  <c r="S14" i="1"/>
  <c r="R14" i="1"/>
  <c r="Q14" i="1"/>
  <c r="U13" i="1"/>
  <c r="T13" i="1"/>
  <c r="S13" i="1"/>
  <c r="R13" i="1"/>
  <c r="Q13" i="1"/>
  <c r="R10" i="1"/>
  <c r="S10" i="1"/>
  <c r="T10" i="1"/>
  <c r="T9" i="1"/>
  <c r="S9" i="1"/>
  <c r="Q9" i="1"/>
  <c r="O52" i="1"/>
  <c r="O54" i="1" s="1"/>
  <c r="N52" i="1"/>
  <c r="N54" i="1" s="1"/>
  <c r="M52" i="1"/>
  <c r="L52" i="1"/>
  <c r="K52" i="1"/>
  <c r="K54" i="1" s="1"/>
  <c r="J52" i="1"/>
  <c r="J54" i="1" s="1"/>
  <c r="I52" i="1"/>
  <c r="I54" i="1" s="1"/>
  <c r="H52" i="1"/>
  <c r="H54" i="1" s="1"/>
  <c r="G52" i="1"/>
  <c r="G54" i="1" s="1"/>
  <c r="O51" i="1"/>
  <c r="N51" i="1"/>
  <c r="M51" i="1"/>
  <c r="L51" i="1"/>
  <c r="K51" i="1"/>
  <c r="J51" i="1"/>
  <c r="I51" i="1"/>
  <c r="H51" i="1"/>
  <c r="G51" i="1"/>
  <c r="O50" i="1"/>
  <c r="N50" i="1"/>
  <c r="M50" i="1"/>
  <c r="L50" i="1"/>
  <c r="K50" i="1"/>
  <c r="J50" i="1"/>
  <c r="I50" i="1"/>
  <c r="H50" i="1"/>
  <c r="G50" i="1"/>
  <c r="O46" i="1"/>
  <c r="O48" i="1" s="1"/>
  <c r="N46" i="1"/>
  <c r="N48" i="1" s="1"/>
  <c r="M46" i="1"/>
  <c r="M48" i="1" s="1"/>
  <c r="L46" i="1"/>
  <c r="L48" i="1" s="1"/>
  <c r="K46" i="1"/>
  <c r="K48" i="1" s="1"/>
  <c r="J46" i="1"/>
  <c r="J48" i="1" s="1"/>
  <c r="I46" i="1"/>
  <c r="I48" i="1" s="1"/>
  <c r="H46" i="1"/>
  <c r="H48" i="1" s="1"/>
  <c r="G46" i="1"/>
  <c r="O24" i="1"/>
  <c r="O26" i="1" s="1"/>
  <c r="N24" i="1"/>
  <c r="N26" i="1" s="1"/>
  <c r="M24" i="1"/>
  <c r="T24" i="1" s="1"/>
  <c r="L24" i="1"/>
  <c r="L26" i="1" s="1"/>
  <c r="K24" i="1"/>
  <c r="K26" i="1" s="1"/>
  <c r="J24" i="1"/>
  <c r="I24" i="1"/>
  <c r="H24" i="1"/>
  <c r="G24" i="1"/>
  <c r="G26" i="1" s="1"/>
  <c r="O23" i="1"/>
  <c r="N23" i="1"/>
  <c r="M23" i="1"/>
  <c r="L23" i="1"/>
  <c r="K23" i="1"/>
  <c r="J23" i="1"/>
  <c r="I23" i="1"/>
  <c r="H23" i="1"/>
  <c r="G23" i="1"/>
  <c r="O22" i="1"/>
  <c r="N22" i="1"/>
  <c r="M22" i="1"/>
  <c r="L22" i="1"/>
  <c r="K22" i="1"/>
  <c r="J22" i="1"/>
  <c r="I22" i="1"/>
  <c r="H22" i="1"/>
  <c r="G22" i="1"/>
  <c r="O18" i="1"/>
  <c r="O20" i="1" s="1"/>
  <c r="J18" i="1"/>
  <c r="J20" i="1" s="1"/>
  <c r="K18" i="1"/>
  <c r="K20" i="1" s="1"/>
  <c r="L18" i="1"/>
  <c r="L20" i="1" s="1"/>
  <c r="M18" i="1"/>
  <c r="N18" i="1"/>
  <c r="N20" i="1" s="1"/>
  <c r="I18" i="1"/>
  <c r="I20" i="1" s="1"/>
  <c r="H18" i="1"/>
  <c r="H20" i="1" s="1"/>
  <c r="G18" i="1"/>
  <c r="G20" i="1" s="1"/>
  <c r="C64" i="1"/>
  <c r="C62" i="1"/>
  <c r="C52" i="1"/>
  <c r="C51" i="1"/>
  <c r="A51" i="1"/>
  <c r="A52" i="1" s="1"/>
  <c r="C50" i="1"/>
  <c r="A47" i="1"/>
  <c r="C48" i="1" s="1"/>
  <c r="C46" i="1"/>
  <c r="C34" i="1"/>
  <c r="C29" i="1"/>
  <c r="C28" i="1"/>
  <c r="C27" i="1"/>
  <c r="C26" i="1"/>
  <c r="C24" i="1"/>
  <c r="C23" i="1"/>
  <c r="C22" i="1"/>
  <c r="C20" i="1"/>
  <c r="A19" i="1"/>
  <c r="A20" i="1" s="1"/>
  <c r="C18" i="1"/>
  <c r="E6" i="1"/>
  <c r="F6" i="1" s="1"/>
  <c r="G6" i="1" s="1"/>
  <c r="H6" i="1" s="1"/>
  <c r="I6" i="1" s="1"/>
  <c r="J6" i="1" s="1"/>
  <c r="K6" i="1" s="1"/>
  <c r="L6" i="1" s="1"/>
  <c r="M6" i="1" s="1"/>
  <c r="N6" i="1" s="1"/>
  <c r="O6" i="1" s="1"/>
  <c r="Q18" i="1"/>
  <c r="D20" i="1"/>
  <c r="E20" i="1"/>
  <c r="F20" i="1"/>
  <c r="M20" i="1"/>
  <c r="D26" i="1"/>
  <c r="D27" i="1" s="1"/>
  <c r="E26" i="1"/>
  <c r="E27" i="1" s="1"/>
  <c r="F26" i="1"/>
  <c r="F27" i="1" s="1"/>
  <c r="H26" i="1"/>
  <c r="J26" i="1"/>
  <c r="Q46" i="1"/>
  <c r="D48" i="1"/>
  <c r="E48" i="1"/>
  <c r="F48" i="1"/>
  <c r="G48" i="1"/>
  <c r="D54" i="1"/>
  <c r="D55" i="1" s="1"/>
  <c r="D56" i="1" s="1"/>
  <c r="E54" i="1"/>
  <c r="E55" i="1" s="1"/>
  <c r="F54" i="1"/>
  <c r="F55" i="1" s="1"/>
  <c r="L54" i="1"/>
  <c r="D59" i="1"/>
  <c r="E59" i="1"/>
  <c r="F59" i="1"/>
  <c r="G59" i="1"/>
  <c r="H59" i="1"/>
  <c r="I59" i="1"/>
  <c r="J59" i="1"/>
  <c r="K59" i="1"/>
  <c r="L59" i="1"/>
  <c r="M59" i="1"/>
  <c r="N59" i="1"/>
  <c r="O59" i="1"/>
  <c r="R51" i="1" l="1"/>
  <c r="I55" i="1"/>
  <c r="I56" i="1" s="1"/>
  <c r="L55" i="1"/>
  <c r="G27" i="1"/>
  <c r="U38" i="1"/>
  <c r="U11" i="1"/>
  <c r="L56" i="1"/>
  <c r="J55" i="1"/>
  <c r="J56" i="1" s="1"/>
  <c r="K55" i="1"/>
  <c r="K56" i="1" s="1"/>
  <c r="Q48" i="1"/>
  <c r="Q47" i="1" s="1"/>
  <c r="U12" i="1"/>
  <c r="T50" i="1"/>
  <c r="T51" i="1"/>
  <c r="T52" i="1"/>
  <c r="O27" i="1"/>
  <c r="O29" i="1" s="1"/>
  <c r="O30" i="1" s="1"/>
  <c r="N27" i="1"/>
  <c r="N29" i="1" s="1"/>
  <c r="N30" i="1" s="1"/>
  <c r="M26" i="1"/>
  <c r="M27" i="1" s="1"/>
  <c r="M29" i="1" s="1"/>
  <c r="M30" i="1" s="1"/>
  <c r="T22" i="1"/>
  <c r="T23" i="1"/>
  <c r="U50" i="1"/>
  <c r="U51" i="1"/>
  <c r="S50" i="1"/>
  <c r="S51" i="1"/>
  <c r="S22" i="1"/>
  <c r="S23" i="1"/>
  <c r="U24" i="1"/>
  <c r="S24" i="1"/>
  <c r="D57" i="1"/>
  <c r="D58" i="1" s="1"/>
  <c r="H27" i="1"/>
  <c r="H28" i="1" s="1"/>
  <c r="R22" i="1"/>
  <c r="R24" i="1"/>
  <c r="J27" i="1"/>
  <c r="J29" i="1" s="1"/>
  <c r="J30" i="1" s="1"/>
  <c r="I26" i="1"/>
  <c r="I27" i="1" s="1"/>
  <c r="I29" i="1" s="1"/>
  <c r="I30" i="1" s="1"/>
  <c r="Q11" i="1"/>
  <c r="U22" i="1"/>
  <c r="G55" i="1"/>
  <c r="G56" i="1" s="1"/>
  <c r="O55" i="1"/>
  <c r="O56" i="1" s="1"/>
  <c r="N55" i="1"/>
  <c r="N57" i="1" s="1"/>
  <c r="R23" i="1"/>
  <c r="R50" i="1"/>
  <c r="R52" i="1"/>
  <c r="Q20" i="1"/>
  <c r="Q19" i="1" s="1"/>
  <c r="K27" i="1"/>
  <c r="K28" i="1" s="1"/>
  <c r="S52" i="1"/>
  <c r="M54" i="1"/>
  <c r="M55" i="1" s="1"/>
  <c r="M56" i="1" s="1"/>
  <c r="A48" i="1"/>
  <c r="Q40" i="1"/>
  <c r="U10" i="1"/>
  <c r="U23" i="1"/>
  <c r="U52" i="1"/>
  <c r="Q10" i="1"/>
  <c r="Q12" i="1"/>
  <c r="Q39" i="1"/>
  <c r="U40" i="1"/>
  <c r="U39" i="1"/>
  <c r="Q38" i="1"/>
  <c r="U37" i="1"/>
  <c r="Q37" i="1"/>
  <c r="H55" i="1"/>
  <c r="H56" i="1" s="1"/>
  <c r="I57" i="1"/>
  <c r="L57" i="1"/>
  <c r="L27" i="1"/>
  <c r="L28" i="1" s="1"/>
  <c r="G29" i="1"/>
  <c r="G30" i="1" s="1"/>
  <c r="A53" i="1"/>
  <c r="A54" i="1" s="1"/>
  <c r="A55" i="1" s="1"/>
  <c r="C54" i="1"/>
  <c r="F57" i="1"/>
  <c r="F58" i="1" s="1"/>
  <c r="F56" i="1"/>
  <c r="E56" i="1"/>
  <c r="Q55" i="1"/>
  <c r="Q56" i="1" s="1"/>
  <c r="E57" i="1"/>
  <c r="E58" i="1" s="1"/>
  <c r="F28" i="1"/>
  <c r="F29" i="1"/>
  <c r="F30" i="1" s="1"/>
  <c r="E28" i="1"/>
  <c r="E29" i="1"/>
  <c r="E30" i="1" s="1"/>
  <c r="D28" i="1"/>
  <c r="Q27" i="1"/>
  <c r="Q28" i="1" s="1"/>
  <c r="D29" i="1"/>
  <c r="D30" i="1" s="1"/>
  <c r="G28" i="1"/>
  <c r="N56" i="1" l="1"/>
  <c r="K57" i="1"/>
  <c r="K58" i="1" s="1"/>
  <c r="J57" i="1"/>
  <c r="L58" i="1"/>
  <c r="I58" i="1"/>
  <c r="J58" i="1"/>
  <c r="N58" i="1"/>
  <c r="Q57" i="1"/>
  <c r="M28" i="1"/>
  <c r="I28" i="1"/>
  <c r="N28" i="1"/>
  <c r="H29" i="1"/>
  <c r="H30" i="1" s="1"/>
  <c r="G57" i="1"/>
  <c r="M57" i="1"/>
  <c r="O57" i="1"/>
  <c r="O28" i="1"/>
  <c r="K29" i="1"/>
  <c r="K30" i="1" s="1"/>
  <c r="L29" i="1"/>
  <c r="L30" i="1" s="1"/>
  <c r="J28" i="1"/>
  <c r="H57" i="1"/>
  <c r="C57" i="1"/>
  <c r="C56" i="1"/>
  <c r="C55" i="1"/>
  <c r="Q29" i="1"/>
  <c r="D60" i="1"/>
  <c r="D62" i="1" s="1"/>
  <c r="G58" i="1" l="1"/>
  <c r="H58" i="1"/>
  <c r="M58" i="1"/>
  <c r="O58" i="1"/>
  <c r="D61" i="1"/>
  <c r="Q30" i="1"/>
  <c r="Q58" i="1"/>
  <c r="D32" i="1"/>
  <c r="D33" i="1" s="1"/>
  <c r="E60" i="1"/>
  <c r="D34" i="1" l="1"/>
  <c r="E32" i="1" s="1"/>
  <c r="E33" i="1" s="1"/>
  <c r="D64" i="1"/>
  <c r="E62" i="1"/>
  <c r="E61" i="1"/>
  <c r="E34" i="1" l="1"/>
  <c r="F60" i="1"/>
  <c r="F62" i="1" s="1"/>
  <c r="F32" i="1"/>
  <c r="F33" i="1" s="1"/>
  <c r="E64" i="1"/>
  <c r="F34" i="1" l="1"/>
  <c r="G60" i="1"/>
  <c r="G61" i="1" s="1"/>
  <c r="G32" i="1"/>
  <c r="G33" i="1" s="1"/>
  <c r="F64" i="1"/>
  <c r="F61" i="1"/>
  <c r="Q60" i="1"/>
  <c r="Q32" i="1"/>
  <c r="Q33" i="1" s="1"/>
  <c r="G34" i="1" l="1"/>
  <c r="H32" i="1" s="1"/>
  <c r="H33" i="1" s="1"/>
  <c r="Q63" i="1"/>
  <c r="Q61" i="1"/>
  <c r="G62" i="1"/>
  <c r="H60" i="1" l="1"/>
  <c r="H61" i="1" s="1"/>
  <c r="H34" i="1"/>
  <c r="G64" i="1"/>
  <c r="H62" i="1" l="1"/>
  <c r="I60" i="1" s="1"/>
  <c r="I61" i="1" s="1"/>
  <c r="I32" i="1"/>
  <c r="I33" i="1" s="1"/>
  <c r="H64" i="1" l="1"/>
  <c r="I62" i="1"/>
  <c r="J60" i="1" s="1"/>
  <c r="J61" i="1" s="1"/>
  <c r="I34" i="1"/>
  <c r="J32" i="1" s="1"/>
  <c r="J33" i="1" s="1"/>
  <c r="J62" i="1" l="1"/>
  <c r="K60" i="1" s="1"/>
  <c r="K61" i="1" s="1"/>
  <c r="I64" i="1"/>
  <c r="K62" i="1" l="1"/>
  <c r="L60" i="1" s="1"/>
  <c r="L61" i="1" s="1"/>
  <c r="J34" i="1"/>
  <c r="L62" i="1" l="1"/>
  <c r="J64" i="1"/>
  <c r="K32" i="1"/>
  <c r="K33" i="1" s="1"/>
  <c r="K34" i="1" l="1"/>
  <c r="M60" i="1"/>
  <c r="M61" i="1" s="1"/>
  <c r="M62" i="1" l="1"/>
  <c r="K64" i="1"/>
  <c r="L32" i="1"/>
  <c r="L33" i="1" s="1"/>
  <c r="L34" i="1" l="1"/>
  <c r="N60" i="1"/>
  <c r="N61" i="1" s="1"/>
  <c r="N62" i="1" l="1"/>
  <c r="M32" i="1"/>
  <c r="M33" i="1" s="1"/>
  <c r="L64" i="1"/>
  <c r="M34" i="1" l="1"/>
  <c r="M64" i="1" s="1"/>
  <c r="O60" i="1"/>
  <c r="O61" i="1" s="1"/>
  <c r="O62" i="1" l="1"/>
  <c r="N32" i="1"/>
  <c r="N33" i="1" s="1"/>
  <c r="N34" i="1" l="1"/>
  <c r="N64" i="1" s="1"/>
  <c r="O32" i="1" l="1"/>
  <c r="O33" i="1" s="1"/>
  <c r="O34" i="1" l="1"/>
  <c r="O64" i="1" s="1"/>
  <c r="U18" i="2" l="1"/>
  <c r="J95" i="3" l="1"/>
  <c r="J96" i="3"/>
  <c r="J99" i="3"/>
  <c r="J100" i="3"/>
  <c r="J98" i="3"/>
  <c r="U18" i="1" l="1"/>
  <c r="K98" i="3" l="1"/>
  <c r="K96" i="3" l="1"/>
  <c r="F63" i="3"/>
  <c r="F67" i="3"/>
  <c r="F68" i="3" l="1"/>
  <c r="F190" i="3" l="1"/>
  <c r="F88" i="3"/>
  <c r="F79" i="3" l="1"/>
  <c r="F75" i="3"/>
  <c r="F9" i="3"/>
  <c r="F80" i="3" l="1"/>
  <c r="K100" i="3" l="1"/>
  <c r="K99" i="3"/>
  <c r="K95" i="3"/>
  <c r="F162" i="3" l="1"/>
  <c r="F166" i="3"/>
  <c r="F167" i="3" l="1"/>
  <c r="F199" i="3" l="1"/>
  <c r="F195" i="3"/>
  <c r="F186" i="3"/>
  <c r="F191" i="3" s="1"/>
  <c r="F181" i="3"/>
  <c r="F177" i="3"/>
  <c r="F157" i="3"/>
  <c r="F153" i="3"/>
  <c r="F144" i="3"/>
  <c r="F140" i="3"/>
  <c r="F136" i="3"/>
  <c r="F132" i="3"/>
  <c r="F124" i="3"/>
  <c r="F120" i="3"/>
  <c r="F116" i="3"/>
  <c r="F112" i="3"/>
  <c r="F101" i="3"/>
  <c r="F97" i="3"/>
  <c r="F84" i="3"/>
  <c r="F89" i="3" s="1"/>
  <c r="F58" i="3"/>
  <c r="F54" i="3"/>
  <c r="F44" i="3"/>
  <c r="F40" i="3"/>
  <c r="F35" i="3"/>
  <c r="F22" i="3"/>
  <c r="F18" i="3"/>
  <c r="F13" i="3"/>
  <c r="F36" i="3" l="1"/>
  <c r="F45" i="3"/>
  <c r="F158" i="3"/>
  <c r="F168" i="3" s="1"/>
  <c r="F23" i="3"/>
  <c r="F182" i="3"/>
  <c r="F59" i="3"/>
  <c r="F14" i="3"/>
  <c r="T18" i="1" l="1"/>
  <c r="G55" i="2" l="1"/>
  <c r="D55" i="2"/>
  <c r="O51" i="2"/>
  <c r="O52" i="2" s="1"/>
  <c r="N51" i="2"/>
  <c r="N52" i="2" s="1"/>
  <c r="M51" i="2"/>
  <c r="L51" i="2"/>
  <c r="L52" i="2" s="1"/>
  <c r="K51" i="2"/>
  <c r="J51" i="2"/>
  <c r="I51" i="2"/>
  <c r="I52" i="2" s="1"/>
  <c r="H51" i="2"/>
  <c r="H52" i="2" s="1"/>
  <c r="G51" i="2"/>
  <c r="G52" i="2" s="1"/>
  <c r="F51" i="2"/>
  <c r="F52" i="2" s="1"/>
  <c r="E51" i="2"/>
  <c r="E52" i="2" s="1"/>
  <c r="D51" i="2"/>
  <c r="D52" i="2" s="1"/>
  <c r="N46" i="2"/>
  <c r="M46" i="2"/>
  <c r="L46" i="2"/>
  <c r="K46" i="2"/>
  <c r="J46" i="2"/>
  <c r="I46" i="2"/>
  <c r="H46" i="2"/>
  <c r="G46" i="2"/>
  <c r="F46" i="2"/>
  <c r="E46" i="2"/>
  <c r="D46" i="2"/>
  <c r="U44" i="2"/>
  <c r="T44" i="2"/>
  <c r="S44" i="2"/>
  <c r="R44" i="2"/>
  <c r="Q44" i="2"/>
  <c r="H55" i="2"/>
  <c r="O25" i="2"/>
  <c r="N25" i="2"/>
  <c r="N26" i="2" s="1"/>
  <c r="M25" i="2"/>
  <c r="M26" i="2" s="1"/>
  <c r="L25" i="2"/>
  <c r="K25" i="2"/>
  <c r="K26" i="2" s="1"/>
  <c r="J25" i="2"/>
  <c r="J26" i="2" s="1"/>
  <c r="I25" i="2"/>
  <c r="I26" i="2" s="1"/>
  <c r="H25" i="2"/>
  <c r="G25" i="2"/>
  <c r="G26" i="2" s="1"/>
  <c r="F25" i="2"/>
  <c r="F26" i="2" s="1"/>
  <c r="E25" i="2"/>
  <c r="E26" i="2" s="1"/>
  <c r="D25" i="2"/>
  <c r="N20" i="2"/>
  <c r="M20" i="2"/>
  <c r="L20" i="2"/>
  <c r="L27" i="2" s="1"/>
  <c r="L28" i="2" s="1"/>
  <c r="K20" i="2"/>
  <c r="J20" i="2"/>
  <c r="I20" i="2"/>
  <c r="H20" i="2"/>
  <c r="G20" i="2"/>
  <c r="F20" i="2"/>
  <c r="E20" i="2"/>
  <c r="D20" i="2"/>
  <c r="T18" i="2"/>
  <c r="S18" i="2"/>
  <c r="R18" i="2"/>
  <c r="Q18" i="2"/>
  <c r="E6" i="2"/>
  <c r="F6" i="2" s="1"/>
  <c r="G6" i="2" s="1"/>
  <c r="H6" i="2" s="1"/>
  <c r="I6" i="2" s="1"/>
  <c r="J6" i="2" s="1"/>
  <c r="K6" i="2" s="1"/>
  <c r="L6" i="2" s="1"/>
  <c r="M6" i="2" s="1"/>
  <c r="N6" i="2" s="1"/>
  <c r="O6" i="2" s="1"/>
  <c r="U46" i="1"/>
  <c r="T46" i="1"/>
  <c r="S46" i="1"/>
  <c r="R46" i="1"/>
  <c r="S18" i="1"/>
  <c r="R18" i="1"/>
  <c r="E27" i="2" l="1"/>
  <c r="E28" i="2" s="1"/>
  <c r="D53" i="2"/>
  <c r="K27" i="2"/>
  <c r="K28" i="2" s="1"/>
  <c r="H27" i="2"/>
  <c r="H28" i="2" s="1"/>
  <c r="F27" i="2"/>
  <c r="F28" i="2" s="1"/>
  <c r="G27" i="2"/>
  <c r="G28" i="2" s="1"/>
  <c r="J27" i="2"/>
  <c r="J28" i="2" s="1"/>
  <c r="M27" i="2"/>
  <c r="M28" i="2" s="1"/>
  <c r="N27" i="2"/>
  <c r="N28" i="2" s="1"/>
  <c r="O27" i="2"/>
  <c r="O28" i="2" s="1"/>
  <c r="U20" i="1"/>
  <c r="I27" i="2"/>
  <c r="I28" i="2" s="1"/>
  <c r="S20" i="2"/>
  <c r="S19" i="2" s="1"/>
  <c r="Q25" i="2"/>
  <c r="Q26" i="2" s="1"/>
  <c r="E53" i="2"/>
  <c r="T46" i="2"/>
  <c r="T45" i="2" s="1"/>
  <c r="T20" i="2"/>
  <c r="T19" i="2" s="1"/>
  <c r="N53" i="2"/>
  <c r="D26" i="2"/>
  <c r="L53" i="2"/>
  <c r="K53" i="2"/>
  <c r="F53" i="2"/>
  <c r="Q51" i="2"/>
  <c r="Q52" i="2" s="1"/>
  <c r="D27" i="2"/>
  <c r="D28" i="2" s="1"/>
  <c r="Q20" i="2"/>
  <c r="Q19" i="2" s="1"/>
  <c r="F55" i="2"/>
  <c r="E55" i="2"/>
  <c r="U46" i="2"/>
  <c r="U45" i="2" s="1"/>
  <c r="Q46" i="2"/>
  <c r="Q45" i="2" s="1"/>
  <c r="S51" i="2"/>
  <c r="S52" i="2" s="1"/>
  <c r="J52" i="2"/>
  <c r="J53" i="2"/>
  <c r="K52" i="2"/>
  <c r="H26" i="2"/>
  <c r="R46" i="2"/>
  <c r="R45" i="2" s="1"/>
  <c r="M53" i="2"/>
  <c r="M52" i="2"/>
  <c r="G53" i="2"/>
  <c r="R48" i="1"/>
  <c r="R47" i="1" s="1"/>
  <c r="R20" i="1"/>
  <c r="R19" i="1" s="1"/>
  <c r="O53" i="2"/>
  <c r="T51" i="2"/>
  <c r="T52" i="2" s="1"/>
  <c r="O26" i="2"/>
  <c r="T25" i="2"/>
  <c r="T26" i="2" s="1"/>
  <c r="U51" i="2"/>
  <c r="U52" i="2" s="1"/>
  <c r="S46" i="2"/>
  <c r="S45" i="2" s="1"/>
  <c r="L26" i="2"/>
  <c r="S25" i="2"/>
  <c r="S26" i="2" s="1"/>
  <c r="U20" i="2"/>
  <c r="U19" i="2" s="1"/>
  <c r="S20" i="1"/>
  <c r="S19" i="1" s="1"/>
  <c r="R51" i="2"/>
  <c r="R52" i="2" s="1"/>
  <c r="I53" i="2"/>
  <c r="H53" i="2"/>
  <c r="U25" i="2"/>
  <c r="R25" i="2"/>
  <c r="R26" i="2" s="1"/>
  <c r="R20" i="2"/>
  <c r="R19" i="2" s="1"/>
  <c r="U27" i="1"/>
  <c r="U28" i="1" s="1"/>
  <c r="R55" i="1"/>
  <c r="R56" i="1" s="1"/>
  <c r="S48" i="1"/>
  <c r="S47" i="1" s="1"/>
  <c r="T20" i="1"/>
  <c r="T19" i="1" s="1"/>
  <c r="R27" i="1"/>
  <c r="R28" i="1" s="1"/>
  <c r="T48" i="1"/>
  <c r="T47" i="1" s="1"/>
  <c r="S55" i="1"/>
  <c r="S56" i="1" s="1"/>
  <c r="S27" i="1"/>
  <c r="S28" i="1" s="1"/>
  <c r="T27" i="1"/>
  <c r="T28" i="1" s="1"/>
  <c r="T55" i="1"/>
  <c r="T56" i="1" s="1"/>
  <c r="D54" i="2" l="1"/>
  <c r="E54" i="2"/>
  <c r="Q54" i="2" s="1"/>
  <c r="F54" i="2"/>
  <c r="J54" i="2"/>
  <c r="M54" i="2"/>
  <c r="G54" i="2"/>
  <c r="H54" i="2"/>
  <c r="R54" i="2" s="1"/>
  <c r="K54" i="2"/>
  <c r="I54" i="2"/>
  <c r="L54" i="2"/>
  <c r="N54" i="2"/>
  <c r="O54" i="2"/>
  <c r="T54" i="2" s="1"/>
  <c r="T57" i="1"/>
  <c r="T58" i="1"/>
  <c r="Q53" i="2"/>
  <c r="R27" i="2"/>
  <c r="S53" i="2"/>
  <c r="R28" i="2"/>
  <c r="S27" i="2"/>
  <c r="T53" i="2"/>
  <c r="Q28" i="2"/>
  <c r="D56" i="2"/>
  <c r="D58" i="2" s="1"/>
  <c r="Q27" i="2"/>
  <c r="T29" i="1"/>
  <c r="T27" i="2"/>
  <c r="U27" i="2"/>
  <c r="U53" i="2"/>
  <c r="R53" i="2"/>
  <c r="I55" i="2"/>
  <c r="U19" i="1"/>
  <c r="U55" i="1"/>
  <c r="U56" i="1" s="1"/>
  <c r="S29" i="1"/>
  <c r="T30" i="1"/>
  <c r="U48" i="1"/>
  <c r="U47" i="1" s="1"/>
  <c r="R57" i="1"/>
  <c r="S57" i="1"/>
  <c r="R29" i="1"/>
  <c r="S54" i="2" l="1"/>
  <c r="T28" i="2"/>
  <c r="S28" i="2"/>
  <c r="U54" i="2"/>
  <c r="U28" i="2"/>
  <c r="E56" i="2"/>
  <c r="E57" i="2" s="1"/>
  <c r="D57" i="2"/>
  <c r="D30" i="2"/>
  <c r="S58" i="1"/>
  <c r="J55" i="2"/>
  <c r="R58" i="1"/>
  <c r="U58" i="1"/>
  <c r="U30" i="1"/>
  <c r="U57" i="1"/>
  <c r="U29" i="1"/>
  <c r="R30" i="1"/>
  <c r="S30" i="1"/>
  <c r="D32" i="2" l="1"/>
  <c r="D31" i="2"/>
  <c r="E58" i="2"/>
  <c r="K55" i="2"/>
  <c r="F56" i="2" l="1"/>
  <c r="D60" i="2"/>
  <c r="E30" i="2"/>
  <c r="L55" i="2"/>
  <c r="F57" i="2" l="1"/>
  <c r="Q56" i="2"/>
  <c r="Q57" i="2" s="1"/>
  <c r="E31" i="2"/>
  <c r="E32" i="2"/>
  <c r="E60" i="2" s="1"/>
  <c r="F58" i="2"/>
  <c r="M55" i="2"/>
  <c r="F30" i="2" l="1"/>
  <c r="F31" i="2" s="1"/>
  <c r="G56" i="2"/>
  <c r="O55" i="2"/>
  <c r="N55" i="2"/>
  <c r="Q30" i="2" l="1"/>
  <c r="Q31" i="2" s="1"/>
  <c r="F32" i="2"/>
  <c r="F60" i="2" s="1"/>
  <c r="G57" i="2"/>
  <c r="G58" i="2"/>
  <c r="H56" i="2" s="1"/>
  <c r="G30" i="2" l="1"/>
  <c r="G31" i="2" s="1"/>
  <c r="H58" i="2"/>
  <c r="H57" i="2"/>
  <c r="G32" i="2" l="1"/>
  <c r="G60" i="2" s="1"/>
  <c r="I56" i="2"/>
  <c r="H30" i="2" l="1"/>
  <c r="H31" i="2" s="1"/>
  <c r="I57" i="2"/>
  <c r="R56" i="2"/>
  <c r="R57" i="2" s="1"/>
  <c r="I58" i="2"/>
  <c r="J56" i="2" s="1"/>
  <c r="J57" i="2" s="1"/>
  <c r="R60" i="1"/>
  <c r="H32" i="2" l="1"/>
  <c r="I30" i="2" s="1"/>
  <c r="I32" i="2" s="1"/>
  <c r="J58" i="2"/>
  <c r="K56" i="2" s="1"/>
  <c r="R32" i="1"/>
  <c r="R33" i="1" s="1"/>
  <c r="R63" i="1"/>
  <c r="R61" i="1"/>
  <c r="H60" i="2" l="1"/>
  <c r="K57" i="2"/>
  <c r="I31" i="2"/>
  <c r="R30" i="2"/>
  <c r="R31" i="2" s="1"/>
  <c r="J30" i="2"/>
  <c r="J32" i="2" s="1"/>
  <c r="K30" i="2" s="1"/>
  <c r="I60" i="2"/>
  <c r="K58" i="2"/>
  <c r="L56" i="2" s="1"/>
  <c r="S56" i="2" s="1"/>
  <c r="S57" i="2" s="1"/>
  <c r="L58" i="2" l="1"/>
  <c r="L57" i="2"/>
  <c r="K31" i="2"/>
  <c r="J60" i="2"/>
  <c r="J31" i="2"/>
  <c r="K32" i="2" l="1"/>
  <c r="M56" i="2"/>
  <c r="M58" i="2" l="1"/>
  <c r="N56" i="2" s="1"/>
  <c r="N57" i="2" s="1"/>
  <c r="M57" i="2"/>
  <c r="K60" i="2"/>
  <c r="L30" i="2"/>
  <c r="S30" i="2" s="1"/>
  <c r="S31" i="2" s="1"/>
  <c r="S60" i="1"/>
  <c r="N58" i="2" l="1"/>
  <c r="O56" i="2" s="1"/>
  <c r="L32" i="2"/>
  <c r="L31" i="2"/>
  <c r="S63" i="1"/>
  <c r="S61" i="1"/>
  <c r="O57" i="2" l="1"/>
  <c r="T56" i="2"/>
  <c r="T57" i="2" s="1"/>
  <c r="U56" i="2"/>
  <c r="U57" i="2" s="1"/>
  <c r="O58" i="2"/>
  <c r="L60" i="2"/>
  <c r="M30" i="2"/>
  <c r="S32" i="1"/>
  <c r="S33" i="1" s="1"/>
  <c r="M32" i="2" l="1"/>
  <c r="M31" i="2"/>
  <c r="M60" i="2" l="1"/>
  <c r="N30" i="2"/>
  <c r="N32" i="2" s="1"/>
  <c r="U60" i="1"/>
  <c r="T60" i="1"/>
  <c r="N31" i="2" l="1"/>
  <c r="N60" i="2"/>
  <c r="O30" i="2"/>
  <c r="U30" i="2" s="1"/>
  <c r="U31" i="2" s="1"/>
  <c r="T63" i="1"/>
  <c r="T61" i="1"/>
  <c r="U63" i="1"/>
  <c r="U61" i="1"/>
  <c r="T30" i="2" l="1"/>
  <c r="T31" i="2" s="1"/>
  <c r="O32" i="2"/>
  <c r="O60" i="2" s="1"/>
  <c r="O31" i="2"/>
  <c r="U32" i="1"/>
  <c r="U33" i="1" s="1"/>
  <c r="T32" i="1"/>
  <c r="T33" i="1" s="1"/>
  <c r="C105" i="7" l="1"/>
  <c r="D105" i="7"/>
  <c r="F105" i="7"/>
  <c r="D106" i="7"/>
  <c r="F106" i="7"/>
  <c r="D107" i="7"/>
  <c r="F107" i="7"/>
  <c r="D108" i="7"/>
  <c r="F108" i="7"/>
  <c r="D109" i="7"/>
  <c r="C137" i="7"/>
  <c r="D137" i="7"/>
  <c r="F137" i="7"/>
  <c r="D138" i="7"/>
  <c r="F138" i="7"/>
  <c r="D139" i="7"/>
  <c r="F139" i="7"/>
  <c r="D140" i="7"/>
  <c r="F140" i="7"/>
  <c r="D141" i="7"/>
  <c r="C16" i="7"/>
  <c r="H16" i="7" s="1"/>
  <c r="F109" i="7"/>
  <c r="C15" i="7"/>
  <c r="H15" i="7" s="1"/>
  <c r="C14" i="7"/>
  <c r="C20" i="7" s="1"/>
  <c r="H20" i="7" s="1"/>
  <c r="C13" i="7"/>
  <c r="H13" i="7" s="1"/>
  <c r="F141" i="7"/>
  <c r="C12" i="7"/>
  <c r="H12" i="7" s="1"/>
  <c r="C21" i="7" l="1"/>
  <c r="H21" i="7" s="1"/>
  <c r="C19" i="7"/>
  <c r="H19" i="7" s="1"/>
  <c r="H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2" authorId="0" shapeId="0" xr:uid="{9EDF6891-F2CA-46BA-AB73-403B0E6FEF87}">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 ref="O62" authorId="0" shapeId="0" xr:uid="{BBBC0732-0A1E-4556-B252-582CDD462353}">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 ref="F80" authorId="0" shapeId="0" xr:uid="{50E352B5-C5A0-4756-8C0F-4F297B64AFBF}">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 ref="O80" authorId="0" shapeId="0" xr:uid="{5684599D-8AFB-4F9C-94D1-79E7A7996F57}">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List>
</comments>
</file>

<file path=xl/sharedStrings.xml><?xml version="1.0" encoding="utf-8"?>
<sst xmlns="http://schemas.openxmlformats.org/spreadsheetml/2006/main" count="911" uniqueCount="220">
  <si>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</si>
  <si>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</si>
  <si>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</si>
  <si>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</si>
  <si>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</si>
  <si>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</si>
  <si>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</si>
  <si>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</si>
  <si>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</si>
  <si>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</si>
  <si>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</si>
  <si>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</si>
  <si>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</si>
  <si>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</si>
  <si>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</si>
  <si>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</si>
  <si>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</si>
  <si>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</si>
  <si>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</si>
  <si>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</si>
  <si>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</si>
  <si>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</si>
  <si>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</si>
  <si>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</si>
  <si>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</si>
  <si>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</si>
  <si>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</si>
  <si>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</si>
  <si>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</si>
  <si>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</si>
  <si>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</si>
  <si>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</si>
  <si>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</si>
  <si>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</si>
  <si>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</si>
  <si>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</si>
  <si>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</si>
  <si>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</si>
  <si>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</si>
  <si>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</si>
  <si>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</si>
  <si>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</si>
  <si>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</si>
  <si>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</si>
  <si>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</si>
  <si>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</si>
  <si>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</si>
  <si>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</si>
  <si>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</si>
  <si>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</si>
  <si>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</si>
  <si>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</si>
  <si>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</si>
  <si>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</si>
  <si>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</si>
  <si>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</si>
  <si>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</si>
  <si>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</si>
  <si>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</si>
  <si>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</si>
  <si>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</si>
  <si>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</si>
  <si>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</si>
  <si>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</si>
  <si>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</si>
  <si>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</si>
  <si>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</si>
  <si>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</si>
  <si>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</si>
  <si>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</si>
  <si>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</si>
  <si>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</si>
  <si>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</si>
  <si>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</si>
  <si>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</si>
  <si>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</si>
  <si>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</si>
  <si>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</si>
  <si>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</si>
  <si>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</si>
  <si>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</si>
  <si>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</si>
  <si>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</si>
  <si>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</si>
  <si>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</si>
  <si>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</si>
  <si>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</si>
  <si>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5, Page 3</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</si>
  <si>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</si>
  <si>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</si>
  <si>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</si>
  <si>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</si>
  <si>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</si>
  <si>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</si>
  <si>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</si>
  <si>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</si>
  <si>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</si>
  <si>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</si>
  <si>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</si>
  <si>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</si>
  <si>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</si>
  <si>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</si>
  <si>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</si>
  <si>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</si>
  <si>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</si>
  <si>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</si>
  <si>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</si>
  <si>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</si>
  <si>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</si>
  <si>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</si>
  <si>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</si>
  <si>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</si>
  <si>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</si>
  <si>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</si>
  <si>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</si>
  <si>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</si>
  <si>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</si>
  <si>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</si>
  <si>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</si>
  <si>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</si>
  <si>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</si>
  <si>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</si>
  <si>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</si>
  <si>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</si>
  <si>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</si>
  <si>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</si>
  <si>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</si>
  <si>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</si>
  <si>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</si>
  <si>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</si>
  <si>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</si>
  <si>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</si>
  <si>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</si>
  <si>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</si>
  <si>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</si>
  <si>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</si>
  <si>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</si>
  <si>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</si>
  <si>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</si>
  <si>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</si>
  <si>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</si>
  <si>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</si>
  <si>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</si>
  <si>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</si>
  <si>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</si>
  <si>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</si>
  <si>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</si>
  <si>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</si>
  <si>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</si>
  <si>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</si>
  <si>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</si>
  <si>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</si>
  <si>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1st Quarter</t>
  </si>
  <si>
    <t>2nd Quarter</t>
  </si>
  <si>
    <t>3rd Quarter</t>
  </si>
  <si>
    <t>4th Quarter</t>
  </si>
  <si>
    <t>2019 Deferred Revenue Pending Recovery</t>
  </si>
  <si>
    <t>Actual Usage (kWhs)</t>
  </si>
  <si>
    <t>New Customers</t>
  </si>
  <si>
    <t>New Customer Usage (kWhs)</t>
  </si>
  <si>
    <t>New Customer Base Rate Revenue</t>
  </si>
  <si>
    <t>New Customer Basic Charge Revenue</t>
  </si>
  <si>
    <t>Actual Customers/Test Year Existing</t>
  </si>
  <si>
    <t>Attachment 3,  Page 3</t>
  </si>
  <si>
    <t>Actual Base Rate Revenue/Test Year Existing</t>
  </si>
  <si>
    <t>Actual Basic Charge Revenue/Test Year Existing</t>
  </si>
  <si>
    <t>Actual Usage (kWhs)/Test Year Existing</t>
  </si>
  <si>
    <t>Attachment 3, Page 1</t>
  </si>
  <si>
    <t>Cumulative Deferral (Rebate)/Surcharge Balance</t>
  </si>
  <si>
    <t>Attachment 3, Page 3</t>
  </si>
  <si>
    <t>Total Cumulative Deferral (Rebate)/Surcharge Balance</t>
  </si>
  <si>
    <t>Actual Usage ("Therms)</t>
  </si>
  <si>
    <t>New Customer Usage (Therms)</t>
  </si>
  <si>
    <t>New Customer Fixed Charge Revenue</t>
  </si>
  <si>
    <t>Actual/Test Year Existing Customers</t>
  </si>
  <si>
    <t>Actual Usage /Test Year Existing</t>
  </si>
  <si>
    <t>Actual Base Rate Revenue / Test Year Existing</t>
  </si>
  <si>
    <t>Actual Fixed Charge Revenue / Test Year Existing</t>
  </si>
  <si>
    <t>Cumulative Deferral (Rebate) Balance</t>
  </si>
  <si>
    <t>Test Year Existing Customers</t>
  </si>
  <si>
    <t>Actual Usage (Therms) /Test Year Existing</t>
  </si>
  <si>
    <t>Total Cumulative Deferral (Rebate)</t>
  </si>
  <si>
    <t>YTD Weighted</t>
  </si>
  <si>
    <t>Check to Int Recon Tab</t>
  </si>
  <si>
    <t>Annual</t>
  </si>
  <si>
    <t>Average Customer Adjustment</t>
  </si>
  <si>
    <t>*</t>
  </si>
  <si>
    <t xml:space="preserve"> **</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</si>
  <si>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an increase to decoupled revenue of $___.</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</si>
  <si>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$____.</t>
  </si>
  <si>
    <t>Decoupling Mechanism - UE-190334 Base effective 4/1/2020</t>
  </si>
  <si>
    <t>Development of WA Electric Deferrals (Calendar Year 2021)</t>
  </si>
  <si>
    <t>Decoupling Mechanism -UG-190335 Base effective 4/1/2020</t>
  </si>
  <si>
    <t>Development of WA Natural Gas Deferrals (Calendar Year 2021)</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</si>
  <si>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$____.</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</si>
  <si>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$_____.</t>
  </si>
  <si>
    <t>Provision for Rate Refund - December 2020 Estimate</t>
  </si>
  <si>
    <t>TRANSFER PRIOR YEAR BALANCES APPROVED FOR RECOVERY TO SURCHARGE/REBATE ACCOUNTS AUGUST 1.</t>
  </si>
  <si>
    <r>
      <rPr>
        <b/>
        <sz val="11"/>
        <color theme="1"/>
        <rFont val="Calibri"/>
        <family val="2"/>
        <scheme val="minor"/>
      </rPr>
      <t>2)</t>
    </r>
    <r>
      <rPr>
        <sz val="11"/>
        <color theme="1"/>
        <rFont val="Calibri"/>
        <family val="2"/>
        <scheme val="minor"/>
      </rPr>
      <t xml:space="preserve">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2021 surcharge may not be fully recovered by 12/31/2023 and therefore would not be recognizable as income for financial reporting purposes in 2021.   The income statement impact of any contra deferral entries will be eliminated for Commission Basis results reporting.</t>
    </r>
  </si>
  <si>
    <t>Revised</t>
  </si>
  <si>
    <t xml:space="preserve">Revised
</t>
  </si>
  <si>
    <t>Q1 Revision Entry</t>
  </si>
  <si>
    <t>Check to Deferral</t>
  </si>
  <si>
    <t>A</t>
  </si>
  <si>
    <r>
      <rPr>
        <b/>
        <sz val="11"/>
        <color theme="5"/>
        <rFont val="Calibri"/>
        <family val="2"/>
        <scheme val="minor"/>
      </rPr>
      <t xml:space="preserve">A </t>
    </r>
    <r>
      <rPr>
        <sz val="11"/>
        <color theme="1"/>
        <rFont val="Calibri"/>
        <family val="2"/>
        <scheme val="minor"/>
      </rPr>
      <t>- See note (3) for explanation of Q1 Revision Entry.</t>
    </r>
  </si>
  <si>
    <t>Surcharge increased by $91,219</t>
  </si>
  <si>
    <t>Surcharge decreased by $63,000</t>
  </si>
  <si>
    <t>Rebate decreased by $61,180</t>
  </si>
  <si>
    <t>Surcharge increased by $15,986</t>
  </si>
  <si>
    <t>Electric Residential:</t>
  </si>
  <si>
    <t>Electric Non-Residential:</t>
  </si>
  <si>
    <t>Natural Gas Residential:</t>
  </si>
  <si>
    <t>Natural Gas Non-Residential:</t>
  </si>
  <si>
    <r>
      <rPr>
        <b/>
        <sz val="11"/>
        <color theme="1"/>
        <rFont val="Calibri"/>
        <family val="2"/>
        <scheme val="minor"/>
      </rPr>
      <t>3)</t>
    </r>
    <r>
      <rPr>
        <sz val="11"/>
        <color theme="1"/>
        <rFont val="Calibri"/>
        <family val="2"/>
        <scheme val="minor"/>
      </rPr>
      <t xml:space="preserve">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the month. This issue was identified by the Company during the January close and after internal discussions, the Company used actual customers for December 2020 to calculate the January - March deferral entries due to historically low changes in customer counts during Q1. The difference between actual customers used in the Q1 deferral calculations recorded was compared to the actual at the end of March. The difference was spread evenly to the three months in the quarter and the deferral calculations were re-performed with the revised customer counts. The difference between the deferral amounts recorded and the deferral amounts with the revised actual customers for the quarter was booked with the April 2021 close. The net impact of the correcting entry, including interest, is summarized below:</t>
    </r>
  </si>
  <si>
    <t>202104</t>
  </si>
  <si>
    <t>202105</t>
  </si>
  <si>
    <t>202106</t>
  </si>
  <si>
    <r>
      <rPr>
        <b/>
        <sz val="11"/>
        <color theme="5"/>
        <rFont val="Calibri"/>
        <family val="2"/>
        <scheme val="minor"/>
      </rPr>
      <t xml:space="preserve">* </t>
    </r>
    <r>
      <rPr>
        <sz val="11"/>
        <color theme="1"/>
        <rFont val="Calibri"/>
        <family val="2"/>
        <scheme val="minor"/>
      </rPr>
      <t>- Includes Q1 Revision Entry Interest of $132.56 as noted in Q1 Quarterly Report</t>
    </r>
  </si>
  <si>
    <r>
      <rPr>
        <b/>
        <sz val="11"/>
        <color theme="5"/>
        <rFont val="Calibri"/>
        <family val="2"/>
        <scheme val="minor"/>
      </rPr>
      <t xml:space="preserve">* </t>
    </r>
    <r>
      <rPr>
        <sz val="11"/>
        <color theme="1"/>
        <rFont val="Calibri"/>
        <family val="2"/>
        <scheme val="minor"/>
      </rPr>
      <t>- Includes Q1 Revision Entry Interest of $337.75 as noted in Q1 Quarterly Report</t>
    </r>
  </si>
  <si>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2021.  For residential electric customers, usage and decoupled revenue were lower than authorized in the first quarter and higher than authroized in the second quarter, mainly June, resulting in a net rebate deferral at the end of Q2.  Non-residential electric customers usage and decoupled revenue was lower than authorized in the first quarter and higher than authorized in the second resulting in a net surcharge deferral at the end of Q2. Residential and non-residential natural gas customers usage and decoupled revenues were lower than authorized resulting in net surcharge deferrals at the end of Q2.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</si>
</sst>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9">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8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sz val="11"/>
      <color theme="1"/>
      <name val="Symbol"/>
      <family val="1"/>
      <charset val="2"/>
    </font>
    <font>
      <sz val="11"/>
      <color rgb="FF3333FF"/>
      <name val="Calibri"/>
      <family val="2"/>
      <scheme val="minor"/>
    </font>
    <font>
      <sz val="10"/>
      <color rgb="FF080DDE"/>
      <name val="Times New Roman"/>
      <family val="1"/>
    </font>
    <font>
      <sz val="10"/>
      <color theme="6" tint="-0.499984740745262"/>
      <name val="Times New Roman"/>
      <family val="1"/>
    </font>
    <font>
      <b/>
      <sz val="11"/>
      <color theme="5"/>
      <name val="Symbol"/>
      <family val="1"/>
      <charset val="2"/>
    </font>
    <font>
      <b/>
      <sz val="11"/>
      <color theme="5"/>
      <name val="Calibri"/>
      <family val="2"/>
      <scheme val="minor"/>
    </font>
  </fonts>
  <fills count="1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45">
    <xf numFmtId="0" fontId="0" fillId="0" borderId="0" xfId="0"/>
    <xf numFmtId="0" fontId="6" fillId="2" borderId="0" xfId="3" applyFont="1" applyFill="1" applyAlignment="1">
      <alignment horizontal="center"/>
    </xf>
    <xf numFmtId="0" fontId="5" fillId="2" borderId="0" xfId="3" applyFont="1" applyFill="1" applyAlignment="1">
      <alignment horizontal="left"/>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167" fontId="5" fillId="2" borderId="0" xfId="3" applyNumberFormat="1" applyFont="1" applyFill="1"/>
    <xf numFmtId="170" fontId="5" fillId="2" borderId="0" xfId="6" applyNumberFormat="1"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167" fontId="8" fillId="2" borderId="0" xfId="3" applyNumberFormat="1" applyFont="1" applyFill="1" applyBorder="1"/>
    <xf numFmtId="43" fontId="0" fillId="0" borderId="0" xfId="6" applyFont="1"/>
    <xf numFmtId="166" fontId="7" fillId="2" borderId="0" xfId="3" applyNumberFormat="1" applyFont="1" applyFill="1" applyAlignment="1">
      <alignment vertical="center" wrapText="1"/>
    </xf>
    <xf numFmtId="0" fontId="0" fillId="0" borderId="0" xfId="0"/>
    <xf numFmtId="0" fontId="5" fillId="2" borderId="0" xfId="3"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2" borderId="0" xfId="3" applyFont="1" applyFill="1" applyAlignment="1"/>
    <xf numFmtId="167" fontId="8" fillId="2" borderId="53" xfId="3" applyNumberFormat="1" applyFont="1" applyFill="1" applyBorder="1"/>
    <xf numFmtId="0" fontId="6" fillId="2" borderId="0" xfId="3" applyFont="1" applyFill="1" applyAlignment="1">
      <alignment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6" fontId="5" fillId="2" borderId="0" xfId="3" applyNumberFormat="1" applyFont="1" applyFill="1" applyAlignment="1">
      <alignment vertical="center"/>
    </xf>
    <xf numFmtId="17" fontId="0" fillId="0" borderId="0" xfId="0" applyNumberFormat="1" applyAlignment="1">
      <alignment horizontal="center"/>
    </xf>
    <xf numFmtId="243" fontId="0" fillId="0" borderId="0" xfId="0" applyNumberFormat="1"/>
    <xf numFmtId="10" fontId="0" fillId="0" borderId="0" xfId="0" applyNumberFormat="1"/>
    <xf numFmtId="0" fontId="0" fillId="0" borderId="0" xfId="0" applyAlignment="1">
      <alignment shrinkToFit="1"/>
    </xf>
    <xf numFmtId="0" fontId="0" fillId="0" borderId="0" xfId="0" applyAlignment="1">
      <alignment horizontal="center" vertical="center"/>
    </xf>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17" fontId="30" fillId="0" borderId="0" xfId="0" applyNumberFormat="1" applyFont="1" applyAlignment="1">
      <alignment horizontal="center"/>
    </xf>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0" fontId="0" fillId="0" borderId="0" xfId="0" quotePrefix="1"/>
    <xf numFmtId="17" fontId="176" fillId="2" borderId="51" xfId="3" applyNumberFormat="1" applyFont="1" applyFill="1" applyBorder="1" applyAlignment="1">
      <alignment horizontal="center" vertical="center"/>
    </xf>
    <xf numFmtId="10" fontId="177" fillId="0" borderId="0" xfId="0" applyNumberFormat="1" applyFont="1"/>
    <xf numFmtId="4" fontId="0" fillId="0" borderId="0" xfId="0" applyNumberFormat="1"/>
    <xf numFmtId="244" fontId="0" fillId="0" borderId="0" xfId="0" applyNumberFormat="1"/>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7" fontId="6" fillId="2" borderId="57" xfId="3" applyNumberFormat="1" applyFont="1" applyFill="1" applyBorder="1"/>
    <xf numFmtId="167" fontId="8" fillId="2" borderId="58" xfId="3" applyNumberFormat="1" applyFont="1" applyFill="1" applyBorder="1"/>
    <xf numFmtId="0" fontId="5" fillId="2" borderId="0" xfId="3" applyFont="1" applyFill="1" applyBorder="1" applyAlignment="1">
      <alignment horizontal="center"/>
    </xf>
    <xf numFmtId="0" fontId="7" fillId="2" borderId="0" xfId="3" applyFont="1" applyFill="1" applyBorder="1"/>
    <xf numFmtId="166" fontId="7" fillId="2" borderId="0" xfId="3" applyNumberFormat="1" applyFont="1" applyFill="1" applyBorder="1" applyAlignment="1">
      <alignment vertical="center" wrapText="1"/>
    </xf>
    <xf numFmtId="167" fontId="7" fillId="2" borderId="0" xfId="5" applyNumberFormat="1" applyFont="1" applyFill="1" applyBorder="1"/>
    <xf numFmtId="167" fontId="5" fillId="2" borderId="0" xfId="3"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17" fontId="30" fillId="0" borderId="0" xfId="0" applyNumberFormat="1" applyFont="1"/>
    <xf numFmtId="0" fontId="30" fillId="0" borderId="0" xfId="0" applyFont="1" applyAlignment="1">
      <alignment horizontal="left"/>
    </xf>
    <xf numFmtId="7" fontId="30" fillId="0" borderId="0" xfId="0" applyNumberFormat="1" applyFont="1" applyAlignment="1">
      <alignment horizontal="center"/>
    </xf>
    <xf numFmtId="7" fontId="0" fillId="0" borderId="0" xfId="0" applyNumberFormat="1"/>
    <xf numFmtId="7" fontId="0" fillId="0" borderId="0" xfId="0" applyNumberFormat="1" applyAlignment="1">
      <alignment horizontal="center"/>
    </xf>
    <xf numFmtId="7" fontId="177" fillId="0" borderId="0" xfId="0" applyNumberFormat="1" applyFont="1"/>
    <xf numFmtId="0" fontId="179" fillId="0" borderId="0" xfId="0" applyFont="1"/>
    <xf numFmtId="7" fontId="30" fillId="0" borderId="0" xfId="0" applyNumberFormat="1" applyFont="1"/>
    <xf numFmtId="7" fontId="0" fillId="0" borderId="0" xfId="0" applyNumberFormat="1" applyAlignment="1">
      <alignment horizontal="left" wrapText="1"/>
    </xf>
    <xf numFmtId="7" fontId="0" fillId="0" borderId="0" xfId="1" applyNumberFormat="1" applyFont="1"/>
    <xf numFmtId="7" fontId="178" fillId="0" borderId="0" xfId="0" applyNumberFormat="1" applyFont="1"/>
    <xf numFmtId="44" fontId="180" fillId="0" borderId="0" xfId="0" applyNumberFormat="1" applyFont="1"/>
    <xf numFmtId="165" fontId="7" fillId="2" borderId="0" xfId="6" applyNumberFormat="1" applyFont="1" applyFill="1"/>
    <xf numFmtId="0" fontId="5" fillId="2" borderId="0" xfId="3" applyFont="1" applyFill="1" applyAlignment="1">
      <alignment wrapText="1"/>
    </xf>
    <xf numFmtId="0" fontId="3" fillId="2" borderId="0" xfId="3" applyFont="1" applyFill="1" applyAlignment="1">
      <alignment horizontal="left"/>
    </xf>
    <xf numFmtId="0" fontId="3" fillId="2" borderId="0" xfId="3" applyFont="1" applyFill="1" applyAlignment="1">
      <alignment horizontal="left" wrapText="1"/>
    </xf>
    <xf numFmtId="165" fontId="181" fillId="2" borderId="0" xfId="3" applyNumberFormat="1" applyFont="1" applyFill="1" applyAlignment="1">
      <alignment horizontal="center"/>
    </xf>
    <xf numFmtId="165" fontId="181" fillId="2" borderId="0" xfId="3" applyNumberFormat="1" applyFont="1" applyFill="1" applyBorder="1" applyAlignment="1">
      <alignment horizontal="center"/>
    </xf>
    <xf numFmtId="167" fontId="181" fillId="2" borderId="0" xfId="3" applyNumberFormat="1" applyFont="1" applyFill="1" applyAlignment="1">
      <alignment horizontal="center"/>
    </xf>
    <xf numFmtId="167" fontId="181" fillId="2" borderId="0" xfId="3" applyNumberFormat="1" applyFont="1" applyFill="1" applyBorder="1" applyAlignment="1">
      <alignment horizontal="center"/>
    </xf>
    <xf numFmtId="165" fontId="7" fillId="2" borderId="0" xfId="4" applyNumberFormat="1" applyFont="1" applyFill="1" applyBorder="1"/>
    <xf numFmtId="165" fontId="7" fillId="2" borderId="0" xfId="6" applyNumberFormat="1" applyFont="1" applyFill="1" applyBorder="1"/>
    <xf numFmtId="165" fontId="181" fillId="2" borderId="0" xfId="3" applyNumberFormat="1" applyFont="1" applyFill="1"/>
    <xf numFmtId="167" fontId="181" fillId="2" borderId="0" xfId="3" applyNumberFormat="1" applyFont="1" applyFill="1"/>
    <xf numFmtId="165" fontId="181" fillId="2" borderId="0" xfId="3" applyNumberFormat="1" applyFont="1" applyFill="1" applyBorder="1"/>
    <xf numFmtId="167" fontId="181" fillId="2" borderId="0" xfId="3" applyNumberFormat="1" applyFont="1" applyFill="1" applyBorder="1"/>
    <xf numFmtId="167" fontId="7" fillId="2" borderId="0" xfId="1" applyNumberFormat="1"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0" fillId="0" borderId="0" xfId="0" applyFill="1" applyAlignment="1"/>
    <xf numFmtId="165" fontId="0" fillId="0" borderId="0" xfId="6" applyNumberFormat="1" applyFont="1" applyFill="1"/>
    <xf numFmtId="0" fontId="0" fillId="0" borderId="0" xfId="0" applyAlignment="1">
      <alignment horizontal="left" wrapText="1"/>
    </xf>
    <xf numFmtId="203" fontId="171" fillId="0" borderId="0" xfId="0" applyNumberFormat="1" applyFont="1" applyAlignment="1">
      <alignment vertical="top"/>
    </xf>
    <xf numFmtId="203" fontId="0" fillId="0" borderId="0" xfId="0" applyNumberFormat="1" applyAlignment="1">
      <alignment vertical="top"/>
    </xf>
    <xf numFmtId="0" fontId="0" fillId="0" borderId="0" xfId="0" applyAlignment="1">
      <alignment horizontal="center" wrapText="1"/>
    </xf>
    <xf numFmtId="167" fontId="6" fillId="2" borderId="0" xfId="3" applyNumberFormat="1" applyFont="1" applyFill="1" applyBorder="1"/>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30" fillId="0" borderId="0" xfId="0" applyFont="1" applyAlignment="1">
      <alignment horizontal="right"/>
    </xf>
    <xf numFmtId="17" fontId="180" fillId="0" borderId="0" xfId="0" applyNumberFormat="1" applyFont="1" applyAlignment="1">
      <alignment horizontal="center"/>
    </xf>
    <xf numFmtId="7" fontId="0" fillId="0" borderId="0" xfId="6" applyNumberFormat="1" applyFont="1"/>
    <xf numFmtId="44" fontId="177" fillId="0" borderId="0" xfId="0" applyNumberFormat="1" applyFont="1"/>
    <xf numFmtId="17" fontId="180" fillId="0" borderId="0" xfId="0" applyNumberFormat="1" applyFont="1" applyAlignment="1">
      <alignment horizontal="left"/>
    </xf>
    <xf numFmtId="5" fontId="177" fillId="0" borderId="0" xfId="0" applyNumberFormat="1" applyFont="1"/>
    <xf numFmtId="7" fontId="11" fillId="0" borderId="0" xfId="1" applyNumberFormat="1" applyFont="1" applyAlignment="1">
      <alignment horizontal="right" vertical="center"/>
    </xf>
    <xf numFmtId="0" fontId="172" fillId="0" borderId="0" xfId="0" applyFont="1"/>
    <xf numFmtId="7" fontId="171" fillId="0" borderId="0" xfId="0" applyNumberFormat="1" applyFont="1"/>
    <xf numFmtId="7" fontId="180" fillId="0" borderId="0" xfId="0" applyNumberFormat="1" applyFont="1"/>
    <xf numFmtId="7" fontId="177" fillId="110" borderId="0" xfId="0" applyNumberFormat="1" applyFont="1" applyFill="1"/>
    <xf numFmtId="0" fontId="0" fillId="0" borderId="0" xfId="0" applyAlignment="1">
      <alignment horizontal="left" wrapText="1"/>
    </xf>
    <xf numFmtId="9" fontId="182" fillId="2" borderId="0" xfId="2" applyFont="1" applyFill="1" applyAlignment="1">
      <alignment horizontal="center"/>
    </xf>
    <xf numFmtId="165" fontId="182" fillId="2" borderId="0" xfId="4" applyNumberFormat="1" applyFont="1" applyFill="1"/>
    <xf numFmtId="43" fontId="0" fillId="0" borderId="59" xfId="6" applyFont="1" applyBorder="1"/>
    <xf numFmtId="7" fontId="0" fillId="0" borderId="60" xfId="6" applyNumberFormat="1" applyFont="1" applyBorder="1"/>
    <xf numFmtId="7" fontId="0" fillId="0" borderId="61" xfId="6" applyNumberFormat="1" applyFont="1" applyBorder="1"/>
    <xf numFmtId="7" fontId="0" fillId="0" borderId="62" xfId="6" applyNumberFormat="1" applyFont="1" applyBorder="1"/>
    <xf numFmtId="0" fontId="183" fillId="0" borderId="0" xfId="0" applyFont="1"/>
    <xf numFmtId="17" fontId="0" fillId="111" borderId="0" xfId="0" applyNumberFormat="1" applyFill="1" applyAlignment="1">
      <alignment horizontal="left"/>
    </xf>
    <xf numFmtId="0" fontId="0" fillId="111" borderId="0" xfId="0" applyFill="1"/>
    <xf numFmtId="7" fontId="0" fillId="111" borderId="0" xfId="0" applyNumberFormat="1" applyFill="1"/>
    <xf numFmtId="0" fontId="0" fillId="0" borderId="52" xfId="0" applyFill="1" applyBorder="1" applyAlignment="1">
      <alignment wrapText="1"/>
    </xf>
    <xf numFmtId="0" fontId="0" fillId="0" borderId="0" xfId="0" applyFill="1" applyAlignment="1">
      <alignment horizontal="right"/>
    </xf>
    <xf numFmtId="43" fontId="0" fillId="0" borderId="0" xfId="6" applyFont="1" applyAlignment="1"/>
    <xf numFmtId="0" fontId="30" fillId="0" borderId="0" xfId="0" applyFont="1" applyFill="1" applyAlignment="1">
      <alignment horizontal="right"/>
    </xf>
    <xf numFmtId="0" fontId="5" fillId="2" borderId="0" xfId="3" applyFont="1" applyFill="1" applyAlignment="1">
      <alignment horizontal="left" wrapText="1"/>
    </xf>
    <xf numFmtId="0" fontId="0" fillId="2" borderId="0" xfId="0" applyFill="1"/>
    <xf numFmtId="165" fontId="5" fillId="2" borderId="0" xfId="4" applyNumberFormat="1" applyFont="1" applyFill="1"/>
    <xf numFmtId="0" fontId="5" fillId="2" borderId="0" xfId="3" applyFont="1" applyFill="1" applyAlignment="1">
      <alignment horizontal="center" wrapText="1"/>
    </xf>
    <xf numFmtId="169" fontId="7" fillId="2" borderId="0" xfId="5" applyNumberFormat="1" applyFont="1" applyFill="1"/>
    <xf numFmtId="169" fontId="7" fillId="2" borderId="0" xfId="5" applyNumberFormat="1" applyFont="1" applyFill="1" applyBorder="1"/>
    <xf numFmtId="166" fontId="5" fillId="2" borderId="0" xfId="1" applyNumberFormat="1" applyFont="1" applyFill="1"/>
    <xf numFmtId="10" fontId="122" fillId="2" borderId="0" xfId="2" applyNumberFormat="1" applyFont="1" applyFill="1"/>
    <xf numFmtId="10" fontId="181" fillId="2" borderId="0" xfId="2" applyNumberFormat="1" applyFont="1" applyFill="1"/>
    <xf numFmtId="9" fontId="8" fillId="2" borderId="0" xfId="2" applyFont="1" applyFill="1" applyBorder="1"/>
    <xf numFmtId="168" fontId="7" fillId="2" borderId="0" xfId="5" applyNumberFormat="1" applyFont="1" applyFill="1"/>
    <xf numFmtId="169" fontId="5" fillId="2" borderId="0" xfId="3" applyNumberFormat="1" applyFont="1" applyFill="1"/>
    <xf numFmtId="10" fontId="7" fillId="2" borderId="0" xfId="2" applyNumberFormat="1" applyFont="1" applyFill="1" applyBorder="1"/>
    <xf numFmtId="0" fontId="2" fillId="2" borderId="0" xfId="3" applyFill="1"/>
    <xf numFmtId="0" fontId="9" fillId="2" borderId="0" xfId="3" applyFont="1" applyFill="1" applyAlignment="1">
      <alignment horizontal="center" wrapText="1"/>
    </xf>
    <xf numFmtId="0" fontId="5" fillId="2" borderId="0" xfId="3" applyFont="1" applyFill="1" applyAlignment="1">
      <alignment horizontal="center" vertical="center"/>
    </xf>
    <xf numFmtId="0" fontId="183" fillId="0" borderId="0" xfId="0" applyFont="1" applyAlignment="1">
      <alignment horizontal="right"/>
    </xf>
    <xf numFmtId="0" fontId="5" fillId="2" borderId="0" xfId="3" applyFont="1" applyFill="1" applyAlignment="1">
      <alignment horizontal="left" wrapText="1"/>
    </xf>
    <xf numFmtId="0" fontId="14" fillId="0" borderId="0" xfId="0" applyFont="1" applyAlignment="1">
      <alignment horizontal="center"/>
    </xf>
    <xf numFmtId="0" fontId="0" fillId="0" borderId="0" xfId="0" applyAlignment="1">
      <alignment horizontal="center" wrapText="1"/>
    </xf>
    <xf numFmtId="0" fontId="12" fillId="108" borderId="3" xfId="0" applyFont="1" applyFill="1" applyBorder="1" applyAlignment="1">
      <alignment horizontal="center"/>
    </xf>
    <xf numFmtId="0" fontId="0" fillId="0" borderId="52" xfId="0" applyFill="1" applyBorder="1" applyAlignment="1">
      <alignment horizontal="left" wrapText="1"/>
    </xf>
    <xf numFmtId="0" fontId="0" fillId="0" borderId="0" xfId="0" applyAlignment="1">
      <alignment horizontal="left" wrapText="1"/>
    </xf>
    <xf numFmtId="0" fontId="30" fillId="0" borderId="0" xfId="0" applyFont="1"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xf numFmtId="0" fontId="0" fillId="0" borderId="0" xfId="0" applyFill="1" applyAlignment="1">
      <alignment horizontal="center"/>
    </xf>
    <xf numFmtId="0" fontId="0" fillId="0" borderId="0" xfId="0" applyAlignment="1">
      <alignment horizontal="center"/>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20do%20not%20send/03.2021%20Decoupling%20Result%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Summary"/>
      <sheetName val="Amort Comparison"/>
      <sheetName val="WA Interest Recon"/>
      <sheetName val="ID Interest Recon"/>
      <sheetName val="OR Interest Recon"/>
      <sheetName val="Entry Notes"/>
    </sheetNames>
    <sheetDataSet>
      <sheetData sheetId="0" refreshError="1"/>
      <sheetData sheetId="1" refreshError="1">
        <row r="1">
          <cell r="K1">
            <v>44256</v>
          </cell>
        </row>
        <row r="47">
          <cell r="D47">
            <v>0</v>
          </cell>
        </row>
        <row r="48">
          <cell r="D48">
            <v>96754.66</v>
          </cell>
        </row>
        <row r="57">
          <cell r="D57">
            <v>-28037.07</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tabSelected="1" zoomScaleNormal="100" zoomScaleSheetLayoutView="100" workbookViewId="0">
      <selection activeCell="Q14" sqref="Q14"/>
    </sheetView>
  </sheetViews>
  <sheetFormatPr defaultRowHeight="15"/>
  <cols>
    <col min="1" max="1" width="6" style="218" customWidth="1"/>
    <col min="2" max="2" width="38.140625" style="218" customWidth="1"/>
    <col min="3" max="3" width="16.85546875" style="218" customWidth="1"/>
    <col min="4" max="4" width="12.7109375" style="218" hidden="1" customWidth="1"/>
    <col min="5" max="6" width="12.42578125" style="218" hidden="1" customWidth="1"/>
    <col min="7" max="8" width="12.28515625" style="218" customWidth="1"/>
    <col min="9" max="9" width="11.5703125" style="218" bestFit="1" customWidth="1"/>
    <col min="10" max="10" width="12.7109375" style="218" hidden="1" customWidth="1"/>
    <col min="11" max="11" width="13" style="218" hidden="1" customWidth="1"/>
    <col min="12" max="12" width="12.42578125" style="218" hidden="1" customWidth="1"/>
    <col min="13" max="14" width="12.7109375" style="218" hidden="1" customWidth="1"/>
    <col min="15" max="15" width="12.5703125" style="218" hidden="1" customWidth="1"/>
    <col min="16" max="16" width="4.140625" style="218" hidden="1" customWidth="1"/>
    <col min="17" max="18" width="11.7109375" style="218" customWidth="1"/>
    <col min="19" max="20" width="11.5703125" style="218" hidden="1" customWidth="1"/>
    <col min="21" max="21" width="13" style="218" customWidth="1"/>
    <col min="22" max="16384" width="9.140625" style="218"/>
  </cols>
  <sheetData>
    <row r="1" spans="1:21" ht="15.75">
      <c r="A1" s="92" t="s">
        <v>0</v>
      </c>
      <c r="B1" s="92"/>
      <c r="C1" s="92"/>
      <c r="D1" s="92"/>
      <c r="E1" s="92"/>
      <c r="F1" s="92"/>
      <c r="G1" s="92"/>
      <c r="H1" s="92"/>
      <c r="I1" s="92"/>
      <c r="J1" s="92"/>
      <c r="K1" s="92"/>
      <c r="L1" s="92"/>
      <c r="M1" s="92"/>
      <c r="N1" s="92"/>
      <c r="O1" s="92"/>
      <c r="P1" s="92"/>
      <c r="Q1" s="92"/>
      <c r="R1" s="92"/>
      <c r="S1" s="92"/>
      <c r="T1" s="92"/>
      <c r="U1" s="92"/>
    </row>
    <row r="2" spans="1:21" ht="18.75" customHeight="1">
      <c r="A2" s="166" t="s">
        <v>190</v>
      </c>
      <c r="B2" s="167"/>
      <c r="C2" s="167"/>
      <c r="D2" s="167"/>
      <c r="E2" s="167"/>
      <c r="F2" s="167"/>
      <c r="G2" s="167"/>
      <c r="H2" s="167"/>
      <c r="I2" s="167"/>
      <c r="J2" s="167"/>
      <c r="K2" s="167"/>
      <c r="L2" s="167"/>
      <c r="M2" s="167"/>
      <c r="N2" s="167"/>
      <c r="O2" s="167"/>
      <c r="P2" s="167"/>
      <c r="Q2" s="167"/>
      <c r="R2" s="94"/>
      <c r="S2" s="94"/>
      <c r="T2" s="94"/>
      <c r="U2" s="94"/>
    </row>
    <row r="3" spans="1:21" ht="15.75">
      <c r="A3" s="92" t="s">
        <v>191</v>
      </c>
      <c r="B3" s="92"/>
      <c r="C3" s="92"/>
      <c r="D3" s="92"/>
      <c r="E3" s="92"/>
      <c r="F3" s="92"/>
      <c r="G3" s="92"/>
      <c r="H3" s="92"/>
      <c r="I3" s="92"/>
      <c r="J3" s="92"/>
      <c r="K3" s="92"/>
      <c r="L3" s="92"/>
      <c r="M3" s="92"/>
      <c r="N3" s="92"/>
      <c r="O3" s="92"/>
      <c r="P3" s="92"/>
      <c r="Q3" s="93"/>
      <c r="R3" s="93"/>
      <c r="S3" s="93"/>
      <c r="T3" s="93"/>
      <c r="U3" s="93"/>
    </row>
    <row r="4" spans="1:21" ht="14.45" customHeight="1">
      <c r="A4" s="93"/>
      <c r="B4" s="84"/>
      <c r="C4" s="85"/>
      <c r="D4" s="85"/>
      <c r="E4" s="85"/>
      <c r="F4" s="85"/>
      <c r="G4" s="85"/>
      <c r="H4" s="85"/>
      <c r="I4" s="85"/>
      <c r="J4" s="85"/>
      <c r="K4" s="85"/>
      <c r="L4" s="85"/>
      <c r="M4" s="85"/>
      <c r="N4" s="85"/>
      <c r="O4" s="85"/>
      <c r="P4" s="85"/>
      <c r="Q4" s="44"/>
      <c r="R4" s="44"/>
      <c r="S4" s="44"/>
      <c r="T4" s="44"/>
      <c r="U4" s="44"/>
    </row>
    <row r="5" spans="1:21" ht="24" customHeight="1">
      <c r="A5" s="20"/>
      <c r="B5" s="20"/>
      <c r="C5" s="20"/>
      <c r="D5" s="203" t="s">
        <v>200</v>
      </c>
      <c r="E5" s="203" t="s">
        <v>199</v>
      </c>
      <c r="F5" s="203" t="s">
        <v>199</v>
      </c>
      <c r="G5" s="20"/>
      <c r="H5" s="20"/>
      <c r="I5" s="20"/>
      <c r="J5" s="20"/>
      <c r="K5" s="20"/>
      <c r="L5" s="20"/>
      <c r="M5" s="20"/>
      <c r="N5" s="20"/>
      <c r="O5" s="20"/>
      <c r="P5" s="20"/>
      <c r="Q5" s="44" t="s">
        <v>152</v>
      </c>
      <c r="R5" s="44" t="s">
        <v>153</v>
      </c>
      <c r="S5" s="44" t="s">
        <v>154</v>
      </c>
      <c r="T5" s="44" t="s">
        <v>155</v>
      </c>
      <c r="U5" s="44" t="s">
        <v>184</v>
      </c>
    </row>
    <row r="6" spans="1:21" ht="25.5">
      <c r="A6" s="86" t="s">
        <v>1</v>
      </c>
      <c r="B6" s="87"/>
      <c r="C6" s="83" t="s">
        <v>2</v>
      </c>
      <c r="D6" s="123">
        <v>44197</v>
      </c>
      <c r="E6" s="88">
        <f>EDATE(D6,1)</f>
        <v>44228</v>
      </c>
      <c r="F6" s="88">
        <f t="shared" ref="F6:O6" si="0">EDATE(E6,1)</f>
        <v>44256</v>
      </c>
      <c r="G6" s="88">
        <f t="shared" si="0"/>
        <v>44287</v>
      </c>
      <c r="H6" s="88">
        <f t="shared" si="0"/>
        <v>44317</v>
      </c>
      <c r="I6" s="88">
        <f t="shared" si="0"/>
        <v>44348</v>
      </c>
      <c r="J6" s="88">
        <f t="shared" si="0"/>
        <v>44378</v>
      </c>
      <c r="K6" s="88">
        <f t="shared" si="0"/>
        <v>44409</v>
      </c>
      <c r="L6" s="88">
        <f t="shared" si="0"/>
        <v>44440</v>
      </c>
      <c r="M6" s="88">
        <f t="shared" si="0"/>
        <v>44470</v>
      </c>
      <c r="N6" s="88">
        <f t="shared" si="0"/>
        <v>44501</v>
      </c>
      <c r="O6" s="88">
        <f t="shared" si="0"/>
        <v>44531</v>
      </c>
      <c r="P6" s="88"/>
      <c r="Q6" s="15" t="s">
        <v>3</v>
      </c>
      <c r="R6" s="15" t="s">
        <v>3</v>
      </c>
      <c r="S6" s="15" t="s">
        <v>3</v>
      </c>
      <c r="T6" s="15" t="s">
        <v>3</v>
      </c>
      <c r="U6" s="15" t="s">
        <v>3</v>
      </c>
    </row>
    <row r="7" spans="1:21">
      <c r="A7" s="46"/>
      <c r="B7" s="46" t="s">
        <v>4</v>
      </c>
      <c r="C7" s="46" t="s">
        <v>5</v>
      </c>
      <c r="D7" s="46" t="s">
        <v>6</v>
      </c>
      <c r="E7" s="46" t="s">
        <v>7</v>
      </c>
      <c r="F7" s="46" t="s">
        <v>8</v>
      </c>
      <c r="G7" s="46" t="s">
        <v>9</v>
      </c>
      <c r="H7" s="139" t="s">
        <v>10</v>
      </c>
      <c r="I7" s="46" t="s">
        <v>11</v>
      </c>
      <c r="J7" s="46" t="s">
        <v>12</v>
      </c>
      <c r="K7" s="46" t="s">
        <v>13</v>
      </c>
      <c r="L7" s="46" t="s">
        <v>14</v>
      </c>
      <c r="M7" s="46" t="s">
        <v>15</v>
      </c>
      <c r="N7" s="46" t="s">
        <v>16</v>
      </c>
      <c r="O7" s="46" t="s">
        <v>17</v>
      </c>
      <c r="P7" s="46"/>
      <c r="Q7" s="46"/>
      <c r="R7" s="46"/>
      <c r="S7" s="46"/>
      <c r="T7" s="46"/>
      <c r="U7" s="20"/>
    </row>
    <row r="8" spans="1:21">
      <c r="A8" s="46"/>
      <c r="B8" s="1" t="s">
        <v>19</v>
      </c>
      <c r="C8" s="46"/>
      <c r="D8" s="46"/>
      <c r="E8" s="46"/>
      <c r="F8" s="46"/>
      <c r="G8" s="46"/>
      <c r="H8" s="139"/>
      <c r="I8" s="46"/>
      <c r="J8" s="46"/>
      <c r="K8" s="46"/>
      <c r="L8" s="46"/>
      <c r="M8" s="46"/>
      <c r="N8" s="46"/>
      <c r="O8" s="46"/>
      <c r="P8" s="46"/>
      <c r="Q8" s="47"/>
      <c r="R8" s="47"/>
      <c r="S8" s="47"/>
      <c r="T8" s="47"/>
      <c r="U8" s="20"/>
    </row>
    <row r="9" spans="1:21">
      <c r="A9" s="46">
        <v>1</v>
      </c>
      <c r="B9" s="20" t="s">
        <v>20</v>
      </c>
      <c r="C9" s="46" t="s">
        <v>21</v>
      </c>
      <c r="D9" s="204">
        <v>223405</v>
      </c>
      <c r="E9" s="204">
        <v>223405</v>
      </c>
      <c r="F9" s="204">
        <v>223405</v>
      </c>
      <c r="G9" s="168">
        <v>224063</v>
      </c>
      <c r="H9" s="169">
        <v>223629</v>
      </c>
      <c r="I9" s="168">
        <v>223770</v>
      </c>
      <c r="J9" s="168"/>
      <c r="K9" s="168"/>
      <c r="L9" s="168"/>
      <c r="M9" s="168"/>
      <c r="N9" s="168"/>
      <c r="O9" s="168"/>
      <c r="P9" s="168"/>
      <c r="Q9" s="48">
        <f t="shared" ref="Q9:Q16" si="1">SUM(D9:F9)</f>
        <v>670215</v>
      </c>
      <c r="R9" s="48">
        <f>SUM(G9:I9)</f>
        <v>671462</v>
      </c>
      <c r="S9" s="48">
        <f t="shared" ref="S9:S16" si="2">SUM(J9:L9)</f>
        <v>0</v>
      </c>
      <c r="T9" s="48">
        <f t="shared" ref="T9:T16" si="3">SUM(M9:O9)</f>
        <v>0</v>
      </c>
      <c r="U9" s="219">
        <f>SUM(D9:O9)</f>
        <v>1341677</v>
      </c>
    </row>
    <row r="10" spans="1:21">
      <c r="A10" s="46">
        <v>2</v>
      </c>
      <c r="B10" s="2" t="s">
        <v>157</v>
      </c>
      <c r="C10" s="46" t="s">
        <v>21</v>
      </c>
      <c r="D10" s="168">
        <v>252707036.26099998</v>
      </c>
      <c r="E10" s="168">
        <v>243176801.95700002</v>
      </c>
      <c r="F10" s="168">
        <v>230221468.39899999</v>
      </c>
      <c r="G10" s="168">
        <v>175211847.25199997</v>
      </c>
      <c r="H10" s="169">
        <v>165160580.69299999</v>
      </c>
      <c r="I10" s="168">
        <v>195418248.39500001</v>
      </c>
      <c r="J10" s="168"/>
      <c r="K10" s="168"/>
      <c r="L10" s="168"/>
      <c r="M10" s="168"/>
      <c r="N10" s="168"/>
      <c r="O10" s="168"/>
      <c r="P10" s="168"/>
      <c r="Q10" s="48">
        <f t="shared" si="1"/>
        <v>726105306.61699998</v>
      </c>
      <c r="R10" s="48">
        <f t="shared" ref="R10:R16" si="4">SUM(G10:I10)</f>
        <v>535790676.33999991</v>
      </c>
      <c r="S10" s="48">
        <f t="shared" si="2"/>
        <v>0</v>
      </c>
      <c r="T10" s="48">
        <f t="shared" si="3"/>
        <v>0</v>
      </c>
      <c r="U10" s="219">
        <f t="shared" ref="U10:U16" si="5">SUM(D10:O10)</f>
        <v>1261895982.957</v>
      </c>
    </row>
    <row r="11" spans="1:21">
      <c r="A11" s="46">
        <v>3</v>
      </c>
      <c r="B11" s="20" t="s">
        <v>37</v>
      </c>
      <c r="C11" s="46" t="s">
        <v>21</v>
      </c>
      <c r="D11" s="170">
        <v>24708907.152720001</v>
      </c>
      <c r="E11" s="170">
        <v>23717932.392110001</v>
      </c>
      <c r="F11" s="170">
        <v>22449787.26534</v>
      </c>
      <c r="G11" s="170">
        <v>16836457.440860003</v>
      </c>
      <c r="H11" s="171">
        <v>16000581.30893</v>
      </c>
      <c r="I11" s="170">
        <v>18670120.511229999</v>
      </c>
      <c r="J11" s="170"/>
      <c r="K11" s="170"/>
      <c r="L11" s="170"/>
      <c r="M11" s="170"/>
      <c r="N11" s="170"/>
      <c r="O11" s="170"/>
      <c r="P11" s="170"/>
      <c r="Q11" s="49">
        <f t="shared" si="1"/>
        <v>70876626.810169995</v>
      </c>
      <c r="R11" s="49">
        <f t="shared" si="4"/>
        <v>51507159.261020005</v>
      </c>
      <c r="S11" s="49">
        <f t="shared" si="2"/>
        <v>0</v>
      </c>
      <c r="T11" s="49">
        <f t="shared" si="3"/>
        <v>0</v>
      </c>
      <c r="U11" s="7">
        <f t="shared" si="5"/>
        <v>122383786.07119</v>
      </c>
    </row>
    <row r="12" spans="1:21">
      <c r="A12" s="46">
        <v>4</v>
      </c>
      <c r="B12" s="20" t="s">
        <v>38</v>
      </c>
      <c r="C12" s="46" t="s">
        <v>21</v>
      </c>
      <c r="D12" s="170">
        <v>1910628</v>
      </c>
      <c r="E12" s="170">
        <v>1922490</v>
      </c>
      <c r="F12" s="170">
        <v>2292716</v>
      </c>
      <c r="G12" s="170">
        <v>2050768</v>
      </c>
      <c r="H12" s="171">
        <v>2051037</v>
      </c>
      <c r="I12" s="170">
        <v>2069712</v>
      </c>
      <c r="J12" s="170"/>
      <c r="K12" s="170"/>
      <c r="L12" s="170"/>
      <c r="M12" s="170"/>
      <c r="N12" s="170"/>
      <c r="O12" s="170"/>
      <c r="P12" s="170"/>
      <c r="Q12" s="49">
        <f t="shared" si="1"/>
        <v>6125834</v>
      </c>
      <c r="R12" s="49">
        <f t="shared" si="4"/>
        <v>6171517</v>
      </c>
      <c r="S12" s="49">
        <f t="shared" si="2"/>
        <v>0</v>
      </c>
      <c r="T12" s="49">
        <f t="shared" si="3"/>
        <v>0</v>
      </c>
      <c r="U12" s="7">
        <f t="shared" si="5"/>
        <v>12297351</v>
      </c>
    </row>
    <row r="13" spans="1:21" ht="27" customHeight="1">
      <c r="A13" s="46">
        <v>5</v>
      </c>
      <c r="B13" s="20" t="s">
        <v>158</v>
      </c>
      <c r="C13" s="46" t="s">
        <v>21</v>
      </c>
      <c r="D13" s="168">
        <v>5722</v>
      </c>
      <c r="E13" s="168">
        <v>5532</v>
      </c>
      <c r="F13" s="168">
        <v>6496</v>
      </c>
      <c r="G13" s="168">
        <v>6344</v>
      </c>
      <c r="H13" s="169">
        <v>6547</v>
      </c>
      <c r="I13" s="168">
        <v>6971</v>
      </c>
      <c r="J13" s="168"/>
      <c r="K13" s="168"/>
      <c r="L13" s="168"/>
      <c r="M13" s="168"/>
      <c r="N13" s="168"/>
      <c r="O13" s="168"/>
      <c r="P13" s="168"/>
      <c r="Q13" s="48">
        <f t="shared" si="1"/>
        <v>17750</v>
      </c>
      <c r="R13" s="48">
        <f t="shared" si="4"/>
        <v>19862</v>
      </c>
      <c r="S13" s="48">
        <f t="shared" si="2"/>
        <v>0</v>
      </c>
      <c r="T13" s="48">
        <f t="shared" si="3"/>
        <v>0</v>
      </c>
      <c r="U13" s="219">
        <f t="shared" si="5"/>
        <v>37612</v>
      </c>
    </row>
    <row r="14" spans="1:21">
      <c r="A14" s="46">
        <v>6</v>
      </c>
      <c r="B14" s="2" t="s">
        <v>159</v>
      </c>
      <c r="C14" s="46" t="s">
        <v>21</v>
      </c>
      <c r="D14" s="168">
        <v>5453470.8209999995</v>
      </c>
      <c r="E14" s="168">
        <v>5273612.5089999996</v>
      </c>
      <c r="F14" s="168">
        <v>5258142.8859999999</v>
      </c>
      <c r="G14" s="168">
        <v>3904551.1720000003</v>
      </c>
      <c r="H14" s="169">
        <v>3133923.682</v>
      </c>
      <c r="I14" s="168">
        <v>3338317.55</v>
      </c>
      <c r="J14" s="168"/>
      <c r="K14" s="168"/>
      <c r="L14" s="168"/>
      <c r="M14" s="168"/>
      <c r="N14" s="168"/>
      <c r="O14" s="168"/>
      <c r="P14" s="168"/>
      <c r="Q14" s="48">
        <f t="shared" si="1"/>
        <v>15985226.215999998</v>
      </c>
      <c r="R14" s="48">
        <f t="shared" si="4"/>
        <v>10376792.403999999</v>
      </c>
      <c r="S14" s="48">
        <f t="shared" si="2"/>
        <v>0</v>
      </c>
      <c r="T14" s="48">
        <f t="shared" si="3"/>
        <v>0</v>
      </c>
      <c r="U14" s="219">
        <f t="shared" si="5"/>
        <v>26362018.619999997</v>
      </c>
    </row>
    <row r="15" spans="1:21">
      <c r="A15" s="46">
        <v>7</v>
      </c>
      <c r="B15" s="20" t="s">
        <v>160</v>
      </c>
      <c r="C15" s="46" t="s">
        <v>21</v>
      </c>
      <c r="D15" s="170">
        <v>539229.14</v>
      </c>
      <c r="E15" s="170">
        <v>521279.58999999997</v>
      </c>
      <c r="F15" s="170">
        <v>522512.28</v>
      </c>
      <c r="G15" s="170">
        <v>389461.23</v>
      </c>
      <c r="H15" s="171">
        <v>319981.96999999997</v>
      </c>
      <c r="I15" s="170">
        <v>340619.98000000004</v>
      </c>
      <c r="J15" s="170"/>
      <c r="K15" s="170"/>
      <c r="L15" s="170"/>
      <c r="M15" s="170"/>
      <c r="N15" s="170"/>
      <c r="O15" s="170"/>
      <c r="P15" s="170"/>
      <c r="Q15" s="49">
        <f t="shared" si="1"/>
        <v>1583021.01</v>
      </c>
      <c r="R15" s="49">
        <f t="shared" si="4"/>
        <v>1050063.18</v>
      </c>
      <c r="S15" s="49">
        <f t="shared" si="2"/>
        <v>0</v>
      </c>
      <c r="T15" s="49">
        <f t="shared" si="3"/>
        <v>0</v>
      </c>
      <c r="U15" s="7">
        <f t="shared" si="5"/>
        <v>2633084.19</v>
      </c>
    </row>
    <row r="16" spans="1:21">
      <c r="A16" s="46">
        <v>8</v>
      </c>
      <c r="B16" s="20" t="s">
        <v>161</v>
      </c>
      <c r="C16" s="46" t="s">
        <v>21</v>
      </c>
      <c r="D16" s="170">
        <v>51707</v>
      </c>
      <c r="E16" s="170">
        <v>49923</v>
      </c>
      <c r="F16" s="170">
        <v>58349</v>
      </c>
      <c r="G16" s="170">
        <v>57206</v>
      </c>
      <c r="H16" s="171">
        <v>58889</v>
      </c>
      <c r="I16" s="170">
        <v>62748</v>
      </c>
      <c r="J16" s="170"/>
      <c r="K16" s="170"/>
      <c r="L16" s="170"/>
      <c r="M16" s="170"/>
      <c r="N16" s="170"/>
      <c r="O16" s="170"/>
      <c r="P16" s="170"/>
      <c r="Q16" s="49">
        <f t="shared" si="1"/>
        <v>159979</v>
      </c>
      <c r="R16" s="49">
        <f t="shared" si="4"/>
        <v>178843</v>
      </c>
      <c r="S16" s="49">
        <f t="shared" si="2"/>
        <v>0</v>
      </c>
      <c r="T16" s="49">
        <f t="shared" si="3"/>
        <v>0</v>
      </c>
      <c r="U16" s="7">
        <f t="shared" si="5"/>
        <v>338822</v>
      </c>
    </row>
    <row r="17" spans="1:21">
      <c r="A17" s="46"/>
      <c r="B17" s="20"/>
      <c r="C17" s="46"/>
      <c r="D17" s="46"/>
      <c r="E17" s="46"/>
      <c r="F17" s="46"/>
      <c r="G17" s="46"/>
      <c r="H17" s="139"/>
      <c r="I17" s="46"/>
      <c r="J17" s="46"/>
      <c r="K17" s="46"/>
      <c r="L17" s="46"/>
      <c r="M17" s="46"/>
      <c r="N17" s="46"/>
      <c r="O17" s="46"/>
      <c r="P17" s="46"/>
      <c r="Q17" s="47"/>
      <c r="R17" s="47"/>
      <c r="S17" s="47"/>
      <c r="T17" s="47"/>
      <c r="U17" s="20"/>
    </row>
    <row r="18" spans="1:21" ht="21" customHeight="1">
      <c r="A18" s="46">
        <v>9</v>
      </c>
      <c r="B18" s="20" t="s">
        <v>162</v>
      </c>
      <c r="C18" s="46" t="str">
        <f>"("&amp;A9&amp;") - ("&amp;A13&amp;")"</f>
        <v>(1) - (5)</v>
      </c>
      <c r="D18" s="172">
        <f>D9-D13</f>
        <v>217683</v>
      </c>
      <c r="E18" s="172">
        <f>E9-E13</f>
        <v>217873</v>
      </c>
      <c r="F18" s="172">
        <f>F9-F13</f>
        <v>216909</v>
      </c>
      <c r="G18" s="172">
        <f>G9-G13</f>
        <v>217719</v>
      </c>
      <c r="H18" s="48">
        <f t="shared" ref="H18:O18" si="6">H9-H13</f>
        <v>217082</v>
      </c>
      <c r="I18" s="48">
        <f t="shared" si="6"/>
        <v>216799</v>
      </c>
      <c r="J18" s="48">
        <f t="shared" si="6"/>
        <v>0</v>
      </c>
      <c r="K18" s="48">
        <f t="shared" si="6"/>
        <v>0</v>
      </c>
      <c r="L18" s="48">
        <f t="shared" si="6"/>
        <v>0</v>
      </c>
      <c r="M18" s="48">
        <f t="shared" si="6"/>
        <v>0</v>
      </c>
      <c r="N18" s="48">
        <f t="shared" si="6"/>
        <v>0</v>
      </c>
      <c r="O18" s="48">
        <f t="shared" si="6"/>
        <v>0</v>
      </c>
      <c r="P18" s="48"/>
      <c r="Q18" s="48">
        <f>SUM(D18:F18)</f>
        <v>652465</v>
      </c>
      <c r="R18" s="48">
        <f>SUM(G18:I18)</f>
        <v>651600</v>
      </c>
      <c r="S18" s="48">
        <f>SUM(J18:L18)</f>
        <v>0</v>
      </c>
      <c r="T18" s="48">
        <f>SUM(M18:O18)</f>
        <v>0</v>
      </c>
      <c r="U18" s="219">
        <f>SUM(D18:O18)</f>
        <v>1304065</v>
      </c>
    </row>
    <row r="19" spans="1:21" ht="25.5">
      <c r="A19" s="82">
        <f t="shared" ref="A19:A20" si="7">A18+1</f>
        <v>10</v>
      </c>
      <c r="B19" s="82" t="s">
        <v>22</v>
      </c>
      <c r="C19" s="82" t="s">
        <v>163</v>
      </c>
      <c r="D19" s="18">
        <v>92.87106047348999</v>
      </c>
      <c r="E19" s="18">
        <v>66.297841283175856</v>
      </c>
      <c r="F19" s="18">
        <v>72.647062825770305</v>
      </c>
      <c r="G19" s="18">
        <v>55.203805219374324</v>
      </c>
      <c r="H19" s="141">
        <v>50.421970407490711</v>
      </c>
      <c r="I19" s="18">
        <v>48.029317197537651</v>
      </c>
      <c r="J19" s="18">
        <v>52.837873850834463</v>
      </c>
      <c r="K19" s="18">
        <v>61.703686598441536</v>
      </c>
      <c r="L19" s="18">
        <v>46.23405385750992</v>
      </c>
      <c r="M19" s="18">
        <v>51.238598552314855</v>
      </c>
      <c r="N19" s="18">
        <v>68.566625722536628</v>
      </c>
      <c r="O19" s="18">
        <v>86.78810401152387</v>
      </c>
      <c r="P19" s="18"/>
      <c r="Q19" s="18">
        <f>Q20/Q18</f>
        <v>77.274278898354865</v>
      </c>
      <c r="R19" s="18">
        <f>R20/R18</f>
        <v>51.223645469098869</v>
      </c>
      <c r="S19" s="18" t="e">
        <f>S20/S18</f>
        <v>#DIV/0!</v>
      </c>
      <c r="T19" s="18" t="e">
        <f>T20/T18</f>
        <v>#DIV/0!</v>
      </c>
      <c r="U19" s="18">
        <f>U20/U18</f>
        <v>64.257602012997765</v>
      </c>
    </row>
    <row r="20" spans="1:21">
      <c r="A20" s="46">
        <f t="shared" si="7"/>
        <v>11</v>
      </c>
      <c r="B20" s="20" t="s">
        <v>23</v>
      </c>
      <c r="C20" s="46" t="str">
        <f>"("&amp;A18&amp;") x ("&amp;A19&amp;")"</f>
        <v>(9) x (10)</v>
      </c>
      <c r="D20" s="49">
        <f>D18*D19</f>
        <v>20216451.05705072</v>
      </c>
      <c r="E20" s="49">
        <f>E18*E19</f>
        <v>14444509.573889373</v>
      </c>
      <c r="F20" s="49">
        <f t="shared" ref="F20:N20" si="8">F18*F19</f>
        <v>15757801.750475012</v>
      </c>
      <c r="G20" s="49">
        <f t="shared" si="8"/>
        <v>12018917.268556958</v>
      </c>
      <c r="H20" s="50">
        <f t="shared" si="8"/>
        <v>10945702.179998899</v>
      </c>
      <c r="I20" s="49">
        <f t="shared" si="8"/>
        <v>10412707.939108966</v>
      </c>
      <c r="J20" s="49">
        <f t="shared" si="8"/>
        <v>0</v>
      </c>
      <c r="K20" s="49">
        <f t="shared" si="8"/>
        <v>0</v>
      </c>
      <c r="L20" s="49">
        <f t="shared" si="8"/>
        <v>0</v>
      </c>
      <c r="M20" s="49">
        <f t="shared" si="8"/>
        <v>0</v>
      </c>
      <c r="N20" s="49">
        <f t="shared" si="8"/>
        <v>0</v>
      </c>
      <c r="O20" s="175">
        <f>O18*O19-0</f>
        <v>0</v>
      </c>
      <c r="P20" s="49" t="s">
        <v>186</v>
      </c>
      <c r="Q20" s="49">
        <f>SUM(D20:F20)</f>
        <v>50418762.381415106</v>
      </c>
      <c r="R20" s="49">
        <f>SUM(G20:I20)</f>
        <v>33377327.387664825</v>
      </c>
      <c r="S20" s="49">
        <f>SUM(J20:L20)</f>
        <v>0</v>
      </c>
      <c r="T20" s="49">
        <f>SUM(M20:O20)</f>
        <v>0</v>
      </c>
      <c r="U20" s="7">
        <f>SUM(D20:O20)</f>
        <v>83796089.769079939</v>
      </c>
    </row>
    <row r="21" spans="1:21" ht="9" customHeight="1">
      <c r="A21" s="46"/>
      <c r="B21" s="20"/>
      <c r="C21" s="46"/>
      <c r="D21" s="47"/>
      <c r="E21" s="47"/>
      <c r="F21" s="47"/>
      <c r="G21" s="47"/>
      <c r="H21" s="140"/>
      <c r="I21" s="47"/>
      <c r="J21" s="47"/>
      <c r="K21" s="47"/>
      <c r="L21" s="47"/>
      <c r="M21" s="47"/>
      <c r="N21" s="47"/>
      <c r="O21" s="47"/>
      <c r="P21" s="47"/>
      <c r="Q21" s="48"/>
      <c r="R21" s="48"/>
      <c r="S21" s="48"/>
      <c r="T21" s="48"/>
      <c r="U21" s="48"/>
    </row>
    <row r="22" spans="1:21">
      <c r="A22" s="46">
        <v>12</v>
      </c>
      <c r="B22" s="20" t="s">
        <v>164</v>
      </c>
      <c r="C22" s="46" t="str">
        <f>"("&amp;A11&amp;") - ("&amp;A15&amp;")"</f>
        <v>(3) - (7)</v>
      </c>
      <c r="D22" s="50">
        <f t="shared" ref="D22:G23" si="9">D11-D15</f>
        <v>24169678.01272</v>
      </c>
      <c r="E22" s="50">
        <f t="shared" si="9"/>
        <v>23196652.802110001</v>
      </c>
      <c r="F22" s="50">
        <f t="shared" si="9"/>
        <v>21927274.985339999</v>
      </c>
      <c r="G22" s="50">
        <f t="shared" si="9"/>
        <v>16446996.210860003</v>
      </c>
      <c r="H22" s="49">
        <f t="shared" ref="H22:O23" si="10">H11-H15</f>
        <v>15680599.33893</v>
      </c>
      <c r="I22" s="49">
        <f t="shared" si="10"/>
        <v>18329500.531229999</v>
      </c>
      <c r="J22" s="49">
        <f t="shared" si="10"/>
        <v>0</v>
      </c>
      <c r="K22" s="49">
        <f t="shared" si="10"/>
        <v>0</v>
      </c>
      <c r="L22" s="49">
        <f t="shared" si="10"/>
        <v>0</v>
      </c>
      <c r="M22" s="49">
        <f t="shared" si="10"/>
        <v>0</v>
      </c>
      <c r="N22" s="49">
        <f t="shared" si="10"/>
        <v>0</v>
      </c>
      <c r="O22" s="49">
        <f t="shared" si="10"/>
        <v>0</v>
      </c>
      <c r="P22" s="49"/>
      <c r="Q22" s="49"/>
      <c r="R22" s="49">
        <f>SUM(G22:I22)</f>
        <v>50457096.081019998</v>
      </c>
      <c r="S22" s="49">
        <f>SUM(J22:L22)</f>
        <v>0</v>
      </c>
      <c r="T22" s="49">
        <f>SUM(M22:O22)</f>
        <v>0</v>
      </c>
      <c r="U22" s="7">
        <f>SUM(D22:O22)</f>
        <v>119750701.88119</v>
      </c>
    </row>
    <row r="23" spans="1:21">
      <c r="A23" s="46">
        <v>13</v>
      </c>
      <c r="B23" s="20" t="s">
        <v>165</v>
      </c>
      <c r="C23" s="46" t="str">
        <f t="shared" ref="C23" si="11">"("&amp;A12&amp;") - ("&amp;A16&amp;")"</f>
        <v>(4) - (8)</v>
      </c>
      <c r="D23" s="50">
        <f t="shared" si="9"/>
        <v>1858921</v>
      </c>
      <c r="E23" s="50">
        <f t="shared" si="9"/>
        <v>1872567</v>
      </c>
      <c r="F23" s="50">
        <f t="shared" si="9"/>
        <v>2234367</v>
      </c>
      <c r="G23" s="50">
        <f t="shared" si="9"/>
        <v>1993562</v>
      </c>
      <c r="H23" s="49">
        <f t="shared" si="10"/>
        <v>1992148</v>
      </c>
      <c r="I23" s="49">
        <f t="shared" si="10"/>
        <v>2006964</v>
      </c>
      <c r="J23" s="49">
        <f t="shared" si="10"/>
        <v>0</v>
      </c>
      <c r="K23" s="49">
        <f t="shared" si="10"/>
        <v>0</v>
      </c>
      <c r="L23" s="49">
        <f t="shared" si="10"/>
        <v>0</v>
      </c>
      <c r="M23" s="49">
        <f t="shared" si="10"/>
        <v>0</v>
      </c>
      <c r="N23" s="49">
        <f t="shared" si="10"/>
        <v>0</v>
      </c>
      <c r="O23" s="49">
        <f t="shared" si="10"/>
        <v>0</v>
      </c>
      <c r="P23" s="49"/>
      <c r="Q23" s="49"/>
      <c r="R23" s="49">
        <f>SUM(G23:I23)</f>
        <v>5992674</v>
      </c>
      <c r="S23" s="49">
        <f>SUM(J23:L23)</f>
        <v>0</v>
      </c>
      <c r="T23" s="49">
        <f>SUM(M23:O23)</f>
        <v>0</v>
      </c>
      <c r="U23" s="7">
        <f>SUM(D23:O23)</f>
        <v>11958529</v>
      </c>
    </row>
    <row r="24" spans="1:21">
      <c r="A24" s="46">
        <v>14</v>
      </c>
      <c r="B24" s="2" t="s">
        <v>166</v>
      </c>
      <c r="C24" s="46" t="str">
        <f>"("&amp;A10&amp;") - ("&amp;A14&amp;")"</f>
        <v>(2) - (6)</v>
      </c>
      <c r="D24" s="173">
        <f>D10-D14</f>
        <v>247253565.43999997</v>
      </c>
      <c r="E24" s="173">
        <f>E10-E14</f>
        <v>237903189.44800001</v>
      </c>
      <c r="F24" s="173">
        <f>F10-F14</f>
        <v>224963325.51299998</v>
      </c>
      <c r="G24" s="173">
        <f>G10-G14</f>
        <v>171307296.07999998</v>
      </c>
      <c r="H24" s="164">
        <f t="shared" ref="H24:O24" si="12">H10-H14</f>
        <v>162026657.01099998</v>
      </c>
      <c r="I24" s="164">
        <f t="shared" si="12"/>
        <v>192079930.845</v>
      </c>
      <c r="J24" s="164">
        <f t="shared" si="12"/>
        <v>0</v>
      </c>
      <c r="K24" s="164">
        <f t="shared" si="12"/>
        <v>0</v>
      </c>
      <c r="L24" s="164">
        <f t="shared" si="12"/>
        <v>0</v>
      </c>
      <c r="M24" s="164">
        <f t="shared" si="12"/>
        <v>0</v>
      </c>
      <c r="N24" s="164">
        <f t="shared" si="12"/>
        <v>0</v>
      </c>
      <c r="O24" s="164">
        <f t="shared" si="12"/>
        <v>0</v>
      </c>
      <c r="P24" s="164"/>
      <c r="Q24" s="48"/>
      <c r="R24" s="48">
        <f>SUM(G24:I24)</f>
        <v>525413883.93599999</v>
      </c>
      <c r="S24" s="48">
        <f>SUM(J24:L24)</f>
        <v>0</v>
      </c>
      <c r="T24" s="48">
        <f>SUM(M24:O24)</f>
        <v>0</v>
      </c>
      <c r="U24" s="219">
        <f>SUM(D24:O24)</f>
        <v>1235533964.3369999</v>
      </c>
    </row>
    <row r="25" spans="1:21" ht="26.25">
      <c r="A25" s="46">
        <v>15</v>
      </c>
      <c r="B25" s="20" t="s">
        <v>39</v>
      </c>
      <c r="C25" s="220" t="s">
        <v>167</v>
      </c>
      <c r="D25" s="221">
        <v>1.8950000000000002E-2</v>
      </c>
      <c r="E25" s="221">
        <v>1.8950000000000002E-2</v>
      </c>
      <c r="F25" s="221">
        <v>1.8950000000000002E-2</v>
      </c>
      <c r="G25" s="221">
        <v>1.8950000000000002E-2</v>
      </c>
      <c r="H25" s="222">
        <v>1.8950000000000002E-2</v>
      </c>
      <c r="I25" s="221">
        <v>1.8950000000000002E-2</v>
      </c>
      <c r="J25" s="221">
        <v>1.8950000000000002E-2</v>
      </c>
      <c r="K25" s="221">
        <v>1.8950000000000002E-2</v>
      </c>
      <c r="L25" s="221">
        <v>1.8950000000000002E-2</v>
      </c>
      <c r="M25" s="221">
        <v>1.8950000000000002E-2</v>
      </c>
      <c r="N25" s="221">
        <v>1.8950000000000002E-2</v>
      </c>
      <c r="O25" s="221">
        <v>1.8950000000000002E-2</v>
      </c>
      <c r="P25" s="221"/>
      <c r="Q25" s="223"/>
      <c r="R25" s="223"/>
      <c r="S25" s="223"/>
      <c r="T25" s="223"/>
      <c r="U25" s="223"/>
    </row>
    <row r="26" spans="1:21">
      <c r="A26" s="46">
        <v>16</v>
      </c>
      <c r="B26" s="20" t="s">
        <v>40</v>
      </c>
      <c r="C26" s="46" t="str">
        <f>"("&amp;A24&amp;") x ("&amp;A25&amp;")"</f>
        <v>(14) x (15)</v>
      </c>
      <c r="D26" s="49">
        <f t="shared" ref="D26:O26" si="13">D24*D25</f>
        <v>4685455.0650880001</v>
      </c>
      <c r="E26" s="49">
        <f t="shared" si="13"/>
        <v>4508265.4400396002</v>
      </c>
      <c r="F26" s="49">
        <f t="shared" si="13"/>
        <v>4263055.01847135</v>
      </c>
      <c r="G26" s="49">
        <f>G24*G25</f>
        <v>3246273.2607160001</v>
      </c>
      <c r="H26" s="50">
        <f t="shared" si="13"/>
        <v>3070405.1503584497</v>
      </c>
      <c r="I26" s="49">
        <f t="shared" si="13"/>
        <v>3639914.6895127501</v>
      </c>
      <c r="J26" s="49">
        <f t="shared" si="13"/>
        <v>0</v>
      </c>
      <c r="K26" s="49">
        <f t="shared" si="13"/>
        <v>0</v>
      </c>
      <c r="L26" s="49">
        <f t="shared" si="13"/>
        <v>0</v>
      </c>
      <c r="M26" s="49">
        <f t="shared" si="13"/>
        <v>0</v>
      </c>
      <c r="N26" s="49">
        <f t="shared" si="13"/>
        <v>0</v>
      </c>
      <c r="O26" s="49">
        <f t="shared" si="13"/>
        <v>0</v>
      </c>
      <c r="P26" s="49"/>
      <c r="Q26" s="49"/>
      <c r="R26" s="49"/>
      <c r="S26" s="49"/>
      <c r="T26" s="49"/>
      <c r="U26" s="7"/>
    </row>
    <row r="27" spans="1:21">
      <c r="A27" s="46">
        <v>17</v>
      </c>
      <c r="B27" s="20" t="s">
        <v>25</v>
      </c>
      <c r="C27" s="46" t="str">
        <f>"("&amp;A22&amp;") - ("&amp;A23&amp;") -("&amp;A26&amp;")"</f>
        <v>(12) - (13) -(16)</v>
      </c>
      <c r="D27" s="49">
        <f>D22-D23-D26</f>
        <v>17625301.947632</v>
      </c>
      <c r="E27" s="49">
        <f t="shared" ref="E27:O27" si="14">E22-E23-E26</f>
        <v>16815820.3620704</v>
      </c>
      <c r="F27" s="49">
        <f t="shared" si="14"/>
        <v>15429852.96686865</v>
      </c>
      <c r="G27" s="49">
        <f t="shared" si="14"/>
        <v>11207160.950144002</v>
      </c>
      <c r="H27" s="50">
        <f t="shared" si="14"/>
        <v>10618046.18857155</v>
      </c>
      <c r="I27" s="49">
        <f t="shared" si="14"/>
        <v>12682621.841717249</v>
      </c>
      <c r="J27" s="49">
        <f t="shared" si="14"/>
        <v>0</v>
      </c>
      <c r="K27" s="49">
        <f t="shared" si="14"/>
        <v>0</v>
      </c>
      <c r="L27" s="49">
        <f t="shared" si="14"/>
        <v>0</v>
      </c>
      <c r="M27" s="49">
        <f t="shared" si="14"/>
        <v>0</v>
      </c>
      <c r="N27" s="49">
        <f t="shared" si="14"/>
        <v>0</v>
      </c>
      <c r="O27" s="49">
        <f t="shared" si="14"/>
        <v>0</v>
      </c>
      <c r="P27" s="49"/>
      <c r="Q27" s="49">
        <f>SUM(D27:F27)</f>
        <v>49870975.27657105</v>
      </c>
      <c r="R27" s="49">
        <f>SUM(G27:I27)</f>
        <v>34507828.980432801</v>
      </c>
      <c r="S27" s="49">
        <f>SUM(J27:L27)</f>
        <v>0</v>
      </c>
      <c r="T27" s="49">
        <f>SUM(M27:O27)</f>
        <v>0</v>
      </c>
      <c r="U27" s="7">
        <f>SUM(D27:O27)</f>
        <v>84378804.257003844</v>
      </c>
    </row>
    <row r="28" spans="1:21">
      <c r="A28" s="46">
        <v>18</v>
      </c>
      <c r="B28" s="89" t="s">
        <v>26</v>
      </c>
      <c r="C28" s="46" t="str">
        <f>"("&amp;A27&amp;") / ("&amp;A18&amp;")"</f>
        <v>(17) / (9)</v>
      </c>
      <c r="D28" s="18">
        <f t="shared" ref="D28:O28" si="15">D27/D18</f>
        <v>80.967746436938114</v>
      </c>
      <c r="E28" s="18">
        <f t="shared" si="15"/>
        <v>77.181754334269968</v>
      </c>
      <c r="F28" s="18">
        <f t="shared" si="15"/>
        <v>71.135144078247791</v>
      </c>
      <c r="G28" s="18">
        <f t="shared" si="15"/>
        <v>51.475346433448628</v>
      </c>
      <c r="H28" s="141">
        <f t="shared" si="15"/>
        <v>48.912605322281671</v>
      </c>
      <c r="I28" s="18">
        <f t="shared" si="15"/>
        <v>58.499448068105707</v>
      </c>
      <c r="J28" s="18" t="e">
        <f t="shared" si="15"/>
        <v>#DIV/0!</v>
      </c>
      <c r="K28" s="18" t="e">
        <f t="shared" si="15"/>
        <v>#DIV/0!</v>
      </c>
      <c r="L28" s="18" t="e">
        <f t="shared" si="15"/>
        <v>#DIV/0!</v>
      </c>
      <c r="M28" s="18" t="e">
        <f t="shared" si="15"/>
        <v>#DIV/0!</v>
      </c>
      <c r="N28" s="18" t="e">
        <f t="shared" si="15"/>
        <v>#DIV/0!</v>
      </c>
      <c r="O28" s="18" t="e">
        <f t="shared" si="15"/>
        <v>#DIV/0!</v>
      </c>
      <c r="P28" s="18"/>
      <c r="Q28" s="223">
        <f>Q27/Q18</f>
        <v>76.434713396996088</v>
      </c>
      <c r="R28" s="223">
        <f>R27/R18</f>
        <v>52.958608011713935</v>
      </c>
      <c r="S28" s="223" t="e">
        <f>S27/S18</f>
        <v>#DIV/0!</v>
      </c>
      <c r="T28" s="223" t="e">
        <f>T27/T18</f>
        <v>#DIV/0!</v>
      </c>
      <c r="U28" s="223">
        <f>U27/U18</f>
        <v>64.704446677890942</v>
      </c>
    </row>
    <row r="29" spans="1:21">
      <c r="A29" s="46">
        <v>19</v>
      </c>
      <c r="B29" s="20" t="s">
        <v>27</v>
      </c>
      <c r="C29" s="46" t="str">
        <f>"("&amp;A$24&amp;") - ("&amp;A27&amp;")"</f>
        <v>(14) - (17)</v>
      </c>
      <c r="D29" s="49">
        <f t="shared" ref="D29:O29" si="16">D20-D27</f>
        <v>2591149.10941872</v>
      </c>
      <c r="E29" s="49">
        <f t="shared" si="16"/>
        <v>-2371310.7881810274</v>
      </c>
      <c r="F29" s="49">
        <f t="shared" si="16"/>
        <v>327948.7836063616</v>
      </c>
      <c r="G29" s="49">
        <f t="shared" si="16"/>
        <v>811756.31841295585</v>
      </c>
      <c r="H29" s="50">
        <f t="shared" si="16"/>
        <v>327655.99142734893</v>
      </c>
      <c r="I29" s="49">
        <f t="shared" si="16"/>
        <v>-2269913.9026082829</v>
      </c>
      <c r="J29" s="49">
        <f t="shared" si="16"/>
        <v>0</v>
      </c>
      <c r="K29" s="49">
        <f t="shared" si="16"/>
        <v>0</v>
      </c>
      <c r="L29" s="49">
        <f t="shared" si="16"/>
        <v>0</v>
      </c>
      <c r="M29" s="49">
        <f>M20-M27</f>
        <v>0</v>
      </c>
      <c r="N29" s="49">
        <f t="shared" si="16"/>
        <v>0</v>
      </c>
      <c r="O29" s="49">
        <f t="shared" si="16"/>
        <v>0</v>
      </c>
      <c r="P29" s="49"/>
      <c r="Q29" s="49">
        <f>SUM(D29:F29)</f>
        <v>547787.10484405421</v>
      </c>
      <c r="R29" s="49">
        <f>SUM(G29:I29)</f>
        <v>-1130501.5927679781</v>
      </c>
      <c r="S29" s="49">
        <f>SUM(J29:L29)</f>
        <v>0</v>
      </c>
      <c r="T29" s="49">
        <f>SUM(M29:O29)</f>
        <v>0</v>
      </c>
      <c r="U29" s="7">
        <f>SUM(D29:O29)</f>
        <v>-582714.48792392388</v>
      </c>
    </row>
    <row r="30" spans="1:21">
      <c r="A30" s="46">
        <v>20</v>
      </c>
      <c r="B30" s="20" t="s">
        <v>28</v>
      </c>
      <c r="C30" s="8" t="s">
        <v>29</v>
      </c>
      <c r="D30" s="49">
        <f>D29*-0.044369</f>
        <v>-114966.69483579918</v>
      </c>
      <c r="E30" s="49">
        <f t="shared" ref="E30:O30" si="17">E29*-0.044369</f>
        <v>105212.68836080401</v>
      </c>
      <c r="F30" s="49">
        <f t="shared" si="17"/>
        <v>-14550.759579830657</v>
      </c>
      <c r="G30" s="49">
        <f t="shared" si="17"/>
        <v>-36016.816091664434</v>
      </c>
      <c r="H30" s="49">
        <f t="shared" si="17"/>
        <v>-14537.768683640044</v>
      </c>
      <c r="I30" s="49">
        <f t="shared" si="17"/>
        <v>100713.80994482691</v>
      </c>
      <c r="J30" s="49">
        <f t="shared" si="17"/>
        <v>0</v>
      </c>
      <c r="K30" s="49">
        <f t="shared" si="17"/>
        <v>0</v>
      </c>
      <c r="L30" s="49">
        <f t="shared" si="17"/>
        <v>0</v>
      </c>
      <c r="M30" s="49">
        <f t="shared" si="17"/>
        <v>0</v>
      </c>
      <c r="N30" s="49">
        <f t="shared" si="17"/>
        <v>0</v>
      </c>
      <c r="O30" s="49">
        <f t="shared" si="17"/>
        <v>0</v>
      </c>
      <c r="P30" s="49"/>
      <c r="Q30" s="49">
        <f>SUM(D30:F30)</f>
        <v>-24304.766054825828</v>
      </c>
      <c r="R30" s="49">
        <f>SUM(G30:I30)</f>
        <v>50159.225169522426</v>
      </c>
      <c r="S30" s="49">
        <f>SUM(J30:L30)</f>
        <v>0</v>
      </c>
      <c r="T30" s="49">
        <f>SUM(M30:O30)</f>
        <v>0</v>
      </c>
      <c r="U30" s="7">
        <f>SUM(D30:O30)</f>
        <v>25854.459114696598</v>
      </c>
    </row>
    <row r="31" spans="1:21" ht="14.45" customHeight="1">
      <c r="A31" s="46">
        <v>21</v>
      </c>
      <c r="B31" s="20"/>
      <c r="C31" s="46" t="s">
        <v>30</v>
      </c>
      <c r="D31" s="224">
        <v>3.2500000000000001E-2</v>
      </c>
      <c r="E31" s="224">
        <v>3.2500000000000001E-2</v>
      </c>
      <c r="F31" s="224">
        <v>3.2500000000000001E-2</v>
      </c>
      <c r="G31" s="224">
        <v>3.2500000000000001E-2</v>
      </c>
      <c r="H31" s="224">
        <v>3.2500000000000001E-2</v>
      </c>
      <c r="I31" s="224">
        <v>3.2500000000000001E-2</v>
      </c>
      <c r="J31" s="224">
        <v>0</v>
      </c>
      <c r="K31" s="224">
        <v>0</v>
      </c>
      <c r="L31" s="224">
        <v>0</v>
      </c>
      <c r="M31" s="225">
        <v>0</v>
      </c>
      <c r="N31" s="225">
        <v>0</v>
      </c>
      <c r="O31" s="225">
        <v>0</v>
      </c>
      <c r="P31" s="225"/>
      <c r="Q31" s="54"/>
      <c r="R31" s="54"/>
      <c r="S31" s="54"/>
      <c r="T31" s="54"/>
      <c r="U31" s="7"/>
    </row>
    <row r="32" spans="1:21">
      <c r="A32" s="46">
        <v>22</v>
      </c>
      <c r="B32" s="20" t="s">
        <v>31</v>
      </c>
      <c r="C32" s="46" t="s">
        <v>35</v>
      </c>
      <c r="D32" s="3">
        <f>(D29+D30)/2*D31/12</f>
        <v>3353.1636864143716</v>
      </c>
      <c r="E32" s="3">
        <f>(D34+(E29+E30)/2)*E31/12</f>
        <v>3646.7343476395636</v>
      </c>
      <c r="F32" s="3">
        <f t="shared" ref="F32:O32" si="18">(E34+(F29+F30)/2)*F31/12</f>
        <v>1012.3295671937949</v>
      </c>
      <c r="G32" s="3">
        <f t="shared" si="18"/>
        <v>2489.9450267009543</v>
      </c>
      <c r="H32" s="142">
        <f t="shared" si="18"/>
        <v>3971.1834638404575</v>
      </c>
      <c r="I32" s="3">
        <f t="shared" si="18"/>
        <v>1468.4945535387008</v>
      </c>
      <c r="J32" s="3">
        <f>(I34+(J29+J30)/2)*J31/12</f>
        <v>0</v>
      </c>
      <c r="K32" s="3">
        <f t="shared" si="18"/>
        <v>0</v>
      </c>
      <c r="L32" s="3">
        <f t="shared" si="18"/>
        <v>0</v>
      </c>
      <c r="M32" s="3">
        <f t="shared" si="18"/>
        <v>0</v>
      </c>
      <c r="N32" s="3">
        <f t="shared" si="18"/>
        <v>0</v>
      </c>
      <c r="O32" s="3">
        <f t="shared" si="18"/>
        <v>0</v>
      </c>
      <c r="P32" s="3"/>
      <c r="Q32" s="49">
        <f>SUM(D32:F32)</f>
        <v>8012.2276012477296</v>
      </c>
      <c r="R32" s="49">
        <f>SUM(G32:I32)</f>
        <v>7929.6230440801128</v>
      </c>
      <c r="S32" s="49">
        <f>SUM(J32:L32)</f>
        <v>0</v>
      </c>
      <c r="T32" s="49">
        <f>SUM(M32:O32)</f>
        <v>0</v>
      </c>
      <c r="U32" s="7">
        <f>SUM(D32:O32)</f>
        <v>15941.850645327842</v>
      </c>
    </row>
    <row r="33" spans="1:23" ht="14.45" customHeight="1" thickBot="1">
      <c r="A33" s="46">
        <v>23</v>
      </c>
      <c r="B33" s="4" t="s">
        <v>32</v>
      </c>
      <c r="C33" s="46"/>
      <c r="D33" s="6">
        <f>D29+D30+D32</f>
        <v>2479535.578269335</v>
      </c>
      <c r="E33" s="6">
        <f t="shared" ref="E33:O33" si="19">E29+E30+E32</f>
        <v>-2262451.3654725836</v>
      </c>
      <c r="F33" s="6">
        <f t="shared" si="19"/>
        <v>314410.35359372472</v>
      </c>
      <c r="G33" s="6">
        <f t="shared" si="19"/>
        <v>778229.44734799233</v>
      </c>
      <c r="H33" s="6">
        <f t="shared" si="19"/>
        <v>317089.40620754933</v>
      </c>
      <c r="I33" s="6">
        <f t="shared" si="19"/>
        <v>-2167731.5981099172</v>
      </c>
      <c r="J33" s="6">
        <f>J29+J30+J32</f>
        <v>0</v>
      </c>
      <c r="K33" s="6">
        <f t="shared" si="19"/>
        <v>0</v>
      </c>
      <c r="L33" s="6">
        <f t="shared" si="19"/>
        <v>0</v>
      </c>
      <c r="M33" s="6">
        <f t="shared" si="19"/>
        <v>0</v>
      </c>
      <c r="N33" s="6">
        <f t="shared" si="19"/>
        <v>0</v>
      </c>
      <c r="O33" s="6">
        <f t="shared" si="19"/>
        <v>0</v>
      </c>
      <c r="P33" s="6"/>
      <c r="Q33" s="51">
        <f>Q29+Q30+Q32</f>
        <v>531494.56639047607</v>
      </c>
      <c r="R33" s="51">
        <f>R29+R30+R32</f>
        <v>-1072412.7445543755</v>
      </c>
      <c r="S33" s="51">
        <f>S29+S30+S32</f>
        <v>0</v>
      </c>
      <c r="T33" s="51">
        <f>T29+T30+T32</f>
        <v>0</v>
      </c>
      <c r="U33" s="51">
        <f>U29+U30+U32</f>
        <v>-540918.17816389946</v>
      </c>
      <c r="W33" s="226"/>
    </row>
    <row r="34" spans="1:23" ht="27" thickBot="1">
      <c r="A34" s="46">
        <v>24</v>
      </c>
      <c r="B34" s="165" t="s">
        <v>168</v>
      </c>
      <c r="C34" s="46" t="str">
        <f>"Σ(("&amp;A29&amp;") ,("&amp;A30&amp;") , ("&amp;A32&amp;"))"</f>
        <v>Σ((19) ,(20) , (22))</v>
      </c>
      <c r="D34" s="49">
        <f>D29+D30+D32</f>
        <v>2479535.578269335</v>
      </c>
      <c r="E34" s="49">
        <f>D34+E29+E30+E32</f>
        <v>217084.21279675115</v>
      </c>
      <c r="F34" s="49">
        <f t="shared" ref="F34:O34" si="20">E34+F29+F30+F32</f>
        <v>531494.56639047584</v>
      </c>
      <c r="G34" s="49">
        <f t="shared" si="20"/>
        <v>1309724.0137384681</v>
      </c>
      <c r="H34" s="50">
        <f t="shared" si="20"/>
        <v>1626813.4199460174</v>
      </c>
      <c r="I34" s="49">
        <f t="shared" si="20"/>
        <v>-540918.17816389981</v>
      </c>
      <c r="J34" s="49">
        <f t="shared" si="20"/>
        <v>-540918.17816389981</v>
      </c>
      <c r="K34" s="49">
        <f t="shared" si="20"/>
        <v>-540918.17816389981</v>
      </c>
      <c r="L34" s="49">
        <f t="shared" si="20"/>
        <v>-540918.17816389981</v>
      </c>
      <c r="M34" s="49">
        <f t="shared" si="20"/>
        <v>-540918.17816389981</v>
      </c>
      <c r="N34" s="49">
        <f t="shared" si="20"/>
        <v>-540918.17816389981</v>
      </c>
      <c r="O34" s="90">
        <f t="shared" si="20"/>
        <v>-540918.17816389981</v>
      </c>
      <c r="P34" s="16"/>
      <c r="Q34" s="49"/>
      <c r="R34" s="49"/>
      <c r="S34" s="49"/>
      <c r="T34" s="49"/>
      <c r="U34" s="7"/>
    </row>
    <row r="35" spans="1:23" ht="36" hidden="1" customHeight="1">
      <c r="A35" s="234" t="s">
        <v>189</v>
      </c>
      <c r="B35" s="234"/>
      <c r="C35" s="234"/>
      <c r="D35" s="234"/>
      <c r="E35" s="234"/>
      <c r="F35" s="234"/>
      <c r="G35" s="234"/>
      <c r="H35" s="234"/>
      <c r="I35" s="234"/>
      <c r="J35" s="234"/>
      <c r="K35" s="234"/>
      <c r="L35" s="234"/>
      <c r="M35" s="234"/>
      <c r="N35" s="234"/>
      <c r="O35" s="234"/>
      <c r="P35" s="234"/>
      <c r="Q35" s="234"/>
      <c r="R35" s="234"/>
      <c r="S35" s="234"/>
      <c r="T35" s="234"/>
      <c r="U35" s="234"/>
    </row>
    <row r="36" spans="1:23">
      <c r="A36" s="46"/>
      <c r="B36" s="1" t="s">
        <v>33</v>
      </c>
      <c r="C36" s="46"/>
      <c r="D36" s="49"/>
      <c r="E36" s="49"/>
      <c r="F36" s="49"/>
      <c r="G36" s="49"/>
      <c r="H36" s="50"/>
      <c r="I36" s="49"/>
      <c r="J36" s="49"/>
      <c r="K36" s="49"/>
      <c r="L36" s="49"/>
      <c r="M36" s="49"/>
      <c r="N36" s="49"/>
      <c r="O36" s="49"/>
      <c r="P36" s="49"/>
      <c r="Q36" s="49"/>
      <c r="R36" s="49"/>
      <c r="S36" s="49"/>
      <c r="T36" s="49"/>
      <c r="U36" s="7"/>
    </row>
    <row r="37" spans="1:23">
      <c r="A37" s="46">
        <v>25</v>
      </c>
      <c r="B37" s="20" t="s">
        <v>20</v>
      </c>
      <c r="C37" s="46" t="s">
        <v>21</v>
      </c>
      <c r="D37" s="204">
        <v>37888</v>
      </c>
      <c r="E37" s="204">
        <v>37888</v>
      </c>
      <c r="F37" s="204">
        <v>37888</v>
      </c>
      <c r="G37" s="174">
        <v>38020</v>
      </c>
      <c r="H37" s="176">
        <v>37820</v>
      </c>
      <c r="I37" s="174">
        <v>38218</v>
      </c>
      <c r="J37" s="174"/>
      <c r="K37" s="174"/>
      <c r="L37" s="174"/>
      <c r="M37" s="174"/>
      <c r="N37" s="174"/>
      <c r="O37" s="174"/>
      <c r="P37" s="174"/>
      <c r="Q37" s="48">
        <f t="shared" ref="Q37:Q44" si="21">SUM(D37:F37)</f>
        <v>113664</v>
      </c>
      <c r="R37" s="48">
        <f t="shared" ref="R37:R44" si="22">SUM(G37:I37)</f>
        <v>114058</v>
      </c>
      <c r="S37" s="48">
        <f t="shared" ref="S37:S44" si="23">SUM(J37:L37)</f>
        <v>0</v>
      </c>
      <c r="T37" s="48">
        <f t="shared" ref="T37:T44" si="24">SUM(M37:O37)</f>
        <v>0</v>
      </c>
      <c r="U37" s="219">
        <f t="shared" ref="U37:U44" si="25">SUM(D37:O37)</f>
        <v>227722</v>
      </c>
    </row>
    <row r="38" spans="1:23">
      <c r="A38" s="46">
        <v>26</v>
      </c>
      <c r="B38" s="2" t="s">
        <v>157</v>
      </c>
      <c r="C38" s="46" t="s">
        <v>21</v>
      </c>
      <c r="D38" s="174">
        <v>166909354.39500004</v>
      </c>
      <c r="E38" s="174">
        <v>157727108.32999998</v>
      </c>
      <c r="F38" s="174">
        <v>168214115.43900001</v>
      </c>
      <c r="G38" s="174">
        <v>155684619.32600001</v>
      </c>
      <c r="H38" s="176">
        <v>177821928.109</v>
      </c>
      <c r="I38" s="174">
        <v>208595184.90900001</v>
      </c>
      <c r="J38" s="174"/>
      <c r="K38" s="174"/>
      <c r="L38" s="174"/>
      <c r="M38" s="174"/>
      <c r="N38" s="174"/>
      <c r="O38" s="174"/>
      <c r="P38" s="174"/>
      <c r="Q38" s="48">
        <f t="shared" si="21"/>
        <v>492850578.16400003</v>
      </c>
      <c r="R38" s="48">
        <f t="shared" si="22"/>
        <v>542101732.34399998</v>
      </c>
      <c r="S38" s="48">
        <f t="shared" si="23"/>
        <v>0</v>
      </c>
      <c r="T38" s="48">
        <f t="shared" si="24"/>
        <v>0</v>
      </c>
      <c r="U38" s="219">
        <f t="shared" si="25"/>
        <v>1034952310.508</v>
      </c>
    </row>
    <row r="39" spans="1:23">
      <c r="A39" s="46">
        <v>27</v>
      </c>
      <c r="B39" s="20" t="s">
        <v>37</v>
      </c>
      <c r="C39" s="46" t="s">
        <v>21</v>
      </c>
      <c r="D39" s="175">
        <v>17448083.997480005</v>
      </c>
      <c r="E39" s="175">
        <v>16763030.582050001</v>
      </c>
      <c r="F39" s="175">
        <v>18238872.602200001</v>
      </c>
      <c r="G39" s="175">
        <v>16657933.77386</v>
      </c>
      <c r="H39" s="177">
        <v>18676990.976959996</v>
      </c>
      <c r="I39" s="175">
        <v>21337890.44184</v>
      </c>
      <c r="J39" s="175"/>
      <c r="K39" s="175"/>
      <c r="L39" s="175"/>
      <c r="M39" s="175"/>
      <c r="N39" s="175"/>
      <c r="O39" s="175"/>
      <c r="P39" s="175"/>
      <c r="Q39" s="49">
        <f t="shared" si="21"/>
        <v>52449987.18173001</v>
      </c>
      <c r="R39" s="49">
        <f t="shared" si="22"/>
        <v>56672815.192659996</v>
      </c>
      <c r="S39" s="49">
        <f t="shared" si="23"/>
        <v>0</v>
      </c>
      <c r="T39" s="49">
        <f t="shared" si="24"/>
        <v>0</v>
      </c>
      <c r="U39" s="7">
        <f t="shared" si="25"/>
        <v>109122802.37439001</v>
      </c>
    </row>
    <row r="40" spans="1:23">
      <c r="A40" s="46">
        <v>28</v>
      </c>
      <c r="B40" s="20" t="s">
        <v>38</v>
      </c>
      <c r="C40" s="46" t="s">
        <v>21</v>
      </c>
      <c r="D40" s="175">
        <v>1673036.9</v>
      </c>
      <c r="E40" s="175">
        <v>1627813.75</v>
      </c>
      <c r="F40" s="175">
        <v>1944697.97</v>
      </c>
      <c r="G40" s="175">
        <v>1770530.62</v>
      </c>
      <c r="H40" s="177">
        <v>1719332.9400000002</v>
      </c>
      <c r="I40" s="175">
        <v>1747557.98</v>
      </c>
      <c r="J40" s="175"/>
      <c r="K40" s="175"/>
      <c r="L40" s="175"/>
      <c r="M40" s="175"/>
      <c r="N40" s="175"/>
      <c r="O40" s="175"/>
      <c r="P40" s="175"/>
      <c r="Q40" s="49">
        <f t="shared" si="21"/>
        <v>5245548.62</v>
      </c>
      <c r="R40" s="49">
        <f t="shared" si="22"/>
        <v>5237421.540000001</v>
      </c>
      <c r="S40" s="49">
        <f t="shared" si="23"/>
        <v>0</v>
      </c>
      <c r="T40" s="49">
        <f t="shared" si="24"/>
        <v>0</v>
      </c>
      <c r="U40" s="7">
        <f t="shared" si="25"/>
        <v>10482970.16</v>
      </c>
    </row>
    <row r="41" spans="1:23" ht="27.75" customHeight="1">
      <c r="A41" s="46">
        <v>29</v>
      </c>
      <c r="B41" s="20" t="s">
        <v>158</v>
      </c>
      <c r="C41" s="46" t="s">
        <v>21</v>
      </c>
      <c r="D41" s="174">
        <v>1622</v>
      </c>
      <c r="E41" s="174">
        <v>1562</v>
      </c>
      <c r="F41" s="174">
        <v>1805</v>
      </c>
      <c r="G41" s="174">
        <v>1771</v>
      </c>
      <c r="H41" s="176">
        <v>1932</v>
      </c>
      <c r="I41" s="174">
        <v>2007</v>
      </c>
      <c r="J41" s="174"/>
      <c r="K41" s="174"/>
      <c r="L41" s="174"/>
      <c r="M41" s="174"/>
      <c r="N41" s="174"/>
      <c r="O41" s="174"/>
      <c r="P41" s="174"/>
      <c r="Q41" s="48">
        <f t="shared" si="21"/>
        <v>4989</v>
      </c>
      <c r="R41" s="48">
        <f t="shared" si="22"/>
        <v>5710</v>
      </c>
      <c r="S41" s="48">
        <f t="shared" si="23"/>
        <v>0</v>
      </c>
      <c r="T41" s="48">
        <f t="shared" si="24"/>
        <v>0</v>
      </c>
      <c r="U41" s="219">
        <f t="shared" si="25"/>
        <v>10699</v>
      </c>
    </row>
    <row r="42" spans="1:23">
      <c r="A42" s="46">
        <v>30</v>
      </c>
      <c r="B42" s="2" t="s">
        <v>159</v>
      </c>
      <c r="C42" s="46" t="s">
        <v>21</v>
      </c>
      <c r="D42" s="174">
        <v>6267127.7510000002</v>
      </c>
      <c r="E42" s="174">
        <v>5493508.4339999994</v>
      </c>
      <c r="F42" s="174">
        <v>6239854.4960000003</v>
      </c>
      <c r="G42" s="174">
        <v>5228132.5190000003</v>
      </c>
      <c r="H42" s="176">
        <v>4910749.580000001</v>
      </c>
      <c r="I42" s="174">
        <v>6230697.5319999997</v>
      </c>
      <c r="J42" s="174"/>
      <c r="K42" s="174"/>
      <c r="L42" s="174"/>
      <c r="M42" s="174"/>
      <c r="N42" s="174"/>
      <c r="O42" s="174"/>
      <c r="P42" s="174"/>
      <c r="Q42" s="48">
        <f t="shared" si="21"/>
        <v>18000490.680999998</v>
      </c>
      <c r="R42" s="48">
        <f t="shared" si="22"/>
        <v>16369579.631000001</v>
      </c>
      <c r="S42" s="48">
        <f t="shared" si="23"/>
        <v>0</v>
      </c>
      <c r="T42" s="48">
        <f t="shared" si="24"/>
        <v>0</v>
      </c>
      <c r="U42" s="219">
        <f t="shared" si="25"/>
        <v>34370070.311999999</v>
      </c>
    </row>
    <row r="43" spans="1:23">
      <c r="A43" s="46">
        <v>31</v>
      </c>
      <c r="B43" s="20" t="s">
        <v>160</v>
      </c>
      <c r="C43" s="46" t="s">
        <v>21</v>
      </c>
      <c r="D43" s="175">
        <v>708441.85</v>
      </c>
      <c r="E43" s="175">
        <v>630897.97</v>
      </c>
      <c r="F43" s="175">
        <v>710227.10999999987</v>
      </c>
      <c r="G43" s="175">
        <v>619052.55000000005</v>
      </c>
      <c r="H43" s="177">
        <v>602106.28999999992</v>
      </c>
      <c r="I43" s="175">
        <v>718199.07000000018</v>
      </c>
      <c r="J43" s="175"/>
      <c r="K43" s="175"/>
      <c r="L43" s="175"/>
      <c r="M43" s="175"/>
      <c r="N43" s="175"/>
      <c r="O43" s="175"/>
      <c r="P43" s="175"/>
      <c r="Q43" s="49">
        <f t="shared" si="21"/>
        <v>2049566.9299999997</v>
      </c>
      <c r="R43" s="49">
        <f t="shared" si="22"/>
        <v>1939357.9100000001</v>
      </c>
      <c r="S43" s="49">
        <f t="shared" si="23"/>
        <v>0</v>
      </c>
      <c r="T43" s="49">
        <f t="shared" si="24"/>
        <v>0</v>
      </c>
      <c r="U43" s="7">
        <f t="shared" si="25"/>
        <v>3988924.84</v>
      </c>
    </row>
    <row r="44" spans="1:23">
      <c r="A44" s="46">
        <v>32</v>
      </c>
      <c r="B44" s="20" t="s">
        <v>161</v>
      </c>
      <c r="C44" s="46" t="s">
        <v>21</v>
      </c>
      <c r="D44" s="175">
        <v>54938.080000000002</v>
      </c>
      <c r="E44" s="175">
        <v>50446.64</v>
      </c>
      <c r="F44" s="175">
        <v>57119.21</v>
      </c>
      <c r="G44" s="175">
        <v>55943.28</v>
      </c>
      <c r="H44" s="177">
        <v>63565.240000000005</v>
      </c>
      <c r="I44" s="175">
        <v>63211.679999999993</v>
      </c>
      <c r="J44" s="175"/>
      <c r="K44" s="175"/>
      <c r="L44" s="175"/>
      <c r="M44" s="175"/>
      <c r="N44" s="175"/>
      <c r="O44" s="175"/>
      <c r="P44" s="175"/>
      <c r="Q44" s="49">
        <f t="shared" si="21"/>
        <v>162503.93</v>
      </c>
      <c r="R44" s="49">
        <f t="shared" si="22"/>
        <v>182720.2</v>
      </c>
      <c r="S44" s="49">
        <f t="shared" si="23"/>
        <v>0</v>
      </c>
      <c r="T44" s="49">
        <f t="shared" si="24"/>
        <v>0</v>
      </c>
      <c r="U44" s="7">
        <f t="shared" si="25"/>
        <v>345224.13</v>
      </c>
    </row>
    <row r="45" spans="1:23">
      <c r="A45" s="46"/>
      <c r="B45" s="1"/>
      <c r="C45" s="46"/>
      <c r="D45" s="49"/>
      <c r="E45" s="49"/>
      <c r="F45" s="49"/>
      <c r="G45" s="49"/>
      <c r="H45" s="50"/>
      <c r="I45" s="49"/>
      <c r="J45" s="49"/>
      <c r="K45" s="49"/>
      <c r="L45" s="49"/>
      <c r="M45" s="49"/>
      <c r="N45" s="49"/>
      <c r="O45" s="49"/>
      <c r="P45" s="49"/>
      <c r="Q45" s="49"/>
      <c r="R45" s="49"/>
      <c r="S45" s="49"/>
      <c r="T45" s="49"/>
      <c r="U45" s="7"/>
    </row>
    <row r="46" spans="1:23">
      <c r="A46" s="46">
        <v>33</v>
      </c>
      <c r="B46" s="20" t="s">
        <v>162</v>
      </c>
      <c r="C46" s="46" t="str">
        <f>"("&amp;A37&amp;") - ("&amp;A41&amp;")"</f>
        <v>(25) - (29)</v>
      </c>
      <c r="D46" s="172">
        <f>D37-D41</f>
        <v>36266</v>
      </c>
      <c r="E46" s="172">
        <f>E37-E41</f>
        <v>36326</v>
      </c>
      <c r="F46" s="172">
        <f>F37-F41</f>
        <v>36083</v>
      </c>
      <c r="G46" s="172">
        <f>G37-G41</f>
        <v>36249</v>
      </c>
      <c r="H46" s="48">
        <f t="shared" ref="H46:O46" si="26">H37-H41</f>
        <v>35888</v>
      </c>
      <c r="I46" s="48">
        <f t="shared" si="26"/>
        <v>36211</v>
      </c>
      <c r="J46" s="48">
        <f t="shared" si="26"/>
        <v>0</v>
      </c>
      <c r="K46" s="48">
        <f t="shared" si="26"/>
        <v>0</v>
      </c>
      <c r="L46" s="48">
        <f t="shared" si="26"/>
        <v>0</v>
      </c>
      <c r="M46" s="48">
        <f t="shared" si="26"/>
        <v>0</v>
      </c>
      <c r="N46" s="48">
        <f t="shared" si="26"/>
        <v>0</v>
      </c>
      <c r="O46" s="48">
        <f t="shared" si="26"/>
        <v>0</v>
      </c>
      <c r="P46" s="48"/>
      <c r="Q46" s="48">
        <f>SUM(D46:F46)</f>
        <v>108675</v>
      </c>
      <c r="R46" s="48">
        <f>SUM(G46:I46)</f>
        <v>108348</v>
      </c>
      <c r="S46" s="48">
        <f>SUM(J46:L46)</f>
        <v>0</v>
      </c>
      <c r="T46" s="48">
        <f>SUM(M46:O46)</f>
        <v>0</v>
      </c>
      <c r="U46" s="219">
        <f>SUM(D46:O46)</f>
        <v>217023</v>
      </c>
    </row>
    <row r="47" spans="1:23" ht="29.45" customHeight="1">
      <c r="A47" s="82">
        <f t="shared" ref="A47:A55" si="27">A46+1</f>
        <v>34</v>
      </c>
      <c r="B47" s="82" t="s">
        <v>22</v>
      </c>
      <c r="C47" s="82" t="s">
        <v>169</v>
      </c>
      <c r="D47" s="18">
        <v>366.5357464335533</v>
      </c>
      <c r="E47" s="18">
        <v>363.74967239457885</v>
      </c>
      <c r="F47" s="18">
        <v>346.01359721152346</v>
      </c>
      <c r="G47" s="18">
        <v>335.5570844973509</v>
      </c>
      <c r="H47" s="141">
        <v>361.67337127768576</v>
      </c>
      <c r="I47" s="18">
        <v>376.00720550864446</v>
      </c>
      <c r="J47" s="18">
        <v>413.67238077006056</v>
      </c>
      <c r="K47" s="18">
        <v>396.8768301050074</v>
      </c>
      <c r="L47" s="18">
        <v>352.61047681102906</v>
      </c>
      <c r="M47" s="18">
        <v>379.63297244432823</v>
      </c>
      <c r="N47" s="18">
        <v>363.03059603625911</v>
      </c>
      <c r="O47" s="18">
        <v>358.52006650997981</v>
      </c>
      <c r="P47" s="18"/>
      <c r="Q47" s="18">
        <f>Q48/Q46</f>
        <v>358.79056459855639</v>
      </c>
      <c r="R47" s="18">
        <f>R48/R46</f>
        <v>357.72639663890044</v>
      </c>
      <c r="S47" s="18" t="e">
        <f>S48/S46</f>
        <v>#DIV/0!</v>
      </c>
      <c r="T47" s="18" t="e">
        <f>T48/T46</f>
        <v>#DIV/0!</v>
      </c>
      <c r="U47" s="18">
        <f>U48/U46</f>
        <v>358.25928233772322</v>
      </c>
    </row>
    <row r="48" spans="1:23">
      <c r="A48" s="46">
        <f t="shared" si="27"/>
        <v>35</v>
      </c>
      <c r="B48" s="20" t="s">
        <v>23</v>
      </c>
      <c r="C48" s="46" t="str">
        <f>"("&amp;A46&amp;") x ("&amp;A47&amp;")"</f>
        <v>(33) x (34)</v>
      </c>
      <c r="D48" s="49">
        <f t="shared" ref="D48:N48" si="28">D46*D47</f>
        <v>13292785.380159244</v>
      </c>
      <c r="E48" s="49">
        <f t="shared" si="28"/>
        <v>13213570.599405471</v>
      </c>
      <c r="F48" s="49">
        <f t="shared" si="28"/>
        <v>12485208.6281834</v>
      </c>
      <c r="G48" s="49">
        <f t="shared" si="28"/>
        <v>12163608.755944474</v>
      </c>
      <c r="H48" s="50">
        <f t="shared" si="28"/>
        <v>12979733.948413586</v>
      </c>
      <c r="I48" s="49">
        <f t="shared" si="28"/>
        <v>13615596.918673525</v>
      </c>
      <c r="J48" s="49">
        <f t="shared" si="28"/>
        <v>0</v>
      </c>
      <c r="K48" s="49">
        <f t="shared" si="28"/>
        <v>0</v>
      </c>
      <c r="L48" s="49">
        <f t="shared" si="28"/>
        <v>0</v>
      </c>
      <c r="M48" s="49">
        <f t="shared" si="28"/>
        <v>0</v>
      </c>
      <c r="N48" s="49">
        <f t="shared" si="28"/>
        <v>0</v>
      </c>
      <c r="O48" s="175">
        <f>O46*O47+0</f>
        <v>0</v>
      </c>
      <c r="P48" s="49" t="s">
        <v>187</v>
      </c>
      <c r="Q48" s="49">
        <f>SUM(D48:F48)</f>
        <v>38991564.607748114</v>
      </c>
      <c r="R48" s="49">
        <f>SUM(G48:I48)</f>
        <v>38758939.623031586</v>
      </c>
      <c r="S48" s="49">
        <f>SUM(J48:L48)</f>
        <v>0</v>
      </c>
      <c r="T48" s="49">
        <f>SUM(M48:O48)</f>
        <v>0</v>
      </c>
      <c r="U48" s="7">
        <f>SUM(D48:O48)</f>
        <v>77750504.230779707</v>
      </c>
    </row>
    <row r="49" spans="1:21" ht="9" customHeight="1">
      <c r="A49" s="46"/>
      <c r="B49" s="20"/>
      <c r="C49" s="46"/>
      <c r="D49" s="47"/>
      <c r="E49" s="47"/>
      <c r="F49" s="47"/>
      <c r="G49" s="47"/>
      <c r="H49" s="140"/>
      <c r="I49" s="49"/>
      <c r="J49" s="47"/>
      <c r="K49" s="47"/>
      <c r="L49" s="47"/>
      <c r="M49" s="47"/>
      <c r="N49" s="47"/>
      <c r="O49" s="47"/>
      <c r="P49" s="47"/>
      <c r="Q49" s="47"/>
      <c r="R49" s="47"/>
      <c r="S49" s="47"/>
      <c r="T49" s="47"/>
      <c r="U49" s="20"/>
    </row>
    <row r="50" spans="1:21">
      <c r="A50" s="46">
        <v>36</v>
      </c>
      <c r="B50" s="20" t="s">
        <v>164</v>
      </c>
      <c r="C50" s="46" t="str">
        <f>"("&amp;A39&amp;") - ("&amp;A43&amp;")"</f>
        <v>(27) - (31)</v>
      </c>
      <c r="D50" s="50">
        <f t="shared" ref="D50:G51" si="29">D39-D43</f>
        <v>16739642.147480005</v>
      </c>
      <c r="E50" s="50">
        <f t="shared" si="29"/>
        <v>16132132.612050001</v>
      </c>
      <c r="F50" s="50">
        <f t="shared" si="29"/>
        <v>17528645.492200002</v>
      </c>
      <c r="G50" s="50">
        <f t="shared" si="29"/>
        <v>16038881.223859999</v>
      </c>
      <c r="H50" s="49">
        <f t="shared" ref="H50:O51" si="30">H39-H43</f>
        <v>18074884.686959997</v>
      </c>
      <c r="I50" s="49">
        <f t="shared" si="30"/>
        <v>20619691.37184</v>
      </c>
      <c r="J50" s="49">
        <f t="shared" si="30"/>
        <v>0</v>
      </c>
      <c r="K50" s="49">
        <f t="shared" si="30"/>
        <v>0</v>
      </c>
      <c r="L50" s="49">
        <f t="shared" si="30"/>
        <v>0</v>
      </c>
      <c r="M50" s="49">
        <f t="shared" si="30"/>
        <v>0</v>
      </c>
      <c r="N50" s="49">
        <f t="shared" si="30"/>
        <v>0</v>
      </c>
      <c r="O50" s="49">
        <f t="shared" si="30"/>
        <v>0</v>
      </c>
      <c r="P50" s="49"/>
      <c r="Q50" s="49"/>
      <c r="R50" s="49">
        <f>SUM(G50:I50)</f>
        <v>54733457.282659993</v>
      </c>
      <c r="S50" s="49">
        <f>SUM(J50:L50)</f>
        <v>0</v>
      </c>
      <c r="T50" s="49">
        <f>SUM(M50:O50)</f>
        <v>0</v>
      </c>
      <c r="U50" s="7">
        <f>SUM(D50:O50)</f>
        <v>105133877.53439</v>
      </c>
    </row>
    <row r="51" spans="1:21">
      <c r="A51" s="46">
        <f t="shared" si="27"/>
        <v>37</v>
      </c>
      <c r="B51" s="20" t="s">
        <v>165</v>
      </c>
      <c r="C51" s="46" t="str">
        <f t="shared" ref="C51" si="31">"("&amp;A40&amp;") - ("&amp;A44&amp;")"</f>
        <v>(28) - (32)</v>
      </c>
      <c r="D51" s="50">
        <f t="shared" si="29"/>
        <v>1618098.8199999998</v>
      </c>
      <c r="E51" s="50">
        <f t="shared" si="29"/>
        <v>1577367.11</v>
      </c>
      <c r="F51" s="50">
        <f t="shared" si="29"/>
        <v>1887578.76</v>
      </c>
      <c r="G51" s="50">
        <f t="shared" si="29"/>
        <v>1714587.34</v>
      </c>
      <c r="H51" s="49">
        <f t="shared" si="30"/>
        <v>1655767.7000000002</v>
      </c>
      <c r="I51" s="49">
        <f t="shared" si="30"/>
        <v>1684346.3</v>
      </c>
      <c r="J51" s="49">
        <f t="shared" si="30"/>
        <v>0</v>
      </c>
      <c r="K51" s="49">
        <f t="shared" si="30"/>
        <v>0</v>
      </c>
      <c r="L51" s="49">
        <f t="shared" si="30"/>
        <v>0</v>
      </c>
      <c r="M51" s="49">
        <f t="shared" si="30"/>
        <v>0</v>
      </c>
      <c r="N51" s="49">
        <f t="shared" si="30"/>
        <v>0</v>
      </c>
      <c r="O51" s="49">
        <f t="shared" si="30"/>
        <v>0</v>
      </c>
      <c r="P51" s="49"/>
      <c r="Q51" s="49"/>
      <c r="R51" s="49">
        <f>SUM(G51:I51)</f>
        <v>5054701.34</v>
      </c>
      <c r="S51" s="49">
        <f>SUM(J51:L51)</f>
        <v>0</v>
      </c>
      <c r="T51" s="49">
        <f>SUM(M51:O51)</f>
        <v>0</v>
      </c>
      <c r="U51" s="7">
        <f>SUM(D51:O51)</f>
        <v>10137746.030000001</v>
      </c>
    </row>
    <row r="52" spans="1:21">
      <c r="A52" s="46">
        <f t="shared" si="27"/>
        <v>38</v>
      </c>
      <c r="B52" s="2" t="s">
        <v>166</v>
      </c>
      <c r="C52" s="46" t="str">
        <f>"("&amp;A38&amp;") - ("&amp;A42&amp;")"</f>
        <v>(26) - (30)</v>
      </c>
      <c r="D52" s="173">
        <f>D38-D42</f>
        <v>160642226.64400005</v>
      </c>
      <c r="E52" s="173">
        <f>E38-E42</f>
        <v>152233599.896</v>
      </c>
      <c r="F52" s="173">
        <f>F38-F42</f>
        <v>161974260.94300002</v>
      </c>
      <c r="G52" s="173">
        <f>G38-G42</f>
        <v>150456486.80700001</v>
      </c>
      <c r="H52" s="164">
        <f t="shared" ref="H52:O52" si="32">H38-H42</f>
        <v>172911178.52899998</v>
      </c>
      <c r="I52" s="164">
        <f t="shared" si="32"/>
        <v>202364487.377</v>
      </c>
      <c r="J52" s="164">
        <f t="shared" si="32"/>
        <v>0</v>
      </c>
      <c r="K52" s="164">
        <f t="shared" si="32"/>
        <v>0</v>
      </c>
      <c r="L52" s="164">
        <f t="shared" si="32"/>
        <v>0</v>
      </c>
      <c r="M52" s="164">
        <f t="shared" si="32"/>
        <v>0</v>
      </c>
      <c r="N52" s="164">
        <f t="shared" si="32"/>
        <v>0</v>
      </c>
      <c r="O52" s="164">
        <f t="shared" si="32"/>
        <v>0</v>
      </c>
      <c r="P52" s="164"/>
      <c r="Q52" s="48"/>
      <c r="R52" s="48">
        <f>SUM(G52:I52)</f>
        <v>525732152.71299994</v>
      </c>
      <c r="S52" s="48">
        <f>SUM(J52:L52)</f>
        <v>0</v>
      </c>
      <c r="T52" s="48">
        <f>SUM(M52:O52)</f>
        <v>0</v>
      </c>
      <c r="U52" s="219">
        <f>SUM(D52:O52)</f>
        <v>1000582240.196</v>
      </c>
    </row>
    <row r="53" spans="1:21" ht="26.25">
      <c r="A53" s="46">
        <f t="shared" si="27"/>
        <v>39</v>
      </c>
      <c r="B53" s="20" t="s">
        <v>39</v>
      </c>
      <c r="C53" s="220" t="s">
        <v>167</v>
      </c>
      <c r="D53" s="221">
        <v>1.8950000000000002E-2</v>
      </c>
      <c r="E53" s="221">
        <v>1.8950000000000002E-2</v>
      </c>
      <c r="F53" s="221">
        <v>1.8950000000000002E-2</v>
      </c>
      <c r="G53" s="221">
        <v>1.8950000000000002E-2</v>
      </c>
      <c r="H53" s="222">
        <v>1.8950000000000002E-2</v>
      </c>
      <c r="I53" s="221">
        <v>1.8950000000000002E-2</v>
      </c>
      <c r="J53" s="221">
        <v>1.8950000000000002E-2</v>
      </c>
      <c r="K53" s="221">
        <v>1.8950000000000002E-2</v>
      </c>
      <c r="L53" s="221">
        <v>1.8950000000000002E-2</v>
      </c>
      <c r="M53" s="221">
        <v>1.8950000000000002E-2</v>
      </c>
      <c r="N53" s="221">
        <v>1.8950000000000002E-2</v>
      </c>
      <c r="O53" s="221">
        <v>1.8950000000000002E-2</v>
      </c>
      <c r="P53" s="221"/>
      <c r="Q53" s="227"/>
      <c r="R53" s="227"/>
      <c r="S53" s="227"/>
      <c r="T53" s="227"/>
      <c r="U53" s="228"/>
    </row>
    <row r="54" spans="1:21">
      <c r="A54" s="46">
        <f t="shared" si="27"/>
        <v>40</v>
      </c>
      <c r="B54" s="20" t="s">
        <v>40</v>
      </c>
      <c r="C54" s="46" t="str">
        <f>"("&amp;A52&amp;") x ("&amp;A53&amp;")"</f>
        <v>(38) x (39)</v>
      </c>
      <c r="D54" s="49">
        <f t="shared" ref="D54:O54" si="33">D52*D53</f>
        <v>3044170.1949038012</v>
      </c>
      <c r="E54" s="49">
        <f t="shared" si="33"/>
        <v>2884826.7180292001</v>
      </c>
      <c r="F54" s="49">
        <f t="shared" si="33"/>
        <v>3069412.2448698506</v>
      </c>
      <c r="G54" s="49">
        <f t="shared" si="33"/>
        <v>2851150.4249926503</v>
      </c>
      <c r="H54" s="50">
        <f t="shared" si="33"/>
        <v>3276666.8331245501</v>
      </c>
      <c r="I54" s="49">
        <f t="shared" si="33"/>
        <v>3834807.0357941505</v>
      </c>
      <c r="J54" s="49">
        <f t="shared" si="33"/>
        <v>0</v>
      </c>
      <c r="K54" s="49">
        <f t="shared" si="33"/>
        <v>0</v>
      </c>
      <c r="L54" s="49">
        <f t="shared" si="33"/>
        <v>0</v>
      </c>
      <c r="M54" s="49">
        <f t="shared" si="33"/>
        <v>0</v>
      </c>
      <c r="N54" s="49">
        <f t="shared" si="33"/>
        <v>0</v>
      </c>
      <c r="O54" s="49">
        <f t="shared" si="33"/>
        <v>0</v>
      </c>
      <c r="P54" s="49"/>
      <c r="Q54" s="49"/>
      <c r="R54" s="49"/>
      <c r="S54" s="49"/>
      <c r="T54" s="49"/>
      <c r="U54" s="7"/>
    </row>
    <row r="55" spans="1:21">
      <c r="A55" s="46">
        <f t="shared" si="27"/>
        <v>41</v>
      </c>
      <c r="B55" s="20" t="s">
        <v>25</v>
      </c>
      <c r="C55" s="46" t="str">
        <f>"("&amp;A50&amp;") - ("&amp;A51&amp;") -("&amp;A54&amp;")"</f>
        <v>(36) - (37) -(40)</v>
      </c>
      <c r="D55" s="49">
        <f>D50-D51-D54</f>
        <v>12077373.132576205</v>
      </c>
      <c r="E55" s="49">
        <f t="shared" ref="E55:O55" si="34">E50-E51-E54</f>
        <v>11669938.7840208</v>
      </c>
      <c r="F55" s="49">
        <f t="shared" si="34"/>
        <v>12571654.487330152</v>
      </c>
      <c r="G55" s="49">
        <f t="shared" si="34"/>
        <v>11473143.458867349</v>
      </c>
      <c r="H55" s="50">
        <f t="shared" si="34"/>
        <v>13142450.153835448</v>
      </c>
      <c r="I55" s="49">
        <f t="shared" si="34"/>
        <v>15100538.036045849</v>
      </c>
      <c r="J55" s="49">
        <f t="shared" si="34"/>
        <v>0</v>
      </c>
      <c r="K55" s="49">
        <f t="shared" si="34"/>
        <v>0</v>
      </c>
      <c r="L55" s="49">
        <f t="shared" si="34"/>
        <v>0</v>
      </c>
      <c r="M55" s="49">
        <f t="shared" si="34"/>
        <v>0</v>
      </c>
      <c r="N55" s="49">
        <f t="shared" si="34"/>
        <v>0</v>
      </c>
      <c r="O55" s="49">
        <f t="shared" si="34"/>
        <v>0</v>
      </c>
      <c r="P55" s="49"/>
      <c r="Q55" s="49">
        <f>SUM(D55:F55)</f>
        <v>36318966.403927155</v>
      </c>
      <c r="R55" s="49">
        <f>SUM(G55:I55)</f>
        <v>39716131.648748644</v>
      </c>
      <c r="S55" s="49">
        <f>SUM(J55:L55)</f>
        <v>0</v>
      </c>
      <c r="T55" s="49">
        <f>SUM(M55:O55)</f>
        <v>0</v>
      </c>
      <c r="U55" s="7">
        <f>SUM(D55:O55)</f>
        <v>76035098.052675799</v>
      </c>
    </row>
    <row r="56" spans="1:21">
      <c r="A56" s="46">
        <v>42</v>
      </c>
      <c r="B56" s="46" t="s">
        <v>34</v>
      </c>
      <c r="C56" s="46" t="str">
        <f>"("&amp;A55&amp;") / ("&amp;A46&amp;")"</f>
        <v>(41) / (33)</v>
      </c>
      <c r="D56" s="18">
        <f t="shared" ref="D56:O56" si="35">D55/D46</f>
        <v>333.02192501450958</v>
      </c>
      <c r="E56" s="18">
        <f t="shared" si="35"/>
        <v>321.25581633047403</v>
      </c>
      <c r="F56" s="18">
        <f t="shared" si="35"/>
        <v>348.40934754122861</v>
      </c>
      <c r="G56" s="18">
        <f t="shared" si="35"/>
        <v>316.50924049952687</v>
      </c>
      <c r="H56" s="141">
        <f t="shared" si="35"/>
        <v>366.20737165167878</v>
      </c>
      <c r="I56" s="18">
        <f t="shared" si="35"/>
        <v>417.0152173661553</v>
      </c>
      <c r="J56" s="18" t="e">
        <f t="shared" si="35"/>
        <v>#DIV/0!</v>
      </c>
      <c r="K56" s="18" t="e">
        <f t="shared" si="35"/>
        <v>#DIV/0!</v>
      </c>
      <c r="L56" s="18" t="e">
        <f t="shared" si="35"/>
        <v>#DIV/0!</v>
      </c>
      <c r="M56" s="18" t="e">
        <f t="shared" si="35"/>
        <v>#DIV/0!</v>
      </c>
      <c r="N56" s="18" t="e">
        <f t="shared" si="35"/>
        <v>#DIV/0!</v>
      </c>
      <c r="O56" s="18" t="e">
        <f t="shared" si="35"/>
        <v>#DIV/0!</v>
      </c>
      <c r="P56" s="18"/>
      <c r="Q56" s="223">
        <f>Q55/Q46</f>
        <v>334.19798853395127</v>
      </c>
      <c r="R56" s="223">
        <f>R55/R46</f>
        <v>366.560819292914</v>
      </c>
      <c r="S56" s="223" t="e">
        <f>S55/S46</f>
        <v>#DIV/0!</v>
      </c>
      <c r="T56" s="223" t="e">
        <f>T55/T46</f>
        <v>#DIV/0!</v>
      </c>
      <c r="U56" s="223">
        <f>U55/U46</f>
        <v>350.35502252146455</v>
      </c>
    </row>
    <row r="57" spans="1:21">
      <c r="A57" s="46">
        <v>43</v>
      </c>
      <c r="B57" s="20" t="s">
        <v>27</v>
      </c>
      <c r="C57" s="46" t="str">
        <f>"("&amp;A$55&amp;") - ("&amp;A55&amp;")"</f>
        <v>(41) - (41)</v>
      </c>
      <c r="D57" s="49">
        <f t="shared" ref="D57:O57" si="36">D48-D55</f>
        <v>1215412.2475830391</v>
      </c>
      <c r="E57" s="49">
        <f t="shared" si="36"/>
        <v>1543631.8153846711</v>
      </c>
      <c r="F57" s="49">
        <f t="shared" si="36"/>
        <v>-86445.859146751463</v>
      </c>
      <c r="G57" s="49">
        <f t="shared" si="36"/>
        <v>690465.29707712494</v>
      </c>
      <c r="H57" s="50">
        <f t="shared" si="36"/>
        <v>-162716.20542186126</v>
      </c>
      <c r="I57" s="49">
        <f t="shared" si="36"/>
        <v>-1484941.1173723247</v>
      </c>
      <c r="J57" s="49">
        <f t="shared" si="36"/>
        <v>0</v>
      </c>
      <c r="K57" s="49">
        <f t="shared" si="36"/>
        <v>0</v>
      </c>
      <c r="L57" s="49">
        <f t="shared" si="36"/>
        <v>0</v>
      </c>
      <c r="M57" s="49">
        <f t="shared" si="36"/>
        <v>0</v>
      </c>
      <c r="N57" s="49">
        <f t="shared" si="36"/>
        <v>0</v>
      </c>
      <c r="O57" s="49">
        <f t="shared" si="36"/>
        <v>0</v>
      </c>
      <c r="P57" s="49"/>
      <c r="Q57" s="49">
        <f>SUM(D57:F57)</f>
        <v>2672598.2038209587</v>
      </c>
      <c r="R57" s="49">
        <f>SUM(G57:I57)</f>
        <v>-957192.02571706101</v>
      </c>
      <c r="S57" s="49">
        <f>SUM(J57:L57)</f>
        <v>0</v>
      </c>
      <c r="T57" s="49">
        <f>SUM(M57:O57)</f>
        <v>0</v>
      </c>
      <c r="U57" s="7">
        <f>SUM(D57:O57)</f>
        <v>1715406.1781038977</v>
      </c>
    </row>
    <row r="58" spans="1:21">
      <c r="A58" s="46">
        <v>44</v>
      </c>
      <c r="B58" s="20" t="s">
        <v>28</v>
      </c>
      <c r="C58" s="8" t="s">
        <v>29</v>
      </c>
      <c r="D58" s="49">
        <f>D57*-0.044369</f>
        <v>-53926.626013011861</v>
      </c>
      <c r="E58" s="49">
        <f t="shared" ref="E58:O58" si="37">E57*-0.044369</f>
        <v>-68489.400016802465</v>
      </c>
      <c r="F58" s="49">
        <f t="shared" si="37"/>
        <v>3835.5163244822156</v>
      </c>
      <c r="G58" s="49">
        <f t="shared" si="37"/>
        <v>-30635.254766014954</v>
      </c>
      <c r="H58" s="49">
        <f t="shared" si="37"/>
        <v>7219.5553183625625</v>
      </c>
      <c r="I58" s="49">
        <f t="shared" si="37"/>
        <v>65885.352436692672</v>
      </c>
      <c r="J58" s="49">
        <f t="shared" si="37"/>
        <v>0</v>
      </c>
      <c r="K58" s="49">
        <f t="shared" si="37"/>
        <v>0</v>
      </c>
      <c r="L58" s="49">
        <f t="shared" si="37"/>
        <v>0</v>
      </c>
      <c r="M58" s="49">
        <f t="shared" si="37"/>
        <v>0</v>
      </c>
      <c r="N58" s="49">
        <f t="shared" si="37"/>
        <v>0</v>
      </c>
      <c r="O58" s="49">
        <f t="shared" si="37"/>
        <v>0</v>
      </c>
      <c r="P58" s="49"/>
      <c r="Q58" s="49">
        <f>SUM(D58:F58)</f>
        <v>-118580.50970533211</v>
      </c>
      <c r="R58" s="49">
        <f>SUM(G58:I58)</f>
        <v>42469.652989040282</v>
      </c>
      <c r="S58" s="49">
        <f>SUM(J58:L58)</f>
        <v>0</v>
      </c>
      <c r="T58" s="49">
        <f>SUM(M58:O58)</f>
        <v>0</v>
      </c>
      <c r="U58" s="7">
        <f>SUM(D58:O58)</f>
        <v>-76110.856716291819</v>
      </c>
    </row>
    <row r="59" spans="1:21">
      <c r="A59" s="46">
        <v>45</v>
      </c>
      <c r="B59" s="20"/>
      <c r="C59" s="46" t="s">
        <v>30</v>
      </c>
      <c r="D59" s="54">
        <f t="shared" ref="D59:O59" si="38">D31</f>
        <v>3.2500000000000001E-2</v>
      </c>
      <c r="E59" s="54">
        <f t="shared" si="38"/>
        <v>3.2500000000000001E-2</v>
      </c>
      <c r="F59" s="54">
        <f t="shared" si="38"/>
        <v>3.2500000000000001E-2</v>
      </c>
      <c r="G59" s="54">
        <f t="shared" si="38"/>
        <v>3.2500000000000001E-2</v>
      </c>
      <c r="H59" s="229">
        <f t="shared" si="38"/>
        <v>3.2500000000000001E-2</v>
      </c>
      <c r="I59" s="54">
        <f t="shared" si="38"/>
        <v>3.2500000000000001E-2</v>
      </c>
      <c r="J59" s="54">
        <f t="shared" si="38"/>
        <v>0</v>
      </c>
      <c r="K59" s="54">
        <f t="shared" si="38"/>
        <v>0</v>
      </c>
      <c r="L59" s="54">
        <f t="shared" si="38"/>
        <v>0</v>
      </c>
      <c r="M59" s="54">
        <f t="shared" si="38"/>
        <v>0</v>
      </c>
      <c r="N59" s="54">
        <f t="shared" si="38"/>
        <v>0</v>
      </c>
      <c r="O59" s="54">
        <f t="shared" si="38"/>
        <v>0</v>
      </c>
      <c r="P59" s="54"/>
      <c r="Q59" s="54"/>
      <c r="R59" s="54"/>
      <c r="S59" s="54"/>
      <c r="T59" s="54"/>
      <c r="U59" s="7"/>
    </row>
    <row r="60" spans="1:21" ht="14.45" customHeight="1">
      <c r="A60" s="46">
        <v>46</v>
      </c>
      <c r="B60" s="20" t="s">
        <v>31</v>
      </c>
      <c r="C60" s="46" t="s">
        <v>35</v>
      </c>
      <c r="D60" s="3">
        <f>(D57+D58)/2*D59/12</f>
        <v>1572.8451125427453</v>
      </c>
      <c r="E60" s="3">
        <f t="shared" ref="E60:O60" si="39">(D62+(E57+E58)/2)*E59/12</f>
        <v>5147.538701409283</v>
      </c>
      <c r="F60" s="3">
        <f t="shared" si="39"/>
        <v>7047.200466964433</v>
      </c>
      <c r="G60" s="3">
        <f t="shared" si="39"/>
        <v>7847.9383112869336</v>
      </c>
      <c r="H60" s="142">
        <f t="shared" si="39"/>
        <v>8552.1446128278094</v>
      </c>
      <c r="I60" s="3">
        <f t="shared" si="39"/>
        <v>6443.1002757887281</v>
      </c>
      <c r="J60" s="3">
        <f t="shared" si="39"/>
        <v>0</v>
      </c>
      <c r="K60" s="3">
        <f t="shared" si="39"/>
        <v>0</v>
      </c>
      <c r="L60" s="3">
        <f t="shared" si="39"/>
        <v>0</v>
      </c>
      <c r="M60" s="3">
        <f t="shared" si="39"/>
        <v>0</v>
      </c>
      <c r="N60" s="3">
        <f t="shared" si="39"/>
        <v>0</v>
      </c>
      <c r="O60" s="3">
        <f t="shared" si="39"/>
        <v>0</v>
      </c>
      <c r="P60" s="3"/>
      <c r="Q60" s="49">
        <f>SUM(D60:F60)</f>
        <v>13767.584280916461</v>
      </c>
      <c r="R60" s="49">
        <f>SUM(G60:I60)</f>
        <v>22843.183199903473</v>
      </c>
      <c r="S60" s="49">
        <f>SUM(J60:L60)</f>
        <v>0</v>
      </c>
      <c r="T60" s="49">
        <f>SUM(M60:O60)</f>
        <v>0</v>
      </c>
      <c r="U60" s="7">
        <f>SUM(D60:O60)</f>
        <v>36610.76748081993</v>
      </c>
    </row>
    <row r="61" spans="1:21" ht="15.75" thickBot="1">
      <c r="A61" s="46">
        <v>47</v>
      </c>
      <c r="B61" s="4" t="s">
        <v>36</v>
      </c>
      <c r="C61" s="46"/>
      <c r="D61" s="6">
        <f>D57+D58+D60</f>
        <v>1163058.4666825701</v>
      </c>
      <c r="E61" s="6">
        <f t="shared" ref="E61:U61" si="40">E57+E58+E60</f>
        <v>1480289.954069278</v>
      </c>
      <c r="F61" s="6">
        <f t="shared" si="40"/>
        <v>-75563.142355304808</v>
      </c>
      <c r="G61" s="6">
        <f t="shared" si="40"/>
        <v>667677.98062239692</v>
      </c>
      <c r="H61" s="6">
        <f t="shared" si="40"/>
        <v>-146944.50549067088</v>
      </c>
      <c r="I61" s="6">
        <f t="shared" si="40"/>
        <v>-1412612.6646598433</v>
      </c>
      <c r="J61" s="6">
        <f t="shared" si="40"/>
        <v>0</v>
      </c>
      <c r="K61" s="6">
        <f t="shared" si="40"/>
        <v>0</v>
      </c>
      <c r="L61" s="6">
        <f t="shared" si="40"/>
        <v>0</v>
      </c>
      <c r="M61" s="6">
        <f t="shared" si="40"/>
        <v>0</v>
      </c>
      <c r="N61" s="6">
        <f t="shared" si="40"/>
        <v>0</v>
      </c>
      <c r="O61" s="6">
        <f t="shared" si="40"/>
        <v>0</v>
      </c>
      <c r="P61" s="6"/>
      <c r="Q61" s="51">
        <f t="shared" si="40"/>
        <v>2567785.2783965431</v>
      </c>
      <c r="R61" s="51">
        <f t="shared" si="40"/>
        <v>-891879.18952811731</v>
      </c>
      <c r="S61" s="51">
        <f t="shared" si="40"/>
        <v>0</v>
      </c>
      <c r="T61" s="51">
        <f t="shared" si="40"/>
        <v>0</v>
      </c>
      <c r="U61" s="51">
        <f t="shared" si="40"/>
        <v>1675906.0888684259</v>
      </c>
    </row>
    <row r="62" spans="1:21" ht="26.25">
      <c r="A62" s="46">
        <v>48</v>
      </c>
      <c r="B62" s="165" t="s">
        <v>168</v>
      </c>
      <c r="C62" s="46" t="str">
        <f>"Σ(("&amp;A57&amp;") ,("&amp;A58&amp;") , ("&amp;A60&amp;"))"</f>
        <v>Σ((43) ,(44) , (46))</v>
      </c>
      <c r="D62" s="49">
        <f>D57+D58+D60</f>
        <v>1163058.4666825701</v>
      </c>
      <c r="E62" s="49">
        <f t="shared" ref="E62:O62" si="41">D62+E57+E58+E60</f>
        <v>2643348.4207518483</v>
      </c>
      <c r="F62" s="49">
        <f t="shared" si="41"/>
        <v>2567785.2783965436</v>
      </c>
      <c r="G62" s="49">
        <f t="shared" si="41"/>
        <v>3235463.2590189404</v>
      </c>
      <c r="H62" s="50">
        <f t="shared" si="41"/>
        <v>3088518.7535282695</v>
      </c>
      <c r="I62" s="49">
        <f t="shared" si="41"/>
        <v>1675906.0888684262</v>
      </c>
      <c r="J62" s="49">
        <f t="shared" si="41"/>
        <v>1675906.0888684262</v>
      </c>
      <c r="K62" s="49">
        <f t="shared" si="41"/>
        <v>1675906.0888684262</v>
      </c>
      <c r="L62" s="49">
        <f t="shared" si="41"/>
        <v>1675906.0888684262</v>
      </c>
      <c r="M62" s="49">
        <f t="shared" si="41"/>
        <v>1675906.0888684262</v>
      </c>
      <c r="N62" s="49">
        <f t="shared" si="41"/>
        <v>1675906.0888684262</v>
      </c>
      <c r="O62" s="138">
        <f t="shared" si="41"/>
        <v>1675906.0888684262</v>
      </c>
      <c r="P62" s="16"/>
      <c r="Q62" s="49"/>
      <c r="R62" s="49"/>
      <c r="S62" s="49"/>
      <c r="T62" s="49"/>
      <c r="U62" s="7"/>
    </row>
    <row r="63" spans="1:21" ht="14.45" hidden="1" customHeight="1" thickBot="1">
      <c r="A63" s="46"/>
      <c r="B63" s="20"/>
      <c r="C63" s="46"/>
      <c r="D63" s="49"/>
      <c r="E63" s="49"/>
      <c r="F63" s="49"/>
      <c r="G63" s="49"/>
      <c r="H63" s="50"/>
      <c r="I63" s="49"/>
      <c r="J63" s="49"/>
      <c r="K63" s="49"/>
      <c r="L63" s="49"/>
      <c r="M63" s="49"/>
      <c r="N63" s="49"/>
      <c r="O63" s="16"/>
      <c r="P63" s="16"/>
      <c r="Q63" s="51">
        <f>Q59+Q60+Q62</f>
        <v>13767.584280916461</v>
      </c>
      <c r="R63" s="51">
        <f>R59+R60+R62</f>
        <v>22843.183199903473</v>
      </c>
      <c r="S63" s="51">
        <f>S59+S60+S62</f>
        <v>0</v>
      </c>
      <c r="T63" s="51">
        <f>T59+T60+T62</f>
        <v>0</v>
      </c>
      <c r="U63" s="51">
        <f>U59+U60+U62</f>
        <v>36610.76748081993</v>
      </c>
    </row>
    <row r="64" spans="1:21" ht="33" customHeight="1" thickBot="1">
      <c r="A64" s="1">
        <v>49</v>
      </c>
      <c r="B64" s="91" t="s">
        <v>170</v>
      </c>
      <c r="C64" s="1" t="str">
        <f>"("&amp;A$38&amp;") + ("&amp;A62&amp;")"</f>
        <v>(26) + (48)</v>
      </c>
      <c r="D64" s="7">
        <f t="shared" ref="D64:O64" si="42">D34+D62</f>
        <v>3642594.044951905</v>
      </c>
      <c r="E64" s="7">
        <f t="shared" si="42"/>
        <v>2860432.6335485992</v>
      </c>
      <c r="F64" s="7">
        <f t="shared" si="42"/>
        <v>3099279.8447870193</v>
      </c>
      <c r="G64" s="7">
        <f t="shared" si="42"/>
        <v>4545187.2727574082</v>
      </c>
      <c r="H64" s="143">
        <f t="shared" si="42"/>
        <v>4715332.1734742867</v>
      </c>
      <c r="I64" s="7">
        <f t="shared" si="42"/>
        <v>1134987.9107045264</v>
      </c>
      <c r="J64" s="7">
        <f t="shared" si="42"/>
        <v>1134987.9107045264</v>
      </c>
      <c r="K64" s="7">
        <f t="shared" si="42"/>
        <v>1134987.9107045264</v>
      </c>
      <c r="L64" s="7">
        <f t="shared" si="42"/>
        <v>1134987.9107045264</v>
      </c>
      <c r="M64" s="7">
        <f t="shared" si="42"/>
        <v>1134987.9107045264</v>
      </c>
      <c r="N64" s="7">
        <f t="shared" si="42"/>
        <v>1134987.9107045264</v>
      </c>
      <c r="O64" s="137">
        <f t="shared" si="42"/>
        <v>1134987.9107045264</v>
      </c>
      <c r="P64" s="187"/>
      <c r="Q64" s="143"/>
      <c r="R64" s="143"/>
      <c r="S64" s="143"/>
      <c r="T64" s="143"/>
      <c r="U64" s="20"/>
    </row>
    <row r="65" spans="1:21" ht="33" hidden="1" customHeight="1">
      <c r="A65" s="234" t="s">
        <v>188</v>
      </c>
      <c r="B65" s="234"/>
      <c r="C65" s="234"/>
      <c r="D65" s="234"/>
      <c r="E65" s="234"/>
      <c r="F65" s="234"/>
      <c r="G65" s="234"/>
      <c r="H65" s="234"/>
      <c r="I65" s="234"/>
      <c r="J65" s="234"/>
      <c r="K65" s="234"/>
      <c r="L65" s="234"/>
      <c r="M65" s="234"/>
      <c r="N65" s="234"/>
      <c r="O65" s="234"/>
      <c r="P65" s="234"/>
      <c r="Q65" s="234"/>
      <c r="R65" s="234"/>
      <c r="S65" s="234"/>
      <c r="T65" s="234"/>
      <c r="U65" s="234"/>
    </row>
  </sheetData>
  <mergeCells count="2">
    <mergeCell ref="A35:U35"/>
    <mergeCell ref="A65:U65"/>
  </mergeCells>
  <printOptions horizontalCentered="1"/>
  <pageMargins left="0.7" right="0.71" top="1.0900000000000001" bottom="0.75" header="0.5" footer="0.5"/>
  <pageSetup scale="75" fitToWidth="2" fitToHeight="2" orientation="landscape" useFirstPageNumber="1" r:id="rId1"/>
  <headerFooter scaleWithDoc="0">
    <oddHeader>&amp;CAvista Corporation Decoupling Mechanism
Washington Jurisdiction
Quarterly Report for 2nd Quarter 2021</oddHeader>
    <oddFooter>&amp;Cfile: &amp;F / &amp;A&amp;RPage &amp;P of 13</oddFooter>
  </headerFooter>
  <rowBreaks count="1" manualBreakCount="1">
    <brk id="35"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cols>
    <col min="1" max="16384" width="9.140625" style="100"/>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1"/>
  <sheetViews>
    <sheetView tabSelected="1" zoomScaleNormal="100" zoomScaleSheetLayoutView="100" workbookViewId="0">
      <selection activeCell="Q14" sqref="Q14"/>
    </sheetView>
  </sheetViews>
  <sheetFormatPr defaultRowHeight="15"/>
  <cols>
    <col min="1" max="1" width="7.28515625" style="218" customWidth="1"/>
    <col min="2" max="2" width="38.42578125" style="218" customWidth="1"/>
    <col min="3" max="3" width="18.7109375" style="218" customWidth="1"/>
    <col min="4" max="4" width="13.28515625" style="218" hidden="1" customWidth="1"/>
    <col min="5" max="5" width="12.140625" style="218" hidden="1" customWidth="1"/>
    <col min="6" max="6" width="12.42578125" style="218" hidden="1" customWidth="1"/>
    <col min="7" max="7" width="12.140625" style="218" customWidth="1"/>
    <col min="8" max="8" width="11.7109375" style="218" customWidth="1"/>
    <col min="9" max="9" width="12" style="218" customWidth="1"/>
    <col min="10" max="10" width="11.28515625" style="218" hidden="1" customWidth="1"/>
    <col min="11" max="11" width="11.85546875" style="218" hidden="1" customWidth="1"/>
    <col min="12" max="12" width="11.28515625" style="218" hidden="1" customWidth="1"/>
    <col min="13" max="13" width="12.28515625" style="218" hidden="1" customWidth="1"/>
    <col min="14" max="14" width="11.5703125" style="218" hidden="1" customWidth="1"/>
    <col min="15" max="15" width="12.28515625" style="218" hidden="1" customWidth="1"/>
    <col min="16" max="16" width="4.28515625" style="218" hidden="1" customWidth="1"/>
    <col min="17" max="17" width="14" style="218" customWidth="1"/>
    <col min="18" max="18" width="11.5703125" style="218" customWidth="1"/>
    <col min="19" max="19" width="10.5703125" style="218" hidden="1" customWidth="1"/>
    <col min="20" max="20" width="11.28515625" style="218" hidden="1" customWidth="1"/>
    <col min="21" max="21" width="11.28515625" style="218" customWidth="1"/>
    <col min="22" max="16384" width="9.140625" style="218"/>
  </cols>
  <sheetData>
    <row r="1" spans="1:21" ht="15.75">
      <c r="A1" s="92" t="s">
        <v>0</v>
      </c>
      <c r="B1" s="92"/>
      <c r="C1" s="92"/>
      <c r="D1" s="92"/>
      <c r="E1" s="92"/>
      <c r="F1" s="92"/>
      <c r="G1" s="92"/>
      <c r="H1" s="92"/>
      <c r="I1" s="92"/>
      <c r="J1" s="92"/>
      <c r="K1" s="92"/>
      <c r="L1" s="92"/>
      <c r="M1" s="92"/>
      <c r="N1" s="92"/>
      <c r="O1" s="92"/>
      <c r="P1" s="92"/>
      <c r="Q1" s="92"/>
      <c r="R1" s="92"/>
      <c r="S1" s="92"/>
      <c r="T1" s="92"/>
      <c r="U1" s="92"/>
    </row>
    <row r="2" spans="1:21" ht="18.75">
      <c r="A2" s="166" t="s">
        <v>192</v>
      </c>
      <c r="B2" s="166"/>
      <c r="C2" s="166"/>
      <c r="D2" s="166"/>
      <c r="E2" s="166"/>
      <c r="F2" s="166"/>
      <c r="G2" s="166"/>
      <c r="H2" s="166"/>
      <c r="I2" s="166"/>
      <c r="J2" s="166"/>
      <c r="K2" s="166"/>
      <c r="L2" s="166"/>
      <c r="M2" s="166"/>
      <c r="N2" s="166"/>
      <c r="O2" s="166"/>
      <c r="P2" s="166"/>
      <c r="Q2" s="94"/>
      <c r="R2" s="94"/>
      <c r="S2" s="94"/>
      <c r="T2" s="94"/>
      <c r="U2" s="94"/>
    </row>
    <row r="3" spans="1:21" ht="15.75">
      <c r="A3" s="92" t="s">
        <v>193</v>
      </c>
      <c r="B3" s="92"/>
      <c r="C3" s="92"/>
      <c r="D3" s="92"/>
      <c r="E3" s="92"/>
      <c r="F3" s="92"/>
      <c r="G3" s="92"/>
      <c r="H3" s="92"/>
      <c r="I3" s="92"/>
      <c r="J3" s="92"/>
      <c r="K3" s="92"/>
      <c r="L3" s="92"/>
      <c r="M3" s="92"/>
      <c r="N3" s="92"/>
      <c r="O3" s="92"/>
      <c r="P3" s="92"/>
      <c r="Q3" s="93"/>
      <c r="R3" s="93"/>
      <c r="S3" s="93"/>
      <c r="T3" s="93"/>
      <c r="U3" s="93"/>
    </row>
    <row r="4" spans="1:21" ht="15" customHeight="1">
      <c r="A4" s="93"/>
      <c r="B4" s="58"/>
      <c r="C4" s="58"/>
      <c r="D4" s="58"/>
      <c r="E4" s="58"/>
      <c r="F4" s="58"/>
      <c r="G4" s="58"/>
      <c r="H4" s="58"/>
      <c r="I4" s="58"/>
      <c r="J4" s="58"/>
      <c r="K4" s="58"/>
      <c r="L4" s="58"/>
      <c r="M4" s="58"/>
      <c r="N4" s="58"/>
      <c r="O4" s="58"/>
      <c r="P4" s="58"/>
      <c r="Q4" s="58"/>
      <c r="R4" s="45"/>
      <c r="S4" s="58"/>
      <c r="T4" s="58"/>
      <c r="U4" s="230"/>
    </row>
    <row r="5" spans="1:21">
      <c r="A5" s="20"/>
      <c r="B5" s="20"/>
      <c r="C5" s="20"/>
      <c r="D5" s="203" t="s">
        <v>199</v>
      </c>
      <c r="E5" s="203" t="s">
        <v>199</v>
      </c>
      <c r="F5" s="203" t="s">
        <v>199</v>
      </c>
      <c r="G5" s="4"/>
      <c r="H5" s="4"/>
      <c r="I5" s="4"/>
      <c r="J5" s="4"/>
      <c r="K5" s="4"/>
      <c r="L5" s="4"/>
      <c r="M5" s="4"/>
      <c r="N5" s="4"/>
      <c r="O5" s="4"/>
      <c r="P5" s="4"/>
      <c r="Q5" s="231" t="s">
        <v>152</v>
      </c>
      <c r="R5" s="231" t="s">
        <v>153</v>
      </c>
      <c r="S5" s="231" t="s">
        <v>154</v>
      </c>
      <c r="T5" s="231" t="s">
        <v>155</v>
      </c>
      <c r="U5" s="44" t="s">
        <v>184</v>
      </c>
    </row>
    <row r="6" spans="1:21" ht="25.5">
      <c r="A6" s="86" t="s">
        <v>1</v>
      </c>
      <c r="B6" s="87"/>
      <c r="C6" s="83" t="s">
        <v>2</v>
      </c>
      <c r="D6" s="95">
        <v>44197</v>
      </c>
      <c r="E6" s="88">
        <f t="shared" ref="E6:O6" si="0">EDATE(D6,1)</f>
        <v>44228</v>
      </c>
      <c r="F6" s="88">
        <f t="shared" si="0"/>
        <v>44256</v>
      </c>
      <c r="G6" s="88">
        <f t="shared" si="0"/>
        <v>44287</v>
      </c>
      <c r="H6" s="88">
        <f t="shared" si="0"/>
        <v>44317</v>
      </c>
      <c r="I6" s="88">
        <f t="shared" si="0"/>
        <v>44348</v>
      </c>
      <c r="J6" s="88">
        <f t="shared" si="0"/>
        <v>44378</v>
      </c>
      <c r="K6" s="88">
        <f t="shared" si="0"/>
        <v>44409</v>
      </c>
      <c r="L6" s="88">
        <f t="shared" si="0"/>
        <v>44440</v>
      </c>
      <c r="M6" s="88">
        <f t="shared" si="0"/>
        <v>44470</v>
      </c>
      <c r="N6" s="88">
        <f t="shared" si="0"/>
        <v>44501</v>
      </c>
      <c r="O6" s="88">
        <f t="shared" si="0"/>
        <v>44531</v>
      </c>
      <c r="P6" s="88"/>
      <c r="Q6" s="88" t="s">
        <v>3</v>
      </c>
      <c r="R6" s="15" t="s">
        <v>3</v>
      </c>
      <c r="S6" s="15" t="s">
        <v>3</v>
      </c>
      <c r="T6" s="15" t="s">
        <v>3</v>
      </c>
      <c r="U6" s="15" t="s">
        <v>3</v>
      </c>
    </row>
    <row r="7" spans="1:21">
      <c r="A7" s="46"/>
      <c r="B7" s="46" t="s">
        <v>4</v>
      </c>
      <c r="C7" s="46" t="s">
        <v>5</v>
      </c>
      <c r="D7" s="46" t="s">
        <v>6</v>
      </c>
      <c r="E7" s="46" t="s">
        <v>7</v>
      </c>
      <c r="F7" s="46" t="s">
        <v>8</v>
      </c>
      <c r="G7" s="46" t="s">
        <v>9</v>
      </c>
      <c r="H7" s="139" t="s">
        <v>10</v>
      </c>
      <c r="I7" s="46" t="s">
        <v>11</v>
      </c>
      <c r="J7" s="46" t="s">
        <v>12</v>
      </c>
      <c r="K7" s="46" t="s">
        <v>13</v>
      </c>
      <c r="L7" s="46" t="s">
        <v>14</v>
      </c>
      <c r="M7" s="46" t="s">
        <v>15</v>
      </c>
      <c r="N7" s="46" t="s">
        <v>16</v>
      </c>
      <c r="O7" s="46" t="s">
        <v>17</v>
      </c>
      <c r="P7" s="46"/>
      <c r="Q7" s="46" t="s">
        <v>18</v>
      </c>
      <c r="R7" s="46"/>
      <c r="S7" s="46"/>
      <c r="T7" s="46"/>
      <c r="U7" s="46" t="s">
        <v>18</v>
      </c>
    </row>
    <row r="8" spans="1:21">
      <c r="A8" s="46"/>
      <c r="B8" s="1" t="s">
        <v>19</v>
      </c>
      <c r="C8" s="46"/>
      <c r="D8" s="46"/>
      <c r="E8" s="46"/>
      <c r="F8" s="46"/>
      <c r="G8" s="46"/>
      <c r="H8" s="139"/>
      <c r="I8" s="46"/>
      <c r="J8" s="46"/>
      <c r="K8" s="46"/>
      <c r="L8" s="46"/>
      <c r="M8" s="46"/>
      <c r="N8" s="46"/>
      <c r="O8" s="46"/>
      <c r="P8" s="46"/>
      <c r="Q8" s="49"/>
      <c r="R8" s="49"/>
      <c r="S8" s="49"/>
      <c r="T8" s="49"/>
      <c r="U8" s="49"/>
    </row>
    <row r="9" spans="1:21">
      <c r="A9" s="46">
        <v>1</v>
      </c>
      <c r="B9" s="20" t="s">
        <v>20</v>
      </c>
      <c r="C9" s="46" t="s">
        <v>21</v>
      </c>
      <c r="D9" s="204">
        <v>170038</v>
      </c>
      <c r="E9" s="204">
        <v>170038</v>
      </c>
      <c r="F9" s="204">
        <v>170038</v>
      </c>
      <c r="G9" s="168">
        <v>170295</v>
      </c>
      <c r="H9" s="169">
        <v>170263</v>
      </c>
      <c r="I9" s="168">
        <v>170396</v>
      </c>
      <c r="J9" s="168"/>
      <c r="K9" s="168"/>
      <c r="L9" s="168"/>
      <c r="M9" s="168"/>
      <c r="N9" s="168"/>
      <c r="O9" s="168"/>
      <c r="P9" s="168"/>
      <c r="Q9" s="48">
        <f t="shared" ref="Q9:Q16" si="1">SUM(D9:F9)</f>
        <v>510114</v>
      </c>
      <c r="R9" s="48">
        <f t="shared" ref="R9:R16" si="2">SUM(G9:I9)</f>
        <v>510954</v>
      </c>
      <c r="S9" s="48">
        <f t="shared" ref="S9:S16" si="3">SUM(J9:L9)</f>
        <v>0</v>
      </c>
      <c r="T9" s="48">
        <f t="shared" ref="T9:T16" si="4">SUM(M9:O9)</f>
        <v>0</v>
      </c>
      <c r="U9" s="48">
        <f t="shared" ref="U9:U16" si="5">SUM(D9:O9)</f>
        <v>1021068</v>
      </c>
    </row>
    <row r="10" spans="1:21">
      <c r="A10" s="46">
        <v>2</v>
      </c>
      <c r="B10" s="2" t="s">
        <v>171</v>
      </c>
      <c r="C10" s="46" t="s">
        <v>21</v>
      </c>
      <c r="D10" s="168">
        <v>20684874.68</v>
      </c>
      <c r="E10" s="168">
        <v>21500858.140000001</v>
      </c>
      <c r="F10" s="168">
        <v>14765517.559470002</v>
      </c>
      <c r="G10" s="168">
        <v>8962164.9129600003</v>
      </c>
      <c r="H10" s="169">
        <v>4466067.9769600006</v>
      </c>
      <c r="I10" s="168">
        <v>2745598.80914</v>
      </c>
      <c r="J10" s="168"/>
      <c r="K10" s="168"/>
      <c r="L10" s="168"/>
      <c r="M10" s="168"/>
      <c r="N10" s="168"/>
      <c r="O10" s="168"/>
      <c r="P10" s="168"/>
      <c r="Q10" s="48">
        <f t="shared" si="1"/>
        <v>56951250.379470006</v>
      </c>
      <c r="R10" s="48">
        <f t="shared" si="2"/>
        <v>16173831.69906</v>
      </c>
      <c r="S10" s="48">
        <f t="shared" si="3"/>
        <v>0</v>
      </c>
      <c r="T10" s="48">
        <f t="shared" si="4"/>
        <v>0</v>
      </c>
      <c r="U10" s="48">
        <f t="shared" si="5"/>
        <v>73125082.078529999</v>
      </c>
    </row>
    <row r="11" spans="1:21">
      <c r="A11" s="46">
        <v>3</v>
      </c>
      <c r="B11" s="20" t="s">
        <v>37</v>
      </c>
      <c r="C11" s="46" t="s">
        <v>21</v>
      </c>
      <c r="D11" s="170">
        <v>11496789.643540001</v>
      </c>
      <c r="E11" s="170">
        <v>11782889.353449998</v>
      </c>
      <c r="F11" s="170">
        <v>8420597.6388599593</v>
      </c>
      <c r="G11" s="170">
        <v>5288492.5889100013</v>
      </c>
      <c r="H11" s="171">
        <v>3492252.0720700016</v>
      </c>
      <c r="I11" s="170">
        <v>2800620.9913500007</v>
      </c>
      <c r="J11" s="170"/>
      <c r="K11" s="170"/>
      <c r="L11" s="170"/>
      <c r="M11" s="170"/>
      <c r="N11" s="170"/>
      <c r="O11" s="170"/>
      <c r="P11" s="170"/>
      <c r="Q11" s="49">
        <f t="shared" si="1"/>
        <v>31700276.63584996</v>
      </c>
      <c r="R11" s="49">
        <f t="shared" si="2"/>
        <v>11581365.652330004</v>
      </c>
      <c r="S11" s="49">
        <f t="shared" si="3"/>
        <v>0</v>
      </c>
      <c r="T11" s="49">
        <f t="shared" si="4"/>
        <v>0</v>
      </c>
      <c r="U11" s="49">
        <f t="shared" si="5"/>
        <v>43281642.288179964</v>
      </c>
    </row>
    <row r="12" spans="1:21">
      <c r="A12" s="46">
        <v>4</v>
      </c>
      <c r="B12" s="20" t="s">
        <v>24</v>
      </c>
      <c r="C12" s="46" t="s">
        <v>21</v>
      </c>
      <c r="D12" s="170">
        <v>1564897</v>
      </c>
      <c r="E12" s="170">
        <v>1561448.5</v>
      </c>
      <c r="F12" s="170">
        <v>1768947.5</v>
      </c>
      <c r="G12" s="170">
        <v>1636897.5</v>
      </c>
      <c r="H12" s="171">
        <v>1637980.5</v>
      </c>
      <c r="I12" s="170">
        <v>1647015</v>
      </c>
      <c r="J12" s="170"/>
      <c r="K12" s="170"/>
      <c r="L12" s="170"/>
      <c r="M12" s="170"/>
      <c r="N12" s="170"/>
      <c r="O12" s="170"/>
      <c r="P12" s="170"/>
      <c r="Q12" s="49">
        <f t="shared" si="1"/>
        <v>4895293</v>
      </c>
      <c r="R12" s="49">
        <f t="shared" si="2"/>
        <v>4921893</v>
      </c>
      <c r="S12" s="49">
        <f t="shared" si="3"/>
        <v>0</v>
      </c>
      <c r="T12" s="49">
        <f t="shared" si="4"/>
        <v>0</v>
      </c>
      <c r="U12" s="49">
        <f t="shared" si="5"/>
        <v>9817186</v>
      </c>
    </row>
    <row r="13" spans="1:21" ht="30" customHeight="1">
      <c r="A13" s="46">
        <v>5</v>
      </c>
      <c r="B13" s="20" t="s">
        <v>158</v>
      </c>
      <c r="C13" s="46" t="s">
        <v>21</v>
      </c>
      <c r="D13" s="168">
        <v>6135</v>
      </c>
      <c r="E13" s="168">
        <v>5922</v>
      </c>
      <c r="F13" s="168">
        <v>6787</v>
      </c>
      <c r="G13" s="168">
        <v>6599</v>
      </c>
      <c r="H13" s="169">
        <v>6840</v>
      </c>
      <c r="I13" s="168">
        <v>6970</v>
      </c>
      <c r="J13" s="168"/>
      <c r="K13" s="168"/>
      <c r="L13" s="168"/>
      <c r="M13" s="168"/>
      <c r="N13" s="168"/>
      <c r="O13" s="168"/>
      <c r="P13" s="168"/>
      <c r="Q13" s="48">
        <f t="shared" si="1"/>
        <v>18844</v>
      </c>
      <c r="R13" s="48">
        <f t="shared" si="2"/>
        <v>20409</v>
      </c>
      <c r="S13" s="48">
        <f t="shared" si="3"/>
        <v>0</v>
      </c>
      <c r="T13" s="48">
        <f t="shared" si="4"/>
        <v>0</v>
      </c>
      <c r="U13" s="48">
        <f t="shared" si="5"/>
        <v>39253</v>
      </c>
    </row>
    <row r="14" spans="1:21">
      <c r="A14" s="46">
        <v>6</v>
      </c>
      <c r="B14" s="2" t="s">
        <v>172</v>
      </c>
      <c r="C14" s="46" t="s">
        <v>21</v>
      </c>
      <c r="D14" s="168">
        <v>701591.52821000002</v>
      </c>
      <c r="E14" s="168">
        <v>695498.35623000003</v>
      </c>
      <c r="F14" s="168">
        <v>639367.32978000003</v>
      </c>
      <c r="G14" s="168">
        <v>402019.35765999998</v>
      </c>
      <c r="H14" s="169">
        <v>201657.17991000001</v>
      </c>
      <c r="I14" s="168">
        <v>114044.96580000001</v>
      </c>
      <c r="J14" s="168"/>
      <c r="K14" s="168"/>
      <c r="L14" s="168"/>
      <c r="M14" s="168"/>
      <c r="N14" s="168"/>
      <c r="O14" s="168"/>
      <c r="P14" s="168"/>
      <c r="Q14" s="48">
        <f t="shared" si="1"/>
        <v>2036457.2142200002</v>
      </c>
      <c r="R14" s="48">
        <f t="shared" si="2"/>
        <v>717721.50336999993</v>
      </c>
      <c r="S14" s="48">
        <f t="shared" si="3"/>
        <v>0</v>
      </c>
      <c r="T14" s="48">
        <f t="shared" si="4"/>
        <v>0</v>
      </c>
      <c r="U14" s="48">
        <f t="shared" si="5"/>
        <v>2754178.71759</v>
      </c>
    </row>
    <row r="15" spans="1:21">
      <c r="A15" s="46">
        <v>7</v>
      </c>
      <c r="B15" s="20" t="s">
        <v>160</v>
      </c>
      <c r="C15" s="46" t="s">
        <v>21</v>
      </c>
      <c r="D15" s="170">
        <v>389558.33</v>
      </c>
      <c r="E15" s="170">
        <v>384687.93</v>
      </c>
      <c r="F15" s="170">
        <v>360703.04</v>
      </c>
      <c r="G15" s="170">
        <v>241488.2</v>
      </c>
      <c r="H15" s="171">
        <v>152689.60000000001</v>
      </c>
      <c r="I15" s="170">
        <v>115221.55</v>
      </c>
      <c r="J15" s="170"/>
      <c r="K15" s="170"/>
      <c r="L15" s="170"/>
      <c r="M15" s="170"/>
      <c r="N15" s="170"/>
      <c r="O15" s="170"/>
      <c r="P15" s="170"/>
      <c r="Q15" s="49">
        <f t="shared" si="1"/>
        <v>1134949.3</v>
      </c>
      <c r="R15" s="49">
        <f t="shared" si="2"/>
        <v>509399.35000000003</v>
      </c>
      <c r="S15" s="49">
        <f t="shared" si="3"/>
        <v>0</v>
      </c>
      <c r="T15" s="49">
        <f t="shared" si="4"/>
        <v>0</v>
      </c>
      <c r="U15" s="49">
        <f t="shared" si="5"/>
        <v>1644348.6500000001</v>
      </c>
    </row>
    <row r="16" spans="1:21">
      <c r="A16" s="46">
        <v>8</v>
      </c>
      <c r="B16" s="20" t="s">
        <v>173</v>
      </c>
      <c r="C16" s="46" t="s">
        <v>21</v>
      </c>
      <c r="D16" s="170">
        <v>58748</v>
      </c>
      <c r="E16" s="170">
        <v>56268.5</v>
      </c>
      <c r="F16" s="170">
        <v>64514.5</v>
      </c>
      <c r="G16" s="170">
        <v>62956.5</v>
      </c>
      <c r="H16" s="171">
        <v>65236.5</v>
      </c>
      <c r="I16" s="170">
        <v>66167.5</v>
      </c>
      <c r="J16" s="170"/>
      <c r="K16" s="170"/>
      <c r="L16" s="170"/>
      <c r="M16" s="170"/>
      <c r="N16" s="170"/>
      <c r="O16" s="170"/>
      <c r="P16" s="170"/>
      <c r="Q16" s="49">
        <f t="shared" si="1"/>
        <v>179531</v>
      </c>
      <c r="R16" s="49">
        <f t="shared" si="2"/>
        <v>194360.5</v>
      </c>
      <c r="S16" s="49">
        <f t="shared" si="3"/>
        <v>0</v>
      </c>
      <c r="T16" s="49">
        <f t="shared" si="4"/>
        <v>0</v>
      </c>
      <c r="U16" s="49">
        <f t="shared" si="5"/>
        <v>373891.5</v>
      </c>
    </row>
    <row r="17" spans="1:21">
      <c r="A17" s="46"/>
      <c r="B17" s="1"/>
      <c r="C17" s="46"/>
      <c r="D17" s="46"/>
      <c r="E17" s="46"/>
      <c r="F17" s="46"/>
      <c r="G17" s="46"/>
      <c r="H17" s="139"/>
      <c r="I17" s="46"/>
      <c r="J17" s="46"/>
      <c r="K17" s="46"/>
      <c r="L17" s="46"/>
      <c r="M17" s="46"/>
      <c r="N17" s="46"/>
      <c r="O17" s="46"/>
      <c r="P17" s="46"/>
      <c r="Q17" s="49"/>
      <c r="R17" s="49"/>
      <c r="S17" s="49"/>
      <c r="T17" s="49"/>
      <c r="U17" s="49"/>
    </row>
    <row r="18" spans="1:21">
      <c r="A18" s="46">
        <v>9</v>
      </c>
      <c r="B18" s="20" t="s">
        <v>174</v>
      </c>
      <c r="C18" s="46" t="str">
        <f>"("&amp;A9&amp;") - ("&amp;A13&amp;")"</f>
        <v>(1) - (5)</v>
      </c>
      <c r="D18" s="172">
        <f>D9-D13</f>
        <v>163903</v>
      </c>
      <c r="E18" s="172">
        <f>E9-E13</f>
        <v>164116</v>
      </c>
      <c r="F18" s="172">
        <f>F9-F13</f>
        <v>163251</v>
      </c>
      <c r="G18" s="172">
        <f>G9-G13</f>
        <v>163696</v>
      </c>
      <c r="H18" s="48">
        <f t="shared" ref="H18:O18" si="6">H9-H13</f>
        <v>163423</v>
      </c>
      <c r="I18" s="48">
        <f>I9-I13</f>
        <v>163426</v>
      </c>
      <c r="J18" s="48">
        <f t="shared" si="6"/>
        <v>0</v>
      </c>
      <c r="K18" s="48">
        <f t="shared" si="6"/>
        <v>0</v>
      </c>
      <c r="L18" s="48">
        <f t="shared" si="6"/>
        <v>0</v>
      </c>
      <c r="M18" s="48">
        <f t="shared" si="6"/>
        <v>0</v>
      </c>
      <c r="N18" s="48">
        <f t="shared" si="6"/>
        <v>0</v>
      </c>
      <c r="O18" s="48">
        <f t="shared" si="6"/>
        <v>0</v>
      </c>
      <c r="P18" s="48"/>
      <c r="Q18" s="48">
        <f>SUM(D18:F18)</f>
        <v>491270</v>
      </c>
      <c r="R18" s="48">
        <f>SUM(G18:I18)</f>
        <v>490545</v>
      </c>
      <c r="S18" s="48">
        <f>SUM(J18:L18)</f>
        <v>0</v>
      </c>
      <c r="T18" s="48">
        <f>SUM(M18:O18)</f>
        <v>0</v>
      </c>
      <c r="U18" s="48">
        <f>SUM(D18:O18)</f>
        <v>981815</v>
      </c>
    </row>
    <row r="19" spans="1:21">
      <c r="A19" s="232">
        <f t="shared" ref="A19:A20" si="7">A18+1</f>
        <v>10</v>
      </c>
      <c r="B19" s="82" t="s">
        <v>22</v>
      </c>
      <c r="C19" s="220" t="s">
        <v>86</v>
      </c>
      <c r="D19" s="5">
        <v>64.181302344348566</v>
      </c>
      <c r="E19" s="5">
        <v>48.758321797385605</v>
      </c>
      <c r="F19" s="5">
        <v>44.017626240525921</v>
      </c>
      <c r="G19" s="5">
        <v>27.528453134263444</v>
      </c>
      <c r="H19" s="144">
        <v>16.274018081808052</v>
      </c>
      <c r="I19" s="5">
        <v>8.7168382222626644</v>
      </c>
      <c r="J19" s="5">
        <v>6.4785954827932208</v>
      </c>
      <c r="K19" s="5">
        <v>6.2518978959999378</v>
      </c>
      <c r="L19" s="5">
        <v>8.6899263250780123</v>
      </c>
      <c r="M19" s="5">
        <v>24.177876885571344</v>
      </c>
      <c r="N19" s="5">
        <v>45.04821131204578</v>
      </c>
      <c r="O19" s="5">
        <v>63.76693227791737</v>
      </c>
      <c r="P19" s="5"/>
      <c r="Q19" s="96">
        <f>Q20/Q18</f>
        <v>52.328557085996692</v>
      </c>
      <c r="R19" s="96">
        <f>R20/R18</f>
        <v>17.511960216822523</v>
      </c>
      <c r="S19" s="96" t="e">
        <f>S20/S18</f>
        <v>#DIV/0!</v>
      </c>
      <c r="T19" s="96" t="e">
        <f>T20/T18</f>
        <v>#DIV/0!</v>
      </c>
      <c r="U19" s="96">
        <f>U20/U18</f>
        <v>34.933113431958979</v>
      </c>
    </row>
    <row r="20" spans="1:21">
      <c r="A20" s="46">
        <f t="shared" si="7"/>
        <v>11</v>
      </c>
      <c r="B20" s="20" t="s">
        <v>23</v>
      </c>
      <c r="C20" s="46" t="str">
        <f>"("&amp;A18&amp;") x ("&amp;A19&amp;")"</f>
        <v>(9) x (10)</v>
      </c>
      <c r="D20" s="49">
        <f t="shared" ref="D20:N20" si="8">D18*D19</f>
        <v>10519507.998145763</v>
      </c>
      <c r="E20" s="49">
        <f t="shared" si="8"/>
        <v>8002020.7400997356</v>
      </c>
      <c r="F20" s="49">
        <f t="shared" si="8"/>
        <v>7185921.5013920972</v>
      </c>
      <c r="G20" s="49">
        <f t="shared" si="8"/>
        <v>4506297.6642663889</v>
      </c>
      <c r="H20" s="50">
        <f t="shared" si="8"/>
        <v>2659548.8569833171</v>
      </c>
      <c r="I20" s="49">
        <f t="shared" si="8"/>
        <v>1424558.0033114981</v>
      </c>
      <c r="J20" s="49">
        <f t="shared" si="8"/>
        <v>0</v>
      </c>
      <c r="K20" s="49">
        <f t="shared" si="8"/>
        <v>0</v>
      </c>
      <c r="L20" s="49">
        <f t="shared" si="8"/>
        <v>0</v>
      </c>
      <c r="M20" s="49">
        <f t="shared" si="8"/>
        <v>0</v>
      </c>
      <c r="N20" s="49">
        <f t="shared" si="8"/>
        <v>0</v>
      </c>
      <c r="O20" s="175">
        <f>O18*O19</f>
        <v>0</v>
      </c>
      <c r="P20" s="49" t="s">
        <v>186</v>
      </c>
      <c r="Q20" s="49">
        <f>SUM(D20:F20)</f>
        <v>25707450.239637595</v>
      </c>
      <c r="R20" s="49">
        <f>SUM(G20:I20)</f>
        <v>8590404.524561204</v>
      </c>
      <c r="S20" s="49">
        <f>SUM(J20:L20)</f>
        <v>0</v>
      </c>
      <c r="T20" s="49">
        <f>SUM(M20:O20)</f>
        <v>0</v>
      </c>
      <c r="U20" s="49">
        <f>SUM(D20:O20)</f>
        <v>34297854.764198802</v>
      </c>
    </row>
    <row r="21" spans="1:21">
      <c r="A21" s="46"/>
      <c r="B21" s="20"/>
      <c r="C21" s="46"/>
      <c r="D21" s="49"/>
      <c r="E21" s="49"/>
      <c r="F21" s="49"/>
      <c r="G21" s="49"/>
      <c r="H21" s="50"/>
      <c r="I21" s="49"/>
      <c r="J21" s="49"/>
      <c r="K21" s="49"/>
      <c r="L21" s="49"/>
      <c r="M21" s="49"/>
      <c r="N21" s="49"/>
      <c r="O21" s="49"/>
      <c r="P21" s="49"/>
      <c r="Q21" s="47"/>
      <c r="R21" s="47"/>
      <c r="S21" s="47"/>
      <c r="T21" s="47"/>
      <c r="U21" s="47"/>
    </row>
    <row r="22" spans="1:21">
      <c r="A22" s="46">
        <v>12</v>
      </c>
      <c r="B22" s="20" t="s">
        <v>175</v>
      </c>
      <c r="C22" s="46" t="str">
        <f>"("&amp;A10&amp;") - ("&amp;A14&amp;")"</f>
        <v>(2) - (6)</v>
      </c>
      <c r="D22" s="172">
        <f>D10-D14</f>
        <v>19983283.15179</v>
      </c>
      <c r="E22" s="172">
        <f>E10-E14</f>
        <v>20805359.783770002</v>
      </c>
      <c r="F22" s="172">
        <f>F10-F14</f>
        <v>14126150.229690002</v>
      </c>
      <c r="G22" s="172">
        <f>G10-G14</f>
        <v>8560145.5553000011</v>
      </c>
      <c r="H22" s="48">
        <f>H10-H14</f>
        <v>4264410.7970500002</v>
      </c>
      <c r="I22" s="48">
        <f t="shared" ref="I22:O22" si="9">I10-I14</f>
        <v>2631553.8433400001</v>
      </c>
      <c r="J22" s="48">
        <f t="shared" si="9"/>
        <v>0</v>
      </c>
      <c r="K22" s="48">
        <f t="shared" si="9"/>
        <v>0</v>
      </c>
      <c r="L22" s="48">
        <f t="shared" si="9"/>
        <v>0</v>
      </c>
      <c r="M22" s="48">
        <f t="shared" si="9"/>
        <v>0</v>
      </c>
      <c r="N22" s="48">
        <f t="shared" si="9"/>
        <v>0</v>
      </c>
      <c r="O22" s="48">
        <f t="shared" si="9"/>
        <v>0</v>
      </c>
      <c r="P22" s="48"/>
      <c r="Q22" s="48">
        <f>SUM(D22:F22)</f>
        <v>54914793.165250003</v>
      </c>
      <c r="R22" s="48">
        <f>SUM(G22:I22)</f>
        <v>15456110.19569</v>
      </c>
      <c r="S22" s="48">
        <f>SUM(J22:L22)</f>
        <v>0</v>
      </c>
      <c r="T22" s="48">
        <f>SUM(M22:O22)</f>
        <v>0</v>
      </c>
      <c r="U22" s="48">
        <f>SUM(D22:O22)</f>
        <v>70370903.360939994</v>
      </c>
    </row>
    <row r="23" spans="1:21">
      <c r="A23" s="46">
        <v>13</v>
      </c>
      <c r="B23" s="217" t="s">
        <v>176</v>
      </c>
      <c r="C23" s="46" t="str">
        <f>"("&amp;A11&amp;") - ("&amp;A15&amp;")"</f>
        <v>(3) - (7)</v>
      </c>
      <c r="D23" s="178">
        <f t="shared" ref="D23:G24" si="10">D11-D15</f>
        <v>11107231.31354</v>
      </c>
      <c r="E23" s="178">
        <f t="shared" si="10"/>
        <v>11398201.423449999</v>
      </c>
      <c r="F23" s="178">
        <f t="shared" si="10"/>
        <v>8059894.5988599593</v>
      </c>
      <c r="G23" s="178">
        <f t="shared" si="10"/>
        <v>5047004.3889100011</v>
      </c>
      <c r="H23" s="21">
        <f t="shared" ref="H23:O24" si="11">H11-H15</f>
        <v>3339562.4720700015</v>
      </c>
      <c r="I23" s="21">
        <f t="shared" si="11"/>
        <v>2685399.4413500009</v>
      </c>
      <c r="J23" s="21">
        <f t="shared" si="11"/>
        <v>0</v>
      </c>
      <c r="K23" s="21">
        <f t="shared" si="11"/>
        <v>0</v>
      </c>
      <c r="L23" s="21">
        <f t="shared" si="11"/>
        <v>0</v>
      </c>
      <c r="M23" s="21">
        <f t="shared" si="11"/>
        <v>0</v>
      </c>
      <c r="N23" s="21">
        <f t="shared" si="11"/>
        <v>0</v>
      </c>
      <c r="O23" s="21">
        <f t="shared" si="11"/>
        <v>0</v>
      </c>
      <c r="P23" s="21"/>
      <c r="Q23" s="49">
        <f>SUM(D23:F23)</f>
        <v>30565327.335849956</v>
      </c>
      <c r="R23" s="49">
        <f>SUM(G23:I23)</f>
        <v>11071966.302330002</v>
      </c>
      <c r="S23" s="49">
        <f>SUM(J23:L23)</f>
        <v>0</v>
      </c>
      <c r="T23" s="49">
        <f>SUM(M23:O23)</f>
        <v>0</v>
      </c>
      <c r="U23" s="49">
        <f>SUM(D23:O23)</f>
        <v>41637293.638179958</v>
      </c>
    </row>
    <row r="24" spans="1:21">
      <c r="A24" s="46">
        <v>14</v>
      </c>
      <c r="B24" s="20" t="s">
        <v>177</v>
      </c>
      <c r="C24" s="46" t="str">
        <f>"("&amp;A12&amp;") - ("&amp;A16&amp;")"</f>
        <v>(4) - (8)</v>
      </c>
      <c r="D24" s="178">
        <f t="shared" si="10"/>
        <v>1506149</v>
      </c>
      <c r="E24" s="178">
        <f t="shared" si="10"/>
        <v>1505180</v>
      </c>
      <c r="F24" s="178">
        <f t="shared" si="10"/>
        <v>1704433</v>
      </c>
      <c r="G24" s="178">
        <f t="shared" si="10"/>
        <v>1573941</v>
      </c>
      <c r="H24" s="21">
        <f t="shared" si="11"/>
        <v>1572744</v>
      </c>
      <c r="I24" s="21">
        <f t="shared" si="11"/>
        <v>1580847.5</v>
      </c>
      <c r="J24" s="21">
        <f t="shared" si="11"/>
        <v>0</v>
      </c>
      <c r="K24" s="21">
        <f t="shared" si="11"/>
        <v>0</v>
      </c>
      <c r="L24" s="21">
        <f t="shared" si="11"/>
        <v>0</v>
      </c>
      <c r="M24" s="21">
        <f t="shared" si="11"/>
        <v>0</v>
      </c>
      <c r="N24" s="21">
        <f t="shared" si="11"/>
        <v>0</v>
      </c>
      <c r="O24" s="21">
        <f t="shared" si="11"/>
        <v>0</v>
      </c>
      <c r="P24" s="21"/>
      <c r="Q24" s="49">
        <f>SUM(D24:F24)</f>
        <v>4715762</v>
      </c>
      <c r="R24" s="49">
        <f>SUM(G24:I24)</f>
        <v>4727532.5</v>
      </c>
      <c r="S24" s="49">
        <f>SUM(J24:L24)</f>
        <v>0</v>
      </c>
      <c r="T24" s="49">
        <f>SUM(M24:O24)</f>
        <v>0</v>
      </c>
      <c r="U24" s="49">
        <f>SUM(D24:O24)</f>
        <v>9443294.5</v>
      </c>
    </row>
    <row r="25" spans="1:21">
      <c r="A25" s="46">
        <v>15</v>
      </c>
      <c r="B25" s="20" t="s">
        <v>25</v>
      </c>
      <c r="C25" s="46" t="str">
        <f>"("&amp;A23&amp;") - ("&amp;A24&amp;")"</f>
        <v>(13) - (14)</v>
      </c>
      <c r="D25" s="49">
        <f>D23-D24</f>
        <v>9601082.3135400005</v>
      </c>
      <c r="E25" s="49">
        <f t="shared" ref="E25:O25" si="12">E23-E24</f>
        <v>9893021.4234499987</v>
      </c>
      <c r="F25" s="49">
        <f t="shared" si="12"/>
        <v>6355461.5988599593</v>
      </c>
      <c r="G25" s="49">
        <f t="shared" si="12"/>
        <v>3473063.3889100011</v>
      </c>
      <c r="H25" s="50">
        <f t="shared" si="12"/>
        <v>1766818.4720700015</v>
      </c>
      <c r="I25" s="49">
        <f t="shared" si="12"/>
        <v>1104551.9413500009</v>
      </c>
      <c r="J25" s="49">
        <f t="shared" si="12"/>
        <v>0</v>
      </c>
      <c r="K25" s="49">
        <f t="shared" si="12"/>
        <v>0</v>
      </c>
      <c r="L25" s="49">
        <f t="shared" si="12"/>
        <v>0</v>
      </c>
      <c r="M25" s="49">
        <f t="shared" si="12"/>
        <v>0</v>
      </c>
      <c r="N25" s="49">
        <f t="shared" si="12"/>
        <v>0</v>
      </c>
      <c r="O25" s="49">
        <f t="shared" si="12"/>
        <v>0</v>
      </c>
      <c r="P25" s="49"/>
      <c r="Q25" s="49">
        <f>SUM(D25:F25)</f>
        <v>25849565.335849956</v>
      </c>
      <c r="R25" s="49">
        <f>SUM(G25:I25)</f>
        <v>6344433.8023300031</v>
      </c>
      <c r="S25" s="49">
        <f>SUM(J25:L25)</f>
        <v>0</v>
      </c>
      <c r="T25" s="49">
        <f>SUM(M25:O25)</f>
        <v>0</v>
      </c>
      <c r="U25" s="49">
        <f>SUM(D25:O25)</f>
        <v>32193999.138179962</v>
      </c>
    </row>
    <row r="26" spans="1:21">
      <c r="A26" s="46">
        <v>16</v>
      </c>
      <c r="B26" s="2" t="s">
        <v>26</v>
      </c>
      <c r="C26" s="46" t="str">
        <f>"("&amp;A25&amp;") / ("&amp;A18&amp;")"</f>
        <v>(15) / (9)</v>
      </c>
      <c r="D26" s="5">
        <f>D25/D18</f>
        <v>58.577831482889273</v>
      </c>
      <c r="E26" s="5">
        <f t="shared" ref="E26:O26" si="13">E25/E18</f>
        <v>60.280663819798185</v>
      </c>
      <c r="F26" s="5">
        <f t="shared" si="13"/>
        <v>38.930613588032905</v>
      </c>
      <c r="G26" s="5">
        <f t="shared" si="13"/>
        <v>21.216544013964917</v>
      </c>
      <c r="H26" s="144">
        <f t="shared" si="13"/>
        <v>10.811320756992599</v>
      </c>
      <c r="I26" s="5">
        <f t="shared" si="13"/>
        <v>6.7587283623780854</v>
      </c>
      <c r="J26" s="5" t="e">
        <f t="shared" si="13"/>
        <v>#DIV/0!</v>
      </c>
      <c r="K26" s="5" t="e">
        <f t="shared" si="13"/>
        <v>#DIV/0!</v>
      </c>
      <c r="L26" s="5" t="e">
        <f t="shared" si="13"/>
        <v>#DIV/0!</v>
      </c>
      <c r="M26" s="5" t="e">
        <f t="shared" si="13"/>
        <v>#DIV/0!</v>
      </c>
      <c r="N26" s="5" t="e">
        <f t="shared" si="13"/>
        <v>#DIV/0!</v>
      </c>
      <c r="O26" s="5" t="e">
        <f t="shared" si="13"/>
        <v>#DIV/0!</v>
      </c>
      <c r="P26" s="5"/>
      <c r="Q26" s="96">
        <f>Q25/Q18</f>
        <v>52.617838125368849</v>
      </c>
      <c r="R26" s="96">
        <f>R25/R18</f>
        <v>12.93343893491933</v>
      </c>
      <c r="S26" s="96" t="e">
        <f>S25/S18</f>
        <v>#DIV/0!</v>
      </c>
      <c r="T26" s="96" t="e">
        <f>T25/T18</f>
        <v>#DIV/0!</v>
      </c>
      <c r="U26" s="96">
        <f>U25/U18</f>
        <v>32.790290572236074</v>
      </c>
    </row>
    <row r="27" spans="1:21">
      <c r="A27" s="46">
        <v>17</v>
      </c>
      <c r="B27" s="20" t="s">
        <v>27</v>
      </c>
      <c r="C27" s="46" t="str">
        <f>"("&amp;A$23&amp;") - ("&amp;A25&amp;")"</f>
        <v>(13) - (15)</v>
      </c>
      <c r="D27" s="21">
        <f t="shared" ref="D27:O27" si="14">D20-D25</f>
        <v>918425.68460576236</v>
      </c>
      <c r="E27" s="21">
        <f t="shared" si="14"/>
        <v>-1891000.6833502632</v>
      </c>
      <c r="F27" s="21">
        <f t="shared" si="14"/>
        <v>830459.90253213793</v>
      </c>
      <c r="G27" s="21">
        <f t="shared" si="14"/>
        <v>1033234.2753563877</v>
      </c>
      <c r="H27" s="21">
        <f t="shared" si="14"/>
        <v>892730.38491331553</v>
      </c>
      <c r="I27" s="21">
        <f t="shared" si="14"/>
        <v>320006.06196149718</v>
      </c>
      <c r="J27" s="21">
        <f t="shared" si="14"/>
        <v>0</v>
      </c>
      <c r="K27" s="21">
        <f t="shared" si="14"/>
        <v>0</v>
      </c>
      <c r="L27" s="21">
        <f t="shared" si="14"/>
        <v>0</v>
      </c>
      <c r="M27" s="21">
        <f t="shared" si="14"/>
        <v>0</v>
      </c>
      <c r="N27" s="21">
        <f t="shared" si="14"/>
        <v>0</v>
      </c>
      <c r="O27" s="21">
        <f t="shared" si="14"/>
        <v>0</v>
      </c>
      <c r="P27" s="21"/>
      <c r="Q27" s="49">
        <f>SUM(D27:F27)</f>
        <v>-142115.09621236287</v>
      </c>
      <c r="R27" s="49">
        <f>SUM(G27:I27)</f>
        <v>2245970.7222312004</v>
      </c>
      <c r="S27" s="49">
        <f>SUM(J27:L27)</f>
        <v>0</v>
      </c>
      <c r="T27" s="49">
        <f>SUM(M27:O27)</f>
        <v>0</v>
      </c>
      <c r="U27" s="49">
        <f>SUM(D27:O27)</f>
        <v>2103855.6260188376</v>
      </c>
    </row>
    <row r="28" spans="1:21">
      <c r="A28" s="46">
        <v>18</v>
      </c>
      <c r="B28" s="20" t="s">
        <v>28</v>
      </c>
      <c r="C28" s="46" t="s">
        <v>29</v>
      </c>
      <c r="D28" s="49">
        <f>D27*-0.044155</f>
        <v>-40553.08610376744</v>
      </c>
      <c r="E28" s="49">
        <f t="shared" ref="E28:O28" si="15">E27*-0.044155</f>
        <v>83497.135173330869</v>
      </c>
      <c r="F28" s="49">
        <f t="shared" si="15"/>
        <v>-36668.956996306551</v>
      </c>
      <c r="G28" s="49">
        <f t="shared" si="15"/>
        <v>-45622.459428361297</v>
      </c>
      <c r="H28" s="49">
        <f t="shared" si="15"/>
        <v>-39418.510145847446</v>
      </c>
      <c r="I28" s="49">
        <f t="shared" si="15"/>
        <v>-14129.867665909907</v>
      </c>
      <c r="J28" s="49">
        <f t="shared" si="15"/>
        <v>0</v>
      </c>
      <c r="K28" s="49">
        <f t="shared" si="15"/>
        <v>0</v>
      </c>
      <c r="L28" s="49">
        <f t="shared" si="15"/>
        <v>0</v>
      </c>
      <c r="M28" s="49">
        <f t="shared" si="15"/>
        <v>0</v>
      </c>
      <c r="N28" s="49">
        <f t="shared" si="15"/>
        <v>0</v>
      </c>
      <c r="O28" s="49">
        <f t="shared" si="15"/>
        <v>0</v>
      </c>
      <c r="P28" s="49"/>
      <c r="Q28" s="49">
        <f>SUM(D28:F28)</f>
        <v>6275.0920732568775</v>
      </c>
      <c r="R28" s="49">
        <f>SUM(G28:I28)</f>
        <v>-99170.83724011865</v>
      </c>
      <c r="S28" s="49">
        <f>SUM(J28:L28)</f>
        <v>0</v>
      </c>
      <c r="T28" s="49">
        <f>SUM(M28:O28)</f>
        <v>0</v>
      </c>
      <c r="U28" s="49">
        <f>SUM(D28:O28)</f>
        <v>-92895.745166861772</v>
      </c>
    </row>
    <row r="29" spans="1:21" ht="14.45" customHeight="1">
      <c r="A29" s="46">
        <v>19</v>
      </c>
      <c r="B29" s="20"/>
      <c r="C29" s="46" t="s">
        <v>30</v>
      </c>
      <c r="D29" s="225">
        <v>3.2500000000000001E-2</v>
      </c>
      <c r="E29" s="225">
        <v>3.2500000000000001E-2</v>
      </c>
      <c r="F29" s="225">
        <v>3.2500000000000001E-2</v>
      </c>
      <c r="G29" s="225">
        <v>3.2500000000000001E-2</v>
      </c>
      <c r="H29" s="225">
        <v>3.2500000000000001E-2</v>
      </c>
      <c r="I29" s="225">
        <v>3.2500000000000001E-2</v>
      </c>
      <c r="J29" s="225">
        <v>0</v>
      </c>
      <c r="K29" s="225">
        <v>0</v>
      </c>
      <c r="L29" s="225">
        <v>0</v>
      </c>
      <c r="M29" s="225">
        <v>0</v>
      </c>
      <c r="N29" s="225">
        <v>0</v>
      </c>
      <c r="O29" s="225">
        <v>0</v>
      </c>
      <c r="P29" s="225"/>
      <c r="Q29" s="54"/>
      <c r="R29" s="54"/>
      <c r="S29" s="54"/>
      <c r="T29" s="54"/>
      <c r="U29" s="54"/>
    </row>
    <row r="30" spans="1:21">
      <c r="A30" s="46">
        <v>20</v>
      </c>
      <c r="B30" s="20" t="s">
        <v>31</v>
      </c>
      <c r="C30" s="46" t="s">
        <v>35</v>
      </c>
      <c r="D30" s="3">
        <f>(D27+D28)/2*D29/12</f>
        <v>1188.7858104714517</v>
      </c>
      <c r="E30" s="3">
        <f>(D32+(E27+E28)/2)*E29/12</f>
        <v>-66.869805643332853</v>
      </c>
      <c r="F30" s="3">
        <f t="shared" ref="F30:O30" si="16">(E32+(F27+F28)/2)*F29/12</f>
        <v>-1439.7867274434409</v>
      </c>
      <c r="G30" s="3">
        <f t="shared" si="16"/>
        <v>968.63008965204062</v>
      </c>
      <c r="H30" s="142">
        <f t="shared" si="16"/>
        <v>3464.1709606283298</v>
      </c>
      <c r="I30" s="3">
        <f t="shared" si="16"/>
        <v>5043.2869338362534</v>
      </c>
      <c r="J30" s="3">
        <f t="shared" si="16"/>
        <v>0</v>
      </c>
      <c r="K30" s="3">
        <f>(J32+(K27+K28)/2)*K29/12</f>
        <v>0</v>
      </c>
      <c r="L30" s="3">
        <f t="shared" si="16"/>
        <v>0</v>
      </c>
      <c r="M30" s="3">
        <f t="shared" si="16"/>
        <v>0</v>
      </c>
      <c r="N30" s="3">
        <f t="shared" si="16"/>
        <v>0</v>
      </c>
      <c r="O30" s="3">
        <f t="shared" si="16"/>
        <v>0</v>
      </c>
      <c r="P30" s="3"/>
      <c r="Q30" s="49">
        <f>SUM(D30:F30)</f>
        <v>-317.87072261532217</v>
      </c>
      <c r="R30" s="49">
        <f>SUM(G30:I30)</f>
        <v>9476.0879841166243</v>
      </c>
      <c r="S30" s="49">
        <f>SUM(J30:L30)</f>
        <v>0</v>
      </c>
      <c r="T30" s="49">
        <f>SUM(M30:O30)</f>
        <v>0</v>
      </c>
      <c r="U30" s="3">
        <f>SUM(D30:O30)</f>
        <v>9158.2172615013005</v>
      </c>
    </row>
    <row r="31" spans="1:21" ht="15.75" thickBot="1">
      <c r="A31" s="46">
        <v>21</v>
      </c>
      <c r="B31" s="4" t="s">
        <v>32</v>
      </c>
      <c r="C31" s="46"/>
      <c r="D31" s="6">
        <f>D27+D28+D30</f>
        <v>879061.38431246637</v>
      </c>
      <c r="E31" s="6">
        <f t="shared" ref="E31:O31" si="17">E27+E28+E30</f>
        <v>-1807570.4179825757</v>
      </c>
      <c r="F31" s="6">
        <f t="shared" si="17"/>
        <v>792351.15880838793</v>
      </c>
      <c r="G31" s="6">
        <f t="shared" si="17"/>
        <v>988580.44601767848</v>
      </c>
      <c r="H31" s="6">
        <f t="shared" si="17"/>
        <v>856776.04572809639</v>
      </c>
      <c r="I31" s="6">
        <f t="shared" si="17"/>
        <v>310919.48122942349</v>
      </c>
      <c r="J31" s="6">
        <f t="shared" si="17"/>
        <v>0</v>
      </c>
      <c r="K31" s="6">
        <f t="shared" si="17"/>
        <v>0</v>
      </c>
      <c r="L31" s="6">
        <f t="shared" si="17"/>
        <v>0</v>
      </c>
      <c r="M31" s="6">
        <f t="shared" si="17"/>
        <v>0</v>
      </c>
      <c r="N31" s="6">
        <f t="shared" si="17"/>
        <v>0</v>
      </c>
      <c r="O31" s="6">
        <f t="shared" si="17"/>
        <v>0</v>
      </c>
      <c r="P31" s="6"/>
      <c r="Q31" s="51">
        <f>Q27+Q28+Q30</f>
        <v>-136157.87486172133</v>
      </c>
      <c r="R31" s="51">
        <f>R27+R28+R30</f>
        <v>2156275.9729751986</v>
      </c>
      <c r="S31" s="51">
        <f>S27+S28+S30</f>
        <v>0</v>
      </c>
      <c r="T31" s="51">
        <f>T27+T28+T30</f>
        <v>0</v>
      </c>
      <c r="U31" s="51">
        <f>U27+U28+U30</f>
        <v>2020118.0981134772</v>
      </c>
    </row>
    <row r="32" spans="1:21" ht="15.75" thickBot="1">
      <c r="A32" s="46">
        <v>22</v>
      </c>
      <c r="B32" s="20" t="s">
        <v>178</v>
      </c>
      <c r="C32" s="46" t="str">
        <f>"Σ(("&amp;A27&amp;") ,("&amp;A28&amp;") , ("&amp;A30&amp;"))"</f>
        <v>Σ((17) ,(18) , (20))</v>
      </c>
      <c r="D32" s="49">
        <f>D27+D28+D30</f>
        <v>879061.38431246637</v>
      </c>
      <c r="E32" s="49">
        <f>D32+E27+E28+E30</f>
        <v>-928509.03367010923</v>
      </c>
      <c r="F32" s="49">
        <f t="shared" ref="F32:N32" si="18">E32+F27+F28+F30</f>
        <v>-136157.8748617213</v>
      </c>
      <c r="G32" s="49">
        <f t="shared" si="18"/>
        <v>852422.57115595718</v>
      </c>
      <c r="H32" s="50">
        <f t="shared" si="18"/>
        <v>1709198.6168840537</v>
      </c>
      <c r="I32" s="49">
        <f t="shared" si="18"/>
        <v>2020118.0981134772</v>
      </c>
      <c r="J32" s="49">
        <f t="shared" si="18"/>
        <v>2020118.0981134772</v>
      </c>
      <c r="K32" s="49">
        <f t="shared" si="18"/>
        <v>2020118.0981134772</v>
      </c>
      <c r="L32" s="49">
        <f t="shared" si="18"/>
        <v>2020118.0981134772</v>
      </c>
      <c r="M32" s="49">
        <f t="shared" si="18"/>
        <v>2020118.0981134772</v>
      </c>
      <c r="N32" s="49">
        <f t="shared" si="18"/>
        <v>2020118.0981134772</v>
      </c>
      <c r="O32" s="90">
        <f>N32+O27+O28+O30</f>
        <v>2020118.0981134772</v>
      </c>
      <c r="P32" s="16"/>
      <c r="Q32" s="49"/>
      <c r="R32" s="49"/>
      <c r="S32" s="49"/>
      <c r="T32" s="49"/>
      <c r="U32" s="230"/>
    </row>
    <row r="33" spans="1:21" ht="36.75" hidden="1" customHeight="1">
      <c r="A33" s="234" t="s">
        <v>194</v>
      </c>
      <c r="B33" s="234"/>
      <c r="C33" s="234"/>
      <c r="D33" s="234"/>
      <c r="E33" s="234"/>
      <c r="F33" s="234"/>
      <c r="G33" s="234"/>
      <c r="H33" s="234"/>
      <c r="I33" s="234"/>
      <c r="J33" s="234"/>
      <c r="K33" s="234"/>
      <c r="L33" s="234"/>
      <c r="M33" s="234"/>
      <c r="N33" s="234"/>
      <c r="O33" s="234"/>
      <c r="P33" s="234"/>
      <c r="Q33" s="234"/>
      <c r="R33" s="234"/>
      <c r="S33" s="234"/>
      <c r="T33" s="234"/>
      <c r="U33" s="234"/>
    </row>
    <row r="34" spans="1:21">
      <c r="A34" s="46"/>
      <c r="B34" s="1" t="s">
        <v>33</v>
      </c>
      <c r="C34" s="46"/>
      <c r="D34" s="46"/>
      <c r="E34" s="46"/>
      <c r="F34" s="46"/>
      <c r="G34" s="46"/>
      <c r="H34" s="139"/>
      <c r="I34" s="46"/>
      <c r="J34" s="46"/>
      <c r="K34" s="46"/>
      <c r="L34" s="46"/>
      <c r="M34" s="46"/>
      <c r="N34" s="46"/>
      <c r="O34" s="46"/>
      <c r="P34" s="46"/>
      <c r="Q34" s="49"/>
      <c r="R34" s="49"/>
      <c r="S34" s="49"/>
      <c r="T34" s="49"/>
      <c r="U34" s="49"/>
    </row>
    <row r="35" spans="1:21">
      <c r="A35" s="46">
        <v>23</v>
      </c>
      <c r="B35" s="20" t="s">
        <v>20</v>
      </c>
      <c r="C35" s="46" t="s">
        <v>21</v>
      </c>
      <c r="D35" s="204">
        <v>3182</v>
      </c>
      <c r="E35" s="204">
        <v>3182</v>
      </c>
      <c r="F35" s="204">
        <v>3182</v>
      </c>
      <c r="G35" s="168">
        <v>3195</v>
      </c>
      <c r="H35" s="169">
        <v>3179</v>
      </c>
      <c r="I35" s="168">
        <v>3181</v>
      </c>
      <c r="J35" s="168"/>
      <c r="K35" s="168"/>
      <c r="L35" s="168"/>
      <c r="M35" s="168"/>
      <c r="N35" s="168"/>
      <c r="O35" s="168"/>
      <c r="P35" s="168"/>
      <c r="Q35" s="48">
        <f t="shared" ref="Q35:Q42" si="19">SUM(D35:F35)</f>
        <v>9546</v>
      </c>
      <c r="R35" s="48">
        <f t="shared" ref="R35:R42" si="20">SUM(G35:I35)</f>
        <v>9555</v>
      </c>
      <c r="S35" s="48">
        <f t="shared" ref="S35:S42" si="21">SUM(J35:L35)</f>
        <v>0</v>
      </c>
      <c r="T35" s="48">
        <f t="shared" ref="T35:T42" si="22">SUM(M35:O35)</f>
        <v>0</v>
      </c>
      <c r="U35" s="48">
        <f t="shared" ref="U35:U42" si="23">SUM(D35:O35)</f>
        <v>19101</v>
      </c>
    </row>
    <row r="36" spans="1:21">
      <c r="A36" s="46">
        <v>24</v>
      </c>
      <c r="B36" s="2" t="s">
        <v>171</v>
      </c>
      <c r="C36" s="46" t="s">
        <v>21</v>
      </c>
      <c r="D36" s="168">
        <v>7591557.9299999997</v>
      </c>
      <c r="E36" s="168">
        <v>7598557.3199999994</v>
      </c>
      <c r="F36" s="168">
        <v>6994945.6278200001</v>
      </c>
      <c r="G36" s="168">
        <v>4053887.0195599999</v>
      </c>
      <c r="H36" s="169">
        <v>2846431.01088</v>
      </c>
      <c r="I36" s="168">
        <v>1971230.0959799998</v>
      </c>
      <c r="J36" s="168"/>
      <c r="K36" s="168"/>
      <c r="L36" s="168"/>
      <c r="M36" s="168"/>
      <c r="N36" s="168"/>
      <c r="O36" s="168"/>
      <c r="P36" s="168"/>
      <c r="Q36" s="48">
        <f t="shared" si="19"/>
        <v>22185060.87782</v>
      </c>
      <c r="R36" s="48">
        <f t="shared" si="20"/>
        <v>8871548.1264199987</v>
      </c>
      <c r="S36" s="48">
        <f t="shared" si="21"/>
        <v>0</v>
      </c>
      <c r="T36" s="48">
        <f t="shared" si="22"/>
        <v>0</v>
      </c>
      <c r="U36" s="48">
        <f t="shared" si="23"/>
        <v>31056609.004240002</v>
      </c>
    </row>
    <row r="37" spans="1:21">
      <c r="A37" s="46">
        <v>25</v>
      </c>
      <c r="B37" s="20" t="s">
        <v>37</v>
      </c>
      <c r="C37" s="46" t="s">
        <v>21</v>
      </c>
      <c r="D37" s="170">
        <v>1897872.9886800002</v>
      </c>
      <c r="E37" s="170">
        <v>2381220.14206</v>
      </c>
      <c r="F37" s="170">
        <v>2415035.8994399998</v>
      </c>
      <c r="G37" s="170">
        <v>1529319.11094</v>
      </c>
      <c r="H37" s="171">
        <v>1108708.9548000002</v>
      </c>
      <c r="I37" s="170">
        <v>862280.74343999987</v>
      </c>
      <c r="J37" s="170"/>
      <c r="K37" s="170"/>
      <c r="L37" s="170"/>
      <c r="M37" s="170"/>
      <c r="N37" s="170"/>
      <c r="O37" s="170"/>
      <c r="P37" s="170"/>
      <c r="Q37" s="49">
        <f t="shared" si="19"/>
        <v>6694129.0301799998</v>
      </c>
      <c r="R37" s="49">
        <f t="shared" si="20"/>
        <v>3500308.8091800003</v>
      </c>
      <c r="S37" s="49">
        <f t="shared" si="21"/>
        <v>0</v>
      </c>
      <c r="T37" s="49">
        <f t="shared" si="22"/>
        <v>0</v>
      </c>
      <c r="U37" s="49">
        <f t="shared" si="23"/>
        <v>10194437.839360001</v>
      </c>
    </row>
    <row r="38" spans="1:21">
      <c r="A38" s="46">
        <v>26</v>
      </c>
      <c r="B38" s="20" t="s">
        <v>24</v>
      </c>
      <c r="C38" s="46" t="s">
        <v>21</v>
      </c>
      <c r="D38" s="170">
        <v>325728.03999999998</v>
      </c>
      <c r="E38" s="170">
        <v>317030.68</v>
      </c>
      <c r="F38" s="170">
        <v>385341.92</v>
      </c>
      <c r="G38" s="170">
        <v>343856.77</v>
      </c>
      <c r="H38" s="171">
        <v>342227.34</v>
      </c>
      <c r="I38" s="170">
        <v>343651.78</v>
      </c>
      <c r="J38" s="170"/>
      <c r="K38" s="170"/>
      <c r="L38" s="170"/>
      <c r="M38" s="170"/>
      <c r="N38" s="170"/>
      <c r="O38" s="170"/>
      <c r="P38" s="170"/>
      <c r="Q38" s="49">
        <f t="shared" si="19"/>
        <v>1028100.6399999999</v>
      </c>
      <c r="R38" s="49">
        <f t="shared" si="20"/>
        <v>1029735.8900000001</v>
      </c>
      <c r="S38" s="49">
        <f t="shared" si="21"/>
        <v>0</v>
      </c>
      <c r="T38" s="49">
        <f t="shared" si="22"/>
        <v>0</v>
      </c>
      <c r="U38" s="49">
        <f t="shared" si="23"/>
        <v>2057836.53</v>
      </c>
    </row>
    <row r="39" spans="1:21" ht="30" customHeight="1">
      <c r="A39" s="46">
        <v>27</v>
      </c>
      <c r="B39" s="20" t="s">
        <v>158</v>
      </c>
      <c r="C39" s="46" t="s">
        <v>21</v>
      </c>
      <c r="D39" s="168">
        <v>46</v>
      </c>
      <c r="E39" s="168">
        <v>49</v>
      </c>
      <c r="F39" s="168">
        <v>58</v>
      </c>
      <c r="G39" s="168">
        <v>56</v>
      </c>
      <c r="H39" s="169">
        <v>63</v>
      </c>
      <c r="I39" s="168">
        <v>62</v>
      </c>
      <c r="J39" s="168"/>
      <c r="K39" s="168"/>
      <c r="L39" s="168"/>
      <c r="M39" s="168"/>
      <c r="N39" s="168"/>
      <c r="O39" s="168"/>
      <c r="P39" s="168"/>
      <c r="Q39" s="48">
        <f t="shared" si="19"/>
        <v>153</v>
      </c>
      <c r="R39" s="48">
        <f t="shared" si="20"/>
        <v>181</v>
      </c>
      <c r="S39" s="48">
        <f t="shared" si="21"/>
        <v>0</v>
      </c>
      <c r="T39" s="48">
        <f t="shared" si="22"/>
        <v>0</v>
      </c>
      <c r="U39" s="48">
        <f t="shared" si="23"/>
        <v>334</v>
      </c>
    </row>
    <row r="40" spans="1:21">
      <c r="A40" s="46">
        <v>28</v>
      </c>
      <c r="B40" s="2" t="s">
        <v>172</v>
      </c>
      <c r="C40" s="46" t="s">
        <v>21</v>
      </c>
      <c r="D40" s="168">
        <v>185879.90109999999</v>
      </c>
      <c r="E40" s="168">
        <v>212998.96809000001</v>
      </c>
      <c r="F40" s="168">
        <v>245547.13276000001</v>
      </c>
      <c r="G40" s="168">
        <v>124306.58003</v>
      </c>
      <c r="H40" s="169">
        <v>86274.472150000001</v>
      </c>
      <c r="I40" s="168">
        <v>49013.815670000004</v>
      </c>
      <c r="J40" s="168"/>
      <c r="K40" s="168"/>
      <c r="L40" s="168"/>
      <c r="M40" s="168"/>
      <c r="N40" s="168"/>
      <c r="O40" s="168"/>
      <c r="P40" s="168"/>
      <c r="Q40" s="48">
        <f t="shared" si="19"/>
        <v>644426.00194999995</v>
      </c>
      <c r="R40" s="48">
        <f t="shared" si="20"/>
        <v>259594.86785000001</v>
      </c>
      <c r="S40" s="48">
        <f t="shared" si="21"/>
        <v>0</v>
      </c>
      <c r="T40" s="48">
        <f t="shared" si="22"/>
        <v>0</v>
      </c>
      <c r="U40" s="48">
        <f t="shared" si="23"/>
        <v>904020.86979999999</v>
      </c>
    </row>
    <row r="41" spans="1:21">
      <c r="A41" s="46">
        <v>29</v>
      </c>
      <c r="B41" s="20" t="s">
        <v>160</v>
      </c>
      <c r="C41" s="46" t="s">
        <v>21</v>
      </c>
      <c r="D41" s="170">
        <v>50878.38</v>
      </c>
      <c r="E41" s="170">
        <v>58185.919999999998</v>
      </c>
      <c r="F41" s="170">
        <v>67908.63</v>
      </c>
      <c r="G41" s="170">
        <v>39485.449999999997</v>
      </c>
      <c r="H41" s="171">
        <v>31604.43</v>
      </c>
      <c r="I41" s="170">
        <v>18933</v>
      </c>
      <c r="J41" s="170"/>
      <c r="K41" s="170"/>
      <c r="L41" s="170"/>
      <c r="M41" s="170"/>
      <c r="N41" s="170"/>
      <c r="O41" s="170"/>
      <c r="P41" s="170"/>
      <c r="Q41" s="49">
        <f t="shared" si="19"/>
        <v>176972.93</v>
      </c>
      <c r="R41" s="49">
        <f t="shared" si="20"/>
        <v>90022.88</v>
      </c>
      <c r="S41" s="49">
        <f t="shared" si="21"/>
        <v>0</v>
      </c>
      <c r="T41" s="49">
        <f t="shared" si="22"/>
        <v>0</v>
      </c>
      <c r="U41" s="49">
        <f t="shared" si="23"/>
        <v>266995.81</v>
      </c>
    </row>
    <row r="42" spans="1:21">
      <c r="A42" s="46">
        <v>30</v>
      </c>
      <c r="B42" s="20" t="s">
        <v>173</v>
      </c>
      <c r="C42" s="46" t="s">
        <v>21</v>
      </c>
      <c r="D42" s="170">
        <v>4779.22</v>
      </c>
      <c r="E42" s="170">
        <v>4987.1099999999997</v>
      </c>
      <c r="F42" s="170">
        <v>5961.09</v>
      </c>
      <c r="G42" s="170">
        <v>5954.02</v>
      </c>
      <c r="H42" s="171">
        <v>6649.41</v>
      </c>
      <c r="I42" s="170">
        <v>6531.16</v>
      </c>
      <c r="J42" s="170"/>
      <c r="K42" s="170"/>
      <c r="L42" s="170"/>
      <c r="M42" s="170"/>
      <c r="N42" s="170"/>
      <c r="O42" s="170"/>
      <c r="P42" s="170"/>
      <c r="Q42" s="49">
        <f t="shared" si="19"/>
        <v>15727.42</v>
      </c>
      <c r="R42" s="49">
        <f t="shared" si="20"/>
        <v>19134.59</v>
      </c>
      <c r="S42" s="49">
        <f t="shared" si="21"/>
        <v>0</v>
      </c>
      <c r="T42" s="49">
        <f t="shared" si="22"/>
        <v>0</v>
      </c>
      <c r="U42" s="49">
        <f t="shared" si="23"/>
        <v>34862.01</v>
      </c>
    </row>
    <row r="43" spans="1:21">
      <c r="A43" s="46"/>
      <c r="B43" s="1"/>
      <c r="C43" s="46"/>
      <c r="D43" s="46"/>
      <c r="E43" s="46"/>
      <c r="F43" s="46"/>
      <c r="G43" s="46"/>
      <c r="H43" s="139"/>
      <c r="I43" s="46"/>
      <c r="J43" s="46"/>
      <c r="K43" s="46"/>
      <c r="L43" s="46"/>
      <c r="M43" s="46"/>
      <c r="N43" s="46"/>
      <c r="O43" s="46"/>
      <c r="P43" s="46"/>
      <c r="Q43" s="49"/>
      <c r="R43" s="49"/>
      <c r="S43" s="49"/>
      <c r="T43" s="49"/>
      <c r="U43" s="49"/>
    </row>
    <row r="44" spans="1:21">
      <c r="A44" s="46">
        <v>31</v>
      </c>
      <c r="B44" s="20" t="s">
        <v>179</v>
      </c>
      <c r="C44" s="46" t="str">
        <f>"("&amp;A35&amp;") - ("&amp;A39&amp;")"</f>
        <v>(23) - (27)</v>
      </c>
      <c r="D44" s="172">
        <f>D35-D39</f>
        <v>3136</v>
      </c>
      <c r="E44" s="172">
        <f>E35-E39</f>
        <v>3133</v>
      </c>
      <c r="F44" s="172">
        <f>F35-F39</f>
        <v>3124</v>
      </c>
      <c r="G44" s="172">
        <f>G35-G39</f>
        <v>3139</v>
      </c>
      <c r="H44" s="48">
        <f t="shared" ref="H44:O44" si="24">H35-H39</f>
        <v>3116</v>
      </c>
      <c r="I44" s="48">
        <f t="shared" si="24"/>
        <v>3119</v>
      </c>
      <c r="J44" s="48">
        <f t="shared" si="24"/>
        <v>0</v>
      </c>
      <c r="K44" s="48">
        <f t="shared" si="24"/>
        <v>0</v>
      </c>
      <c r="L44" s="48">
        <f t="shared" si="24"/>
        <v>0</v>
      </c>
      <c r="M44" s="48">
        <f t="shared" si="24"/>
        <v>0</v>
      </c>
      <c r="N44" s="48">
        <f t="shared" si="24"/>
        <v>0</v>
      </c>
      <c r="O44" s="48">
        <f t="shared" si="24"/>
        <v>0</v>
      </c>
      <c r="P44" s="48"/>
      <c r="Q44" s="48">
        <f>SUM(D44:F44)</f>
        <v>9393</v>
      </c>
      <c r="R44" s="48">
        <f>SUM(G44:I44)</f>
        <v>9374</v>
      </c>
      <c r="S44" s="48">
        <f>SUM(J44:L44)</f>
        <v>0</v>
      </c>
      <c r="T44" s="48">
        <f>SUM(M44:O44)</f>
        <v>0</v>
      </c>
      <c r="U44" s="48">
        <f>SUM(D44:O44)</f>
        <v>18767</v>
      </c>
    </row>
    <row r="45" spans="1:21">
      <c r="A45" s="232">
        <v>32</v>
      </c>
      <c r="B45" s="82" t="s">
        <v>22</v>
      </c>
      <c r="C45" s="220" t="s">
        <v>87</v>
      </c>
      <c r="D45" s="5">
        <v>685.77188760394381</v>
      </c>
      <c r="E45" s="5">
        <v>646.17019391079987</v>
      </c>
      <c r="F45" s="5">
        <v>518.29851510685216</v>
      </c>
      <c r="G45" s="5">
        <v>402.99032361790921</v>
      </c>
      <c r="H45" s="144">
        <v>291.99506227931914</v>
      </c>
      <c r="I45" s="5">
        <v>212.4602059762959</v>
      </c>
      <c r="J45" s="5">
        <v>153.38546791191717</v>
      </c>
      <c r="K45" s="5">
        <v>167.80399902052821</v>
      </c>
      <c r="L45" s="5">
        <v>199.68854818394192</v>
      </c>
      <c r="M45" s="5">
        <v>363.99825171452284</v>
      </c>
      <c r="N45" s="5">
        <v>552.4938504126975</v>
      </c>
      <c r="O45" s="5">
        <v>675.30369426127231</v>
      </c>
      <c r="P45" s="5"/>
      <c r="Q45" s="96">
        <f>Q46/Q44</f>
        <v>616.86324052404018</v>
      </c>
      <c r="R45" s="96">
        <f>R46/R44</f>
        <v>302.69966101333927</v>
      </c>
      <c r="S45" s="96" t="e">
        <f>S46/S44</f>
        <v>#DIV/0!</v>
      </c>
      <c r="T45" s="96" t="e">
        <f>T46/T44</f>
        <v>#DIV/0!</v>
      </c>
      <c r="U45" s="96">
        <f>U46/U44</f>
        <v>459.94048279327291</v>
      </c>
    </row>
    <row r="46" spans="1:21">
      <c r="A46" s="46">
        <v>33</v>
      </c>
      <c r="B46" s="20" t="s">
        <v>23</v>
      </c>
      <c r="C46" s="46" t="str">
        <f>"("&amp;A44&amp;") x ("&amp;A45&amp;")"</f>
        <v>(31) x (32)</v>
      </c>
      <c r="D46" s="49">
        <f t="shared" ref="D46:N46" si="25">D44*D45</f>
        <v>2150580.6395259677</v>
      </c>
      <c r="E46" s="49">
        <f t="shared" si="25"/>
        <v>2024451.2175225359</v>
      </c>
      <c r="F46" s="49">
        <f t="shared" si="25"/>
        <v>1619164.5611938061</v>
      </c>
      <c r="G46" s="49">
        <f t="shared" si="25"/>
        <v>1264986.6258366171</v>
      </c>
      <c r="H46" s="50">
        <f t="shared" si="25"/>
        <v>909856.61406235839</v>
      </c>
      <c r="I46" s="49">
        <f t="shared" si="25"/>
        <v>662663.3824400669</v>
      </c>
      <c r="J46" s="49">
        <f t="shared" si="25"/>
        <v>0</v>
      </c>
      <c r="K46" s="49">
        <f t="shared" si="25"/>
        <v>0</v>
      </c>
      <c r="L46" s="49">
        <f t="shared" si="25"/>
        <v>0</v>
      </c>
      <c r="M46" s="49">
        <f t="shared" si="25"/>
        <v>0</v>
      </c>
      <c r="N46" s="49">
        <f t="shared" si="25"/>
        <v>0</v>
      </c>
      <c r="O46" s="175">
        <f>O44*O45</f>
        <v>0</v>
      </c>
      <c r="P46" s="49" t="s">
        <v>126</v>
      </c>
      <c r="Q46" s="49">
        <f>SUM(D46:F46)</f>
        <v>5794196.4182423092</v>
      </c>
      <c r="R46" s="49">
        <f>SUM(G46:I46)</f>
        <v>2837506.6223390424</v>
      </c>
      <c r="S46" s="49">
        <f>SUM(J46:L46)</f>
        <v>0</v>
      </c>
      <c r="T46" s="49">
        <f>SUM(M46:O46)</f>
        <v>0</v>
      </c>
      <c r="U46" s="49">
        <f>SUM(D46:O46)</f>
        <v>8631703.040581353</v>
      </c>
    </row>
    <row r="47" spans="1:21">
      <c r="A47" s="46"/>
      <c r="B47" s="20"/>
      <c r="C47" s="46"/>
      <c r="D47" s="49"/>
      <c r="E47" s="49"/>
      <c r="F47" s="49"/>
      <c r="G47" s="49"/>
      <c r="H47" s="50"/>
      <c r="I47" s="49"/>
      <c r="J47" s="49"/>
      <c r="K47" s="49"/>
      <c r="L47" s="49"/>
      <c r="M47" s="49"/>
      <c r="N47" s="49"/>
      <c r="O47" s="49"/>
      <c r="P47" s="49"/>
      <c r="Q47" s="47"/>
      <c r="R47" s="47"/>
      <c r="S47" s="47"/>
      <c r="T47" s="47"/>
      <c r="U47" s="47"/>
    </row>
    <row r="48" spans="1:21">
      <c r="A48" s="46">
        <v>34</v>
      </c>
      <c r="B48" s="20" t="s">
        <v>180</v>
      </c>
      <c r="C48" s="46" t="str">
        <f>"("&amp;A36&amp;") - ("&amp;A40&amp;")"</f>
        <v>(24) - (28)</v>
      </c>
      <c r="D48" s="172">
        <f t="shared" ref="D48:G50" si="26">D36-D40</f>
        <v>7405678.0288999993</v>
      </c>
      <c r="E48" s="172">
        <f t="shared" si="26"/>
        <v>7385558.3519099997</v>
      </c>
      <c r="F48" s="172">
        <f t="shared" si="26"/>
        <v>6749398.4950599996</v>
      </c>
      <c r="G48" s="172">
        <f t="shared" si="26"/>
        <v>3929580.4395300001</v>
      </c>
      <c r="H48" s="48">
        <f t="shared" ref="H48:O50" si="27">H36-H40</f>
        <v>2760156.5387300001</v>
      </c>
      <c r="I48" s="48">
        <f t="shared" si="27"/>
        <v>1922216.2803099998</v>
      </c>
      <c r="J48" s="48">
        <f t="shared" si="27"/>
        <v>0</v>
      </c>
      <c r="K48" s="48">
        <f t="shared" si="27"/>
        <v>0</v>
      </c>
      <c r="L48" s="48">
        <f t="shared" si="27"/>
        <v>0</v>
      </c>
      <c r="M48" s="48">
        <f t="shared" si="27"/>
        <v>0</v>
      </c>
      <c r="N48" s="48">
        <f t="shared" si="27"/>
        <v>0</v>
      </c>
      <c r="O48" s="48">
        <f t="shared" si="27"/>
        <v>0</v>
      </c>
      <c r="P48" s="48"/>
      <c r="Q48" s="48">
        <f>SUM(D48:F48)</f>
        <v>21540634.875870001</v>
      </c>
      <c r="R48" s="48">
        <f>SUM(G48:I48)</f>
        <v>8611953.2585700005</v>
      </c>
      <c r="S48" s="48">
        <f>SUM(J48:L48)</f>
        <v>0</v>
      </c>
      <c r="T48" s="48">
        <f>SUM(M48:O48)</f>
        <v>0</v>
      </c>
      <c r="U48" s="48">
        <f>SUM(D48:O48)</f>
        <v>30152588.134440001</v>
      </c>
    </row>
    <row r="49" spans="1:21" ht="15" customHeight="1">
      <c r="A49" s="46">
        <v>35</v>
      </c>
      <c r="B49" s="217" t="s">
        <v>176</v>
      </c>
      <c r="C49" s="46" t="str">
        <f>"("&amp;A37&amp;") - ("&amp;A41&amp;")"</f>
        <v>(25) - (29)</v>
      </c>
      <c r="D49" s="178">
        <f t="shared" si="26"/>
        <v>1846994.6086800003</v>
      </c>
      <c r="E49" s="178">
        <f t="shared" si="26"/>
        <v>2323034.2220600001</v>
      </c>
      <c r="F49" s="178">
        <f t="shared" si="26"/>
        <v>2347127.2694399999</v>
      </c>
      <c r="G49" s="178">
        <f t="shared" si="26"/>
        <v>1489833.6609400001</v>
      </c>
      <c r="H49" s="21">
        <f t="shared" si="27"/>
        <v>1077104.5248000002</v>
      </c>
      <c r="I49" s="21">
        <f t="shared" si="27"/>
        <v>843347.74343999987</v>
      </c>
      <c r="J49" s="21">
        <f t="shared" si="27"/>
        <v>0</v>
      </c>
      <c r="K49" s="21">
        <f t="shared" si="27"/>
        <v>0</v>
      </c>
      <c r="L49" s="21">
        <f t="shared" si="27"/>
        <v>0</v>
      </c>
      <c r="M49" s="21">
        <f t="shared" si="27"/>
        <v>0</v>
      </c>
      <c r="N49" s="21">
        <f t="shared" si="27"/>
        <v>0</v>
      </c>
      <c r="O49" s="21">
        <f t="shared" si="27"/>
        <v>0</v>
      </c>
      <c r="P49" s="21"/>
      <c r="Q49" s="49">
        <f>SUM(D49:F49)</f>
        <v>6517156.1001800001</v>
      </c>
      <c r="R49" s="49">
        <f>SUM(G49:I49)</f>
        <v>3410285.9291800004</v>
      </c>
      <c r="S49" s="49">
        <f>SUM(J49:L49)</f>
        <v>0</v>
      </c>
      <c r="T49" s="49">
        <f>SUM(M49:O49)</f>
        <v>0</v>
      </c>
      <c r="U49" s="49">
        <f>SUM(D49:O49)</f>
        <v>9927442.02936</v>
      </c>
    </row>
    <row r="50" spans="1:21">
      <c r="A50" s="46">
        <v>36</v>
      </c>
      <c r="B50" s="20" t="s">
        <v>177</v>
      </c>
      <c r="C50" s="46" t="str">
        <f>"("&amp;A38&amp;") - ("&amp;A42&amp;")"</f>
        <v>(26) - (30)</v>
      </c>
      <c r="D50" s="178">
        <f t="shared" si="26"/>
        <v>320948.82</v>
      </c>
      <c r="E50" s="178">
        <f t="shared" si="26"/>
        <v>312043.57</v>
      </c>
      <c r="F50" s="178">
        <f t="shared" si="26"/>
        <v>379380.82999999996</v>
      </c>
      <c r="G50" s="178">
        <f t="shared" si="26"/>
        <v>337902.75</v>
      </c>
      <c r="H50" s="21">
        <f t="shared" si="27"/>
        <v>335577.93000000005</v>
      </c>
      <c r="I50" s="21">
        <f t="shared" si="27"/>
        <v>337120.62000000005</v>
      </c>
      <c r="J50" s="21">
        <f t="shared" si="27"/>
        <v>0</v>
      </c>
      <c r="K50" s="21">
        <f t="shared" si="27"/>
        <v>0</v>
      </c>
      <c r="L50" s="21">
        <f t="shared" si="27"/>
        <v>0</v>
      </c>
      <c r="M50" s="21">
        <f t="shared" si="27"/>
        <v>0</v>
      </c>
      <c r="N50" s="21">
        <f t="shared" si="27"/>
        <v>0</v>
      </c>
      <c r="O50" s="21">
        <f t="shared" si="27"/>
        <v>0</v>
      </c>
      <c r="P50" s="21"/>
      <c r="Q50" s="49">
        <f>SUM(D50:F50)</f>
        <v>1012373.22</v>
      </c>
      <c r="R50" s="49">
        <f>SUM(G50:I50)</f>
        <v>1010601.3</v>
      </c>
      <c r="S50" s="49">
        <f>SUM(J50:L50)</f>
        <v>0</v>
      </c>
      <c r="T50" s="49">
        <f>SUM(M50:O50)</f>
        <v>0</v>
      </c>
      <c r="U50" s="49">
        <f>SUM(D50:O50)</f>
        <v>2022974.52</v>
      </c>
    </row>
    <row r="51" spans="1:21">
      <c r="A51" s="46">
        <v>37</v>
      </c>
      <c r="B51" s="20" t="s">
        <v>25</v>
      </c>
      <c r="C51" s="46" t="str">
        <f>"("&amp;A49&amp;") - ("&amp;A50&amp;")"</f>
        <v>(35) - (36)</v>
      </c>
      <c r="D51" s="49">
        <f t="shared" ref="D51:O51" si="28">D49-D50</f>
        <v>1526045.7886800002</v>
      </c>
      <c r="E51" s="49">
        <f t="shared" si="28"/>
        <v>2010990.65206</v>
      </c>
      <c r="F51" s="49">
        <f t="shared" si="28"/>
        <v>1967746.4394399999</v>
      </c>
      <c r="G51" s="49">
        <f t="shared" si="28"/>
        <v>1151930.9109400001</v>
      </c>
      <c r="H51" s="50">
        <f t="shared" si="28"/>
        <v>741526.5948000002</v>
      </c>
      <c r="I51" s="49">
        <f t="shared" si="28"/>
        <v>506227.12343999982</v>
      </c>
      <c r="J51" s="49">
        <f t="shared" si="28"/>
        <v>0</v>
      </c>
      <c r="K51" s="49">
        <f t="shared" si="28"/>
        <v>0</v>
      </c>
      <c r="L51" s="49">
        <f t="shared" si="28"/>
        <v>0</v>
      </c>
      <c r="M51" s="49">
        <f t="shared" si="28"/>
        <v>0</v>
      </c>
      <c r="N51" s="49">
        <f t="shared" si="28"/>
        <v>0</v>
      </c>
      <c r="O51" s="49">
        <f t="shared" si="28"/>
        <v>0</v>
      </c>
      <c r="P51" s="49"/>
      <c r="Q51" s="49">
        <f>SUM(D51:F51)</f>
        <v>5504782.8801800003</v>
      </c>
      <c r="R51" s="49">
        <f>SUM(G51:I51)</f>
        <v>2399684.6291800002</v>
      </c>
      <c r="S51" s="49">
        <f>SUM(J51:L51)</f>
        <v>0</v>
      </c>
      <c r="T51" s="49">
        <f>SUM(M51:O51)</f>
        <v>0</v>
      </c>
      <c r="U51" s="49">
        <f>SUM(D51:O51)</f>
        <v>7904467.5093600005</v>
      </c>
    </row>
    <row r="52" spans="1:21">
      <c r="A52" s="46">
        <v>38</v>
      </c>
      <c r="B52" s="2" t="s">
        <v>34</v>
      </c>
      <c r="C52" s="46" t="str">
        <f>"("&amp;A51&amp;") / ("&amp;A44&amp;")"</f>
        <v>(37) / (31)</v>
      </c>
      <c r="D52" s="52">
        <f>D51/D44</f>
        <v>486.62174383928578</v>
      </c>
      <c r="E52" s="52">
        <f t="shared" ref="E52:O52" si="29">E51/E44</f>
        <v>641.87381170124479</v>
      </c>
      <c r="F52" s="52">
        <f t="shared" si="29"/>
        <v>629.8804223559539</v>
      </c>
      <c r="G52" s="52">
        <f t="shared" si="29"/>
        <v>366.97384865880855</v>
      </c>
      <c r="H52" s="145">
        <f t="shared" si="29"/>
        <v>237.97387509627734</v>
      </c>
      <c r="I52" s="52">
        <f t="shared" si="29"/>
        <v>162.30430376402688</v>
      </c>
      <c r="J52" s="52" t="e">
        <f t="shared" si="29"/>
        <v>#DIV/0!</v>
      </c>
      <c r="K52" s="52" t="e">
        <f t="shared" si="29"/>
        <v>#DIV/0!</v>
      </c>
      <c r="L52" s="52" t="e">
        <f t="shared" si="29"/>
        <v>#DIV/0!</v>
      </c>
      <c r="M52" s="52" t="e">
        <f t="shared" si="29"/>
        <v>#DIV/0!</v>
      </c>
      <c r="N52" s="52" t="e">
        <f t="shared" si="29"/>
        <v>#DIV/0!</v>
      </c>
      <c r="O52" s="52" t="e">
        <f t="shared" si="29"/>
        <v>#DIV/0!</v>
      </c>
      <c r="P52" s="52"/>
      <c r="Q52" s="96">
        <f>Q51/Q44</f>
        <v>586.0516214393698</v>
      </c>
      <c r="R52" s="96">
        <f>R51/R44</f>
        <v>255.9936664369533</v>
      </c>
      <c r="S52" s="96" t="e">
        <f>S51/S44</f>
        <v>#DIV/0!</v>
      </c>
      <c r="T52" s="96" t="e">
        <f>T51/T44</f>
        <v>#DIV/0!</v>
      </c>
      <c r="U52" s="96">
        <f>U51/U44</f>
        <v>421.18972181808499</v>
      </c>
    </row>
    <row r="53" spans="1:21">
      <c r="A53" s="46">
        <v>39</v>
      </c>
      <c r="B53" s="20" t="s">
        <v>27</v>
      </c>
      <c r="C53" s="46" t="str">
        <f>"("&amp;A46&amp;") - ("&amp;A51&amp;")"</f>
        <v>(33) - (37)</v>
      </c>
      <c r="D53" s="49">
        <f>D46-D51</f>
        <v>624534.85084596742</v>
      </c>
      <c r="E53" s="49">
        <f t="shared" ref="E53:O53" si="30">E46-E51</f>
        <v>13460.565462535946</v>
      </c>
      <c r="F53" s="49">
        <f t="shared" si="30"/>
        <v>-348581.87824619375</v>
      </c>
      <c r="G53" s="49">
        <f t="shared" si="30"/>
        <v>113055.71489661699</v>
      </c>
      <c r="H53" s="50">
        <f t="shared" si="30"/>
        <v>168330.0192623582</v>
      </c>
      <c r="I53" s="49">
        <f t="shared" si="30"/>
        <v>156436.25900006708</v>
      </c>
      <c r="J53" s="49">
        <f t="shared" si="30"/>
        <v>0</v>
      </c>
      <c r="K53" s="49">
        <f t="shared" si="30"/>
        <v>0</v>
      </c>
      <c r="L53" s="49">
        <f t="shared" si="30"/>
        <v>0</v>
      </c>
      <c r="M53" s="49">
        <f t="shared" si="30"/>
        <v>0</v>
      </c>
      <c r="N53" s="49">
        <f t="shared" si="30"/>
        <v>0</v>
      </c>
      <c r="O53" s="49">
        <f t="shared" si="30"/>
        <v>0</v>
      </c>
      <c r="P53" s="49"/>
      <c r="Q53" s="49">
        <f>SUM(D53:F53)</f>
        <v>289413.53806230961</v>
      </c>
      <c r="R53" s="49">
        <f>SUM(G53:I53)</f>
        <v>437821.99315904226</v>
      </c>
      <c r="S53" s="49">
        <f>SUM(J53:L53)</f>
        <v>0</v>
      </c>
      <c r="T53" s="49">
        <f>SUM(M53:O53)</f>
        <v>0</v>
      </c>
      <c r="U53" s="49">
        <f>SUM(D53:O53)</f>
        <v>727235.53122135182</v>
      </c>
    </row>
    <row r="54" spans="1:21">
      <c r="A54" s="46">
        <v>40</v>
      </c>
      <c r="B54" s="20" t="s">
        <v>28</v>
      </c>
      <c r="C54" s="46" t="s">
        <v>29</v>
      </c>
      <c r="D54" s="49">
        <f>D53*-0.044155</f>
        <v>-27576.336339103691</v>
      </c>
      <c r="E54" s="49">
        <f t="shared" ref="E54:O54" si="31">E53*-0.044155</f>
        <v>-594.35126799827469</v>
      </c>
      <c r="F54" s="49">
        <f t="shared" si="31"/>
        <v>15391.632833960684</v>
      </c>
      <c r="G54" s="49">
        <f t="shared" si="31"/>
        <v>-4991.975091260123</v>
      </c>
      <c r="H54" s="49">
        <f t="shared" si="31"/>
        <v>-7432.612000529426</v>
      </c>
      <c r="I54" s="49">
        <f t="shared" si="31"/>
        <v>-6907.4430161479613</v>
      </c>
      <c r="J54" s="49">
        <f t="shared" si="31"/>
        <v>0</v>
      </c>
      <c r="K54" s="49">
        <f t="shared" si="31"/>
        <v>0</v>
      </c>
      <c r="L54" s="49">
        <f t="shared" si="31"/>
        <v>0</v>
      </c>
      <c r="M54" s="49">
        <f t="shared" si="31"/>
        <v>0</v>
      </c>
      <c r="N54" s="49">
        <f t="shared" si="31"/>
        <v>0</v>
      </c>
      <c r="O54" s="49">
        <f t="shared" si="31"/>
        <v>0</v>
      </c>
      <c r="P54" s="49"/>
      <c r="Q54" s="49">
        <f>SUM(D54:F54)</f>
        <v>-12779.054773141281</v>
      </c>
      <c r="R54" s="49">
        <f>SUM(G54:I54)</f>
        <v>-19332.030107937509</v>
      </c>
      <c r="S54" s="49">
        <f>SUM(J54:L54)</f>
        <v>0</v>
      </c>
      <c r="T54" s="49">
        <f>SUM(M54:O54)</f>
        <v>0</v>
      </c>
      <c r="U54" s="49">
        <f>SUM(D54:O54)</f>
        <v>-32111.08488107879</v>
      </c>
    </row>
    <row r="55" spans="1:21" ht="14.45" customHeight="1">
      <c r="A55" s="46">
        <v>41</v>
      </c>
      <c r="B55" s="20"/>
      <c r="C55" s="46" t="s">
        <v>30</v>
      </c>
      <c r="D55" s="54">
        <f t="shared" ref="D55:O55" si="32">D29</f>
        <v>3.2500000000000001E-2</v>
      </c>
      <c r="E55" s="54">
        <f t="shared" si="32"/>
        <v>3.2500000000000001E-2</v>
      </c>
      <c r="F55" s="54">
        <f t="shared" si="32"/>
        <v>3.2500000000000001E-2</v>
      </c>
      <c r="G55" s="54">
        <f t="shared" si="32"/>
        <v>3.2500000000000001E-2</v>
      </c>
      <c r="H55" s="229">
        <f t="shared" si="32"/>
        <v>3.2500000000000001E-2</v>
      </c>
      <c r="I55" s="54">
        <f t="shared" si="32"/>
        <v>3.2500000000000001E-2</v>
      </c>
      <c r="J55" s="54">
        <f t="shared" si="32"/>
        <v>0</v>
      </c>
      <c r="K55" s="54">
        <f t="shared" si="32"/>
        <v>0</v>
      </c>
      <c r="L55" s="54">
        <f t="shared" si="32"/>
        <v>0</v>
      </c>
      <c r="M55" s="54">
        <f t="shared" si="32"/>
        <v>0</v>
      </c>
      <c r="N55" s="54">
        <f t="shared" si="32"/>
        <v>0</v>
      </c>
      <c r="O55" s="54">
        <f t="shared" si="32"/>
        <v>0</v>
      </c>
      <c r="P55" s="54"/>
      <c r="Q55" s="54"/>
      <c r="R55" s="54"/>
      <c r="S55" s="54"/>
      <c r="T55" s="54"/>
      <c r="U55" s="54"/>
    </row>
    <row r="56" spans="1:21">
      <c r="A56" s="46">
        <v>42</v>
      </c>
      <c r="B56" s="20" t="s">
        <v>31</v>
      </c>
      <c r="C56" s="46" t="s">
        <v>35</v>
      </c>
      <c r="D56" s="3">
        <f>(D53+D54)/2*D55/12</f>
        <v>808.38132172804478</v>
      </c>
      <c r="E56" s="3">
        <f>(D58+(E53+E54)/2)*E55/12</f>
        <v>1636.3750079242056</v>
      </c>
      <c r="F56" s="3">
        <f t="shared" ref="F56:O56" si="33">(E58+(F53+F54)/2)*F55/12</f>
        <v>1207.0347312967049</v>
      </c>
      <c r="G56" s="3">
        <f t="shared" si="33"/>
        <v>905.44497401798844</v>
      </c>
      <c r="H56" s="142">
        <f t="shared" si="33"/>
        <v>1272.1154408094344</v>
      </c>
      <c r="I56" s="3">
        <f t="shared" si="33"/>
        <v>1695.9295974402437</v>
      </c>
      <c r="J56" s="3">
        <f t="shared" si="33"/>
        <v>0</v>
      </c>
      <c r="K56" s="3">
        <f t="shared" si="33"/>
        <v>0</v>
      </c>
      <c r="L56" s="3">
        <f t="shared" si="33"/>
        <v>0</v>
      </c>
      <c r="M56" s="3">
        <f t="shared" si="33"/>
        <v>0</v>
      </c>
      <c r="N56" s="3">
        <f t="shared" si="33"/>
        <v>0</v>
      </c>
      <c r="O56" s="3">
        <f t="shared" si="33"/>
        <v>0</v>
      </c>
      <c r="P56" s="3"/>
      <c r="Q56" s="49">
        <f>SUM(D56:F56)</f>
        <v>3651.7910609489554</v>
      </c>
      <c r="R56" s="49">
        <f>SUM(G56:I56)</f>
        <v>3873.4900122676663</v>
      </c>
      <c r="S56" s="49">
        <f>SUM(J56:L56)</f>
        <v>0</v>
      </c>
      <c r="T56" s="49">
        <f>SUM(M56:O56)</f>
        <v>0</v>
      </c>
      <c r="U56" s="3">
        <f>SUM(D56:O56)</f>
        <v>7525.2810732166217</v>
      </c>
    </row>
    <row r="57" spans="1:21" ht="15.75" thickBot="1">
      <c r="A57" s="46">
        <v>43</v>
      </c>
      <c r="B57" s="4" t="s">
        <v>36</v>
      </c>
      <c r="C57" s="46"/>
      <c r="D57" s="6">
        <f>D53+D54+D56</f>
        <v>597766.89582859178</v>
      </c>
      <c r="E57" s="6">
        <f t="shared" ref="E57:O57" si="34">E53+E54+E56</f>
        <v>14502.589202461877</v>
      </c>
      <c r="F57" s="6">
        <f t="shared" si="34"/>
        <v>-331983.21068093635</v>
      </c>
      <c r="G57" s="6">
        <f t="shared" si="34"/>
        <v>108969.18477937485</v>
      </c>
      <c r="H57" s="6">
        <f t="shared" si="34"/>
        <v>162169.52270263821</v>
      </c>
      <c r="I57" s="6">
        <f t="shared" si="34"/>
        <v>151224.74558135934</v>
      </c>
      <c r="J57" s="6">
        <f t="shared" si="34"/>
        <v>0</v>
      </c>
      <c r="K57" s="6">
        <f t="shared" si="34"/>
        <v>0</v>
      </c>
      <c r="L57" s="6">
        <f t="shared" si="34"/>
        <v>0</v>
      </c>
      <c r="M57" s="6">
        <f t="shared" si="34"/>
        <v>0</v>
      </c>
      <c r="N57" s="6">
        <f t="shared" si="34"/>
        <v>0</v>
      </c>
      <c r="O57" s="6">
        <f t="shared" si="34"/>
        <v>0</v>
      </c>
      <c r="P57" s="6"/>
      <c r="Q57" s="51">
        <f>Q53+Q54+Q56</f>
        <v>280286.27435011731</v>
      </c>
      <c r="R57" s="51">
        <f>R53+R54+R56</f>
        <v>422363.45306337241</v>
      </c>
      <c r="S57" s="51">
        <f>S53+S54+S56</f>
        <v>0</v>
      </c>
      <c r="T57" s="51">
        <f>T53+T54+T56</f>
        <v>0</v>
      </c>
      <c r="U57" s="51">
        <f>U53+U54+U56</f>
        <v>702649.7274134896</v>
      </c>
    </row>
    <row r="58" spans="1:21" ht="15.75" thickBot="1">
      <c r="A58" s="46">
        <v>44</v>
      </c>
      <c r="B58" s="20" t="s">
        <v>178</v>
      </c>
      <c r="C58" s="46" t="str">
        <f>"Σ(("&amp;A53&amp;") ,("&amp;A54&amp;") , ("&amp;A56&amp;"))"</f>
        <v>Σ((39) ,(40) , (42))</v>
      </c>
      <c r="D58" s="49">
        <f>D53+D54+D56</f>
        <v>597766.89582859178</v>
      </c>
      <c r="E58" s="49">
        <f>D58+E53+E54+E56</f>
        <v>612269.48503105366</v>
      </c>
      <c r="F58" s="49">
        <f t="shared" ref="F58:O58" si="35">E58+F53+F54+F56</f>
        <v>280286.27435011731</v>
      </c>
      <c r="G58" s="49">
        <f t="shared" si="35"/>
        <v>389255.45912949217</v>
      </c>
      <c r="H58" s="50">
        <f t="shared" si="35"/>
        <v>551424.98183213035</v>
      </c>
      <c r="I58" s="49">
        <f t="shared" si="35"/>
        <v>702649.72741348983</v>
      </c>
      <c r="J58" s="49">
        <f t="shared" si="35"/>
        <v>702649.72741348983</v>
      </c>
      <c r="K58" s="49">
        <f t="shared" si="35"/>
        <v>702649.72741348983</v>
      </c>
      <c r="L58" s="49">
        <f t="shared" si="35"/>
        <v>702649.72741348983</v>
      </c>
      <c r="M58" s="49">
        <f t="shared" si="35"/>
        <v>702649.72741348983</v>
      </c>
      <c r="N58" s="49">
        <f t="shared" si="35"/>
        <v>702649.72741348983</v>
      </c>
      <c r="O58" s="90">
        <f t="shared" si="35"/>
        <v>702649.72741348983</v>
      </c>
      <c r="P58" s="16"/>
      <c r="Q58" s="50"/>
      <c r="R58" s="50"/>
      <c r="S58" s="50"/>
      <c r="T58" s="50"/>
    </row>
    <row r="59" spans="1:21" ht="15.75" thickBot="1">
      <c r="A59" s="46"/>
      <c r="B59" s="20"/>
      <c r="C59" s="20"/>
      <c r="D59" s="20"/>
      <c r="E59" s="20"/>
      <c r="F59" s="20"/>
      <c r="G59" s="20"/>
      <c r="H59" s="146"/>
      <c r="I59" s="20"/>
      <c r="J59" s="20"/>
      <c r="K59" s="20"/>
      <c r="L59" s="20"/>
      <c r="M59" s="20"/>
      <c r="N59" s="20"/>
      <c r="O59" s="20"/>
      <c r="P59" s="20"/>
      <c r="Q59" s="20"/>
      <c r="R59" s="20"/>
      <c r="S59" s="20"/>
      <c r="T59" s="20"/>
      <c r="U59" s="230"/>
    </row>
    <row r="60" spans="1:21" ht="15.75" thickBot="1">
      <c r="A60" s="1">
        <v>45</v>
      </c>
      <c r="B60" s="4" t="s">
        <v>181</v>
      </c>
      <c r="C60" s="1" t="str">
        <f>"("&amp;A31&amp;") + ("&amp;A58&amp;")"</f>
        <v>(21) + (44)</v>
      </c>
      <c r="D60" s="49">
        <f t="shared" ref="D60:O60" si="36">D32+D58</f>
        <v>1476828.2801410581</v>
      </c>
      <c r="E60" s="49">
        <f t="shared" si="36"/>
        <v>-316239.54863905557</v>
      </c>
      <c r="F60" s="49">
        <f t="shared" si="36"/>
        <v>144128.39948839601</v>
      </c>
      <c r="G60" s="49">
        <f t="shared" si="36"/>
        <v>1241678.0302854492</v>
      </c>
      <c r="H60" s="50">
        <f t="shared" si="36"/>
        <v>2260623.598716184</v>
      </c>
      <c r="I60" s="49">
        <f t="shared" si="36"/>
        <v>2722767.8255269672</v>
      </c>
      <c r="J60" s="49">
        <f t="shared" si="36"/>
        <v>2722767.8255269672</v>
      </c>
      <c r="K60" s="49">
        <f t="shared" si="36"/>
        <v>2722767.8255269672</v>
      </c>
      <c r="L60" s="49">
        <f t="shared" si="36"/>
        <v>2722767.8255269672</v>
      </c>
      <c r="M60" s="49">
        <f t="shared" si="36"/>
        <v>2722767.8255269672</v>
      </c>
      <c r="N60" s="49">
        <f t="shared" si="36"/>
        <v>2722767.8255269672</v>
      </c>
      <c r="O60" s="90">
        <f t="shared" si="36"/>
        <v>2722767.8255269672</v>
      </c>
      <c r="P60" s="16"/>
    </row>
    <row r="61" spans="1:21" ht="37.5" hidden="1" customHeight="1">
      <c r="A61" s="234" t="s">
        <v>195</v>
      </c>
      <c r="B61" s="234"/>
      <c r="C61" s="234"/>
      <c r="D61" s="234"/>
      <c r="E61" s="234"/>
      <c r="F61" s="234"/>
      <c r="G61" s="234"/>
      <c r="H61" s="234"/>
      <c r="I61" s="234"/>
      <c r="J61" s="234"/>
      <c r="K61" s="234"/>
      <c r="L61" s="234"/>
      <c r="M61" s="234"/>
      <c r="N61" s="234"/>
      <c r="O61" s="234"/>
      <c r="P61" s="234"/>
      <c r="Q61" s="234"/>
      <c r="R61" s="234"/>
      <c r="S61" s="234"/>
      <c r="T61" s="234"/>
      <c r="U61" s="234"/>
    </row>
  </sheetData>
  <mergeCells count="2">
    <mergeCell ref="A33:U33"/>
    <mergeCell ref="A61:U61"/>
  </mergeCells>
  <printOptions horizontalCentered="1"/>
  <pageMargins left="0.7" right="0.71" top="1.0900000000000001" bottom="0.75" header="0.5" footer="0.5"/>
  <pageSetup scale="75" firstPageNumber="3" fitToHeight="2" orientation="landscape" useFirstPageNumber="1" r:id="rId1"/>
  <headerFooter scaleWithDoc="0">
    <oddHeader>&amp;CAvista Corporation Decoupling Mechanism
Washington Jurisdiction
Quarterly Report for 2nd Quarter 2021</oddHeader>
    <oddFooter>&amp;Cfile: &amp;F / &amp;A&amp;RPage &amp;P of 13</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tabSelected="1" zoomScaleNormal="100" zoomScaleSheetLayoutView="115" workbookViewId="0">
      <selection activeCell="Q14" sqref="Q14"/>
    </sheetView>
  </sheetViews>
  <sheetFormatPr defaultRowHeight="15"/>
  <cols>
    <col min="1" max="1" width="7.28515625" customWidth="1"/>
    <col min="2" max="2" width="36.28515625" customWidth="1"/>
    <col min="3" max="3" width="6.28515625" customWidth="1"/>
    <col min="4" max="4" width="9.8554687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235" t="s">
        <v>41</v>
      </c>
      <c r="B1" s="235"/>
      <c r="C1" s="235"/>
      <c r="D1" s="235"/>
      <c r="E1" s="235"/>
      <c r="F1" s="235"/>
      <c r="G1" s="235"/>
      <c r="H1" s="235"/>
      <c r="I1" s="53"/>
      <c r="J1" s="53"/>
      <c r="K1" s="53"/>
    </row>
    <row r="2" spans="1:12" ht="19.149999999999999" customHeight="1">
      <c r="A2" s="53"/>
      <c r="B2" s="53"/>
      <c r="C2" s="53"/>
      <c r="D2" s="53"/>
      <c r="E2" s="53"/>
      <c r="F2" s="53"/>
      <c r="G2" s="53"/>
      <c r="H2" s="53"/>
      <c r="I2" s="53"/>
      <c r="J2" s="53"/>
      <c r="K2" s="53"/>
    </row>
    <row r="3" spans="1:12">
      <c r="A3" s="23" t="s">
        <v>42</v>
      </c>
      <c r="B3" s="53"/>
      <c r="C3" s="9" t="s">
        <v>111</v>
      </c>
      <c r="D3" s="53"/>
      <c r="E3" s="53"/>
      <c r="F3" s="53"/>
      <c r="G3" s="53"/>
      <c r="H3" s="53"/>
      <c r="I3" s="53"/>
      <c r="J3" s="53"/>
      <c r="K3" s="53"/>
    </row>
    <row r="4" spans="1:12">
      <c r="A4" s="238"/>
      <c r="B4" s="238"/>
      <c r="C4" s="238"/>
      <c r="D4" s="238"/>
      <c r="E4" s="238"/>
      <c r="F4" s="238"/>
      <c r="G4" s="238"/>
      <c r="H4" s="53"/>
      <c r="I4" s="53"/>
      <c r="J4" s="53"/>
      <c r="K4" s="53"/>
    </row>
    <row r="5" spans="1:12" ht="26.25">
      <c r="A5" s="69" t="s">
        <v>43</v>
      </c>
      <c r="B5" s="70" t="s">
        <v>44</v>
      </c>
      <c r="C5" s="71" t="s">
        <v>45</v>
      </c>
      <c r="D5" s="69" t="s">
        <v>46</v>
      </c>
      <c r="E5" s="69" t="s">
        <v>47</v>
      </c>
      <c r="F5" s="69" t="s">
        <v>48</v>
      </c>
      <c r="G5" s="69" t="s">
        <v>49</v>
      </c>
      <c r="H5" s="53"/>
      <c r="I5" s="237" t="s">
        <v>183</v>
      </c>
      <c r="J5" s="237"/>
      <c r="K5" s="22"/>
      <c r="L5" s="148"/>
    </row>
    <row r="6" spans="1:12" ht="14.45" customHeight="1">
      <c r="A6" s="25" t="s">
        <v>50</v>
      </c>
      <c r="B6" s="24" t="s">
        <v>51</v>
      </c>
      <c r="C6" s="26" t="s">
        <v>52</v>
      </c>
      <c r="D6" s="27" t="s">
        <v>214</v>
      </c>
      <c r="E6" s="28">
        <v>440275.97</v>
      </c>
      <c r="F6" s="29">
        <v>869448.03</v>
      </c>
      <c r="G6" s="28">
        <v>1309724</v>
      </c>
      <c r="H6" s="53"/>
      <c r="I6" s="17">
        <f>F6-'Interest Reconciliation'!C29-'Interest Reconciliation'!D29-'Interest Reconciliation'!C30-'Interest Reconciliation'!D30</f>
        <v>1.0000000069794623E-2</v>
      </c>
      <c r="J6" s="17">
        <f>G6-'Interest Reconciliation'!F30</f>
        <v>9.9999997764825821E-3</v>
      </c>
      <c r="K6" s="53"/>
    </row>
    <row r="7" spans="1:12">
      <c r="A7" s="30"/>
      <c r="B7" s="24" t="s">
        <v>51</v>
      </c>
      <c r="C7" s="31"/>
      <c r="D7" s="27" t="s">
        <v>215</v>
      </c>
      <c r="E7" s="28">
        <v>1309724</v>
      </c>
      <c r="F7" s="29">
        <v>317089.40000000002</v>
      </c>
      <c r="G7" s="28">
        <v>1626813.4</v>
      </c>
      <c r="H7" s="53"/>
      <c r="I7" s="17">
        <f>F7-'Interest Reconciliation'!C31-'Interest Reconciliation'!D31</f>
        <v>5.1386450650170445E-11</v>
      </c>
      <c r="J7" s="17">
        <f>G7-'Interest Reconciliation'!F31</f>
        <v>9.9999997764825821E-3</v>
      </c>
      <c r="K7" s="53"/>
    </row>
    <row r="8" spans="1:12">
      <c r="A8" s="30"/>
      <c r="B8" s="24" t="s">
        <v>51</v>
      </c>
      <c r="C8" s="32"/>
      <c r="D8" s="27" t="s">
        <v>216</v>
      </c>
      <c r="E8" s="28">
        <v>1626813.4</v>
      </c>
      <c r="F8" s="29">
        <v>-2167731.6</v>
      </c>
      <c r="G8" s="28">
        <v>-540918.19999999995</v>
      </c>
      <c r="H8" s="53"/>
      <c r="I8" s="17">
        <f>F8-'Interest Reconciliation'!C32-'Interest Reconciliation'!D32</f>
        <v>-2.4215296434704214E-10</v>
      </c>
      <c r="J8" s="17">
        <f>G8-'Interest Reconciliation'!F32</f>
        <v>9.9999997764825821E-3</v>
      </c>
      <c r="K8" s="53"/>
    </row>
    <row r="9" spans="1:12">
      <c r="A9" s="30"/>
      <c r="B9" s="61"/>
      <c r="C9" s="62"/>
      <c r="D9" s="61"/>
      <c r="E9" s="63"/>
      <c r="F9" s="64">
        <f>SUM(F6:F8)</f>
        <v>-981194.16999999993</v>
      </c>
      <c r="G9" s="63"/>
      <c r="H9" s="53"/>
      <c r="I9" s="17"/>
      <c r="J9" s="17"/>
      <c r="K9" s="53"/>
    </row>
    <row r="10" spans="1:12">
      <c r="A10" s="30"/>
      <c r="B10" s="24" t="s">
        <v>51</v>
      </c>
      <c r="C10" s="26" t="s">
        <v>53</v>
      </c>
      <c r="D10" s="27" t="s">
        <v>214</v>
      </c>
      <c r="E10" s="28">
        <v>-197337.84</v>
      </c>
      <c r="F10" s="29">
        <v>1049760.42</v>
      </c>
      <c r="G10" s="28">
        <v>852422.58</v>
      </c>
      <c r="H10" s="53"/>
      <c r="I10" s="17">
        <f>F10-'Interest Reconciliation'!L29-'Interest Reconciliation'!M29-'Interest Reconciliation'!L30-'Interest Reconciliation'!M30</f>
        <v>4.6611603465862572E-12</v>
      </c>
      <c r="J10" s="17">
        <f>G10-'Interest Reconciliation'!O30</f>
        <v>0</v>
      </c>
      <c r="K10" s="53"/>
      <c r="L10" s="17"/>
    </row>
    <row r="11" spans="1:12">
      <c r="A11" s="30"/>
      <c r="B11" s="24" t="s">
        <v>51</v>
      </c>
      <c r="C11" s="31"/>
      <c r="D11" s="27" t="s">
        <v>215</v>
      </c>
      <c r="E11" s="28">
        <v>852422.58</v>
      </c>
      <c r="F11" s="29">
        <v>856776.04</v>
      </c>
      <c r="G11" s="28">
        <v>1709198.62</v>
      </c>
      <c r="H11" s="53"/>
      <c r="I11" s="17">
        <f>F11-'Interest Reconciliation'!L31-'Interest Reconciliation'!M31</f>
        <v>4.1836756281554699E-11</v>
      </c>
      <c r="J11" s="17">
        <f>G11-'Interest Reconciliation'!O31</f>
        <v>0</v>
      </c>
      <c r="K11" s="53"/>
      <c r="L11" s="17"/>
    </row>
    <row r="12" spans="1:12">
      <c r="A12" s="30"/>
      <c r="B12" s="24" t="s">
        <v>51</v>
      </c>
      <c r="C12" s="32"/>
      <c r="D12" s="27" t="s">
        <v>216</v>
      </c>
      <c r="E12" s="28">
        <v>1709198.62</v>
      </c>
      <c r="F12" s="29">
        <v>310919.48</v>
      </c>
      <c r="G12" s="28">
        <v>2020118.1</v>
      </c>
      <c r="H12" s="53"/>
      <c r="I12" s="17">
        <f>F12-'Interest Reconciliation'!L32-'Interest Reconciliation'!M32</f>
        <v>-2.0918378140777349E-11</v>
      </c>
      <c r="J12" s="17">
        <f>G12-'Interest Reconciliation'!O32</f>
        <v>0</v>
      </c>
      <c r="K12" s="53"/>
      <c r="L12" s="17"/>
    </row>
    <row r="13" spans="1:12">
      <c r="A13" s="33"/>
      <c r="B13" s="61"/>
      <c r="C13" s="62"/>
      <c r="D13" s="61"/>
      <c r="E13" s="63"/>
      <c r="F13" s="64">
        <f>SUM(F10:F12)</f>
        <v>2217455.94</v>
      </c>
      <c r="G13" s="63"/>
      <c r="H13" s="53"/>
      <c r="I13" s="17"/>
      <c r="J13" s="17"/>
      <c r="K13" s="53"/>
    </row>
    <row r="14" spans="1:12" ht="14.45" customHeight="1">
      <c r="A14" s="65"/>
      <c r="B14" s="66"/>
      <c r="C14" s="65"/>
      <c r="D14" s="65"/>
      <c r="E14" s="67"/>
      <c r="F14" s="68">
        <f>F9+F13</f>
        <v>1236261.77</v>
      </c>
      <c r="G14" s="67"/>
      <c r="H14" s="53"/>
      <c r="I14" s="17"/>
      <c r="J14" s="17"/>
      <c r="K14" s="53"/>
    </row>
    <row r="15" spans="1:12" ht="14.45" customHeight="1">
      <c r="A15" s="25" t="s">
        <v>54</v>
      </c>
      <c r="B15" s="24" t="s">
        <v>55</v>
      </c>
      <c r="C15" s="26" t="s">
        <v>52</v>
      </c>
      <c r="D15" s="27" t="s">
        <v>214</v>
      </c>
      <c r="E15" s="28">
        <v>2630785.02</v>
      </c>
      <c r="F15" s="29">
        <v>604678.25</v>
      </c>
      <c r="G15" s="28">
        <v>3235463.27</v>
      </c>
      <c r="H15" s="53"/>
      <c r="I15" s="17">
        <f>F15-'Interest Reconciliation'!C46-'Interest Reconciliation'!D46-'Interest Reconciliation'!C47-'Interest Reconciliation'!D47</f>
        <v>-5.5479176808148623E-11</v>
      </c>
      <c r="J15" s="17">
        <f>G15-'Interest Reconciliation'!F47</f>
        <v>0</v>
      </c>
      <c r="K15" s="53"/>
    </row>
    <row r="16" spans="1:12">
      <c r="A16" s="30"/>
      <c r="B16" s="24" t="s">
        <v>55</v>
      </c>
      <c r="C16" s="31"/>
      <c r="D16" s="27" t="s">
        <v>215</v>
      </c>
      <c r="E16" s="28">
        <v>3235463.27</v>
      </c>
      <c r="F16" s="29">
        <v>-146944.51</v>
      </c>
      <c r="G16" s="28">
        <v>3088518.76</v>
      </c>
      <c r="H16" s="53"/>
      <c r="I16" s="17">
        <f>F16-'Interest Reconciliation'!C48-'Interest Reconciliation'!D48</f>
        <v>-1.4551915228366852E-11</v>
      </c>
      <c r="J16" s="17">
        <f>G16-'Interest Reconciliation'!F48</f>
        <v>0</v>
      </c>
      <c r="K16" s="53"/>
    </row>
    <row r="17" spans="1:12">
      <c r="A17" s="30"/>
      <c r="B17" s="24" t="s">
        <v>55</v>
      </c>
      <c r="C17" s="32"/>
      <c r="D17" s="27" t="s">
        <v>216</v>
      </c>
      <c r="E17" s="28">
        <v>3088518.76</v>
      </c>
      <c r="F17" s="29">
        <v>-1412612.66</v>
      </c>
      <c r="G17" s="28">
        <v>1675906.1</v>
      </c>
      <c r="H17" s="53"/>
      <c r="I17" s="17">
        <f>F17-'Interest Reconciliation'!C49-'Interest Reconciliation'!D49</f>
        <v>9.276845958083868E-11</v>
      </c>
      <c r="J17" s="17">
        <f>G17-'Interest Reconciliation'!F49</f>
        <v>0</v>
      </c>
      <c r="K17" s="53"/>
    </row>
    <row r="18" spans="1:12">
      <c r="A18" s="30"/>
      <c r="B18" s="61"/>
      <c r="C18" s="62"/>
      <c r="D18" s="61"/>
      <c r="E18" s="63"/>
      <c r="F18" s="64">
        <f>SUM(F15:F17)</f>
        <v>-954878.91999999993</v>
      </c>
      <c r="G18" s="63"/>
      <c r="H18" s="53"/>
      <c r="I18" s="17"/>
      <c r="J18" s="17"/>
      <c r="K18" s="53"/>
    </row>
    <row r="19" spans="1:12">
      <c r="A19" s="30"/>
      <c r="B19" s="24" t="s">
        <v>55</v>
      </c>
      <c r="C19" s="26" t="s">
        <v>53</v>
      </c>
      <c r="D19" s="27" t="s">
        <v>214</v>
      </c>
      <c r="E19" s="28">
        <v>264300.71999999997</v>
      </c>
      <c r="F19" s="29">
        <v>124954.72</v>
      </c>
      <c r="G19" s="28">
        <v>389255.44</v>
      </c>
      <c r="H19" s="53"/>
      <c r="I19" s="17">
        <f>F19-'Interest Reconciliation'!L46-'Interest Reconciliation'!M46-'Interest Reconciliation'!L47-'Interest Reconciliation'!M47</f>
        <v>2.2737367544323206E-12</v>
      </c>
      <c r="J19" s="17">
        <f>G19-'Interest Reconciliation'!O47</f>
        <v>0</v>
      </c>
      <c r="K19" s="53"/>
      <c r="L19" s="17"/>
    </row>
    <row r="20" spans="1:12">
      <c r="A20" s="30"/>
      <c r="B20" s="24" t="s">
        <v>55</v>
      </c>
      <c r="C20" s="31"/>
      <c r="D20" s="27" t="s">
        <v>215</v>
      </c>
      <c r="E20" s="28">
        <v>389255.44</v>
      </c>
      <c r="F20" s="29">
        <v>162169.53</v>
      </c>
      <c r="G20" s="28">
        <v>551424.97</v>
      </c>
      <c r="H20" s="53"/>
      <c r="I20" s="17">
        <f>F20-'Interest Reconciliation'!L48-'Interest Reconciliation'!M48</f>
        <v>-4.5474735088646412E-12</v>
      </c>
      <c r="J20" s="193">
        <f>G20-'Interest Reconciliation'!O48</f>
        <v>0</v>
      </c>
      <c r="K20" s="53"/>
      <c r="L20" s="17"/>
    </row>
    <row r="21" spans="1:12">
      <c r="A21" s="30"/>
      <c r="B21" s="24" t="s">
        <v>55</v>
      </c>
      <c r="C21" s="32"/>
      <c r="D21" s="27" t="s">
        <v>216</v>
      </c>
      <c r="E21" s="28">
        <v>551424.97</v>
      </c>
      <c r="F21" s="29">
        <v>151224.75</v>
      </c>
      <c r="G21" s="28">
        <v>702649.72</v>
      </c>
      <c r="H21" s="53"/>
      <c r="I21" s="17">
        <f>F21-'Interest Reconciliation'!L49-'Interest Reconciliation'!M49</f>
        <v>-7.0485839387401938E-12</v>
      </c>
      <c r="J21" s="17">
        <f>G21-'Interest Reconciliation'!O49</f>
        <v>0</v>
      </c>
      <c r="K21" s="53"/>
      <c r="L21" s="17"/>
    </row>
    <row r="22" spans="1:12">
      <c r="A22" s="33"/>
      <c r="B22" s="61"/>
      <c r="C22" s="62"/>
      <c r="D22" s="61"/>
      <c r="E22" s="63"/>
      <c r="F22" s="64">
        <f>SUM(F19:F21)</f>
        <v>438349</v>
      </c>
      <c r="G22" s="63"/>
      <c r="H22" s="53"/>
      <c r="I22" s="17"/>
      <c r="J22" s="17"/>
      <c r="K22" s="53"/>
    </row>
    <row r="23" spans="1:12">
      <c r="A23" s="65"/>
      <c r="B23" s="66"/>
      <c r="C23" s="65"/>
      <c r="D23" s="65"/>
      <c r="E23" s="67"/>
      <c r="F23" s="68">
        <f>F18+F22</f>
        <v>-516529.91999999993</v>
      </c>
      <c r="G23" s="67"/>
      <c r="H23" s="53"/>
      <c r="I23" s="17"/>
      <c r="J23" s="17"/>
      <c r="K23" s="53"/>
    </row>
    <row r="24" spans="1:12">
      <c r="A24" s="10"/>
      <c r="B24" s="10"/>
      <c r="C24" s="10"/>
      <c r="D24" s="10"/>
      <c r="E24" s="11"/>
      <c r="F24" s="12"/>
      <c r="G24" s="11"/>
      <c r="H24" s="53"/>
      <c r="I24" s="17"/>
      <c r="J24" s="17"/>
      <c r="K24" s="53"/>
    </row>
    <row r="25" spans="1:12">
      <c r="A25" s="23" t="s">
        <v>42</v>
      </c>
      <c r="B25" s="53"/>
      <c r="C25" s="112" t="s">
        <v>156</v>
      </c>
      <c r="D25" s="53"/>
      <c r="E25" s="53"/>
      <c r="F25" s="53"/>
      <c r="G25" s="53"/>
      <c r="H25" s="53"/>
      <c r="I25" s="17"/>
      <c r="J25" s="17"/>
      <c r="K25" s="53"/>
    </row>
    <row r="26" spans="1:12">
      <c r="A26" s="53"/>
      <c r="B26" s="53"/>
      <c r="C26" s="53"/>
      <c r="D26" s="53"/>
      <c r="E26" s="53"/>
      <c r="F26" s="53"/>
      <c r="G26" s="53"/>
      <c r="H26" s="53"/>
      <c r="I26" s="17"/>
      <c r="J26" s="17"/>
      <c r="K26" s="53"/>
    </row>
    <row r="27" spans="1:12" ht="26.25">
      <c r="A27" s="69" t="s">
        <v>43</v>
      </c>
      <c r="B27" s="70" t="s">
        <v>44</v>
      </c>
      <c r="C27" s="71" t="s">
        <v>45</v>
      </c>
      <c r="D27" s="69" t="s">
        <v>46</v>
      </c>
      <c r="E27" s="69" t="s">
        <v>47</v>
      </c>
      <c r="F27" s="69" t="s">
        <v>48</v>
      </c>
      <c r="G27" s="69" t="s">
        <v>49</v>
      </c>
      <c r="H27" s="53"/>
      <c r="I27" s="17"/>
      <c r="J27" s="17"/>
      <c r="K27" s="53"/>
    </row>
    <row r="28" spans="1:12">
      <c r="A28" s="25" t="s">
        <v>88</v>
      </c>
      <c r="B28" s="24" t="s">
        <v>89</v>
      </c>
      <c r="C28" s="26" t="s">
        <v>52</v>
      </c>
      <c r="D28" s="27" t="s">
        <v>214</v>
      </c>
      <c r="E28" s="28">
        <v>-817339.37</v>
      </c>
      <c r="F28" s="29">
        <v>-2213.63</v>
      </c>
      <c r="G28" s="28">
        <v>-819553</v>
      </c>
      <c r="H28" s="53"/>
      <c r="I28" s="17">
        <f>F28-'Interest Reconciliation'!C66-'Interest Reconciliation'!D66</f>
        <v>0</v>
      </c>
      <c r="J28" s="17">
        <f>G28-'Interest Reconciliation'!F66</f>
        <v>0</v>
      </c>
      <c r="K28" s="53"/>
    </row>
    <row r="29" spans="1:12">
      <c r="A29" s="30"/>
      <c r="B29" s="24" t="s">
        <v>89</v>
      </c>
      <c r="C29" s="31"/>
      <c r="D29" s="27" t="s">
        <v>215</v>
      </c>
      <c r="E29" s="28">
        <v>-819553</v>
      </c>
      <c r="F29" s="29">
        <v>-2219.62</v>
      </c>
      <c r="G29" s="28">
        <v>-821772.62</v>
      </c>
      <c r="H29" s="53"/>
      <c r="I29" s="17">
        <f>F29-'Interest Reconciliation'!C67-'Interest Reconciliation'!D67</f>
        <v>0</v>
      </c>
      <c r="J29" s="17">
        <f>G29-'Interest Reconciliation'!F67</f>
        <v>0</v>
      </c>
      <c r="K29" s="53"/>
    </row>
    <row r="30" spans="1:12">
      <c r="A30" s="30"/>
      <c r="B30" s="24" t="s">
        <v>89</v>
      </c>
      <c r="C30" s="32"/>
      <c r="D30" s="27" t="s">
        <v>216</v>
      </c>
      <c r="E30" s="28">
        <v>-821772.62</v>
      </c>
      <c r="F30" s="29">
        <v>-2225.63</v>
      </c>
      <c r="G30" s="28">
        <v>-823998.25</v>
      </c>
      <c r="H30" s="53"/>
      <c r="I30" s="17">
        <f>F30-'Interest Reconciliation'!C68-'Interest Reconciliation'!D68</f>
        <v>0</v>
      </c>
      <c r="J30" s="17">
        <f>G30-'Interest Reconciliation'!F68</f>
        <v>0</v>
      </c>
      <c r="K30" s="53"/>
    </row>
    <row r="31" spans="1:12">
      <c r="A31" s="30"/>
      <c r="B31" s="61"/>
      <c r="C31" s="62"/>
      <c r="D31" s="61"/>
      <c r="E31" s="63"/>
      <c r="F31" s="64">
        <f>SUM(F28:F30)</f>
        <v>-6658.88</v>
      </c>
      <c r="G31" s="63"/>
      <c r="H31" s="53"/>
      <c r="I31" s="17"/>
      <c r="J31" s="17"/>
      <c r="K31" s="53"/>
    </row>
    <row r="32" spans="1:12" s="53" customFormat="1">
      <c r="A32" s="30"/>
      <c r="B32" s="24" t="s">
        <v>89</v>
      </c>
      <c r="C32" s="26" t="s">
        <v>53</v>
      </c>
      <c r="D32" s="27" t="s">
        <v>214</v>
      </c>
      <c r="E32" s="28">
        <v>1184006.3</v>
      </c>
      <c r="F32" s="29">
        <v>3206.68</v>
      </c>
      <c r="G32" s="28">
        <v>1187212.98</v>
      </c>
      <c r="I32" s="17">
        <f>F32-'Interest Reconciliation'!L66-'Interest Reconciliation'!M66</f>
        <v>0</v>
      </c>
      <c r="J32" s="17">
        <f>G32-'Interest Reconciliation'!O66</f>
        <v>0</v>
      </c>
      <c r="L32" s="17"/>
    </row>
    <row r="33" spans="1:12" s="53" customFormat="1">
      <c r="A33" s="30"/>
      <c r="B33" s="24" t="s">
        <v>89</v>
      </c>
      <c r="C33" s="31"/>
      <c r="D33" s="27" t="s">
        <v>215</v>
      </c>
      <c r="E33" s="28">
        <v>1187212.98</v>
      </c>
      <c r="F33" s="29">
        <v>3215.37</v>
      </c>
      <c r="G33" s="28">
        <v>1190428.3500000001</v>
      </c>
      <c r="I33" s="17">
        <f>F33-'Interest Reconciliation'!L67-'Interest Reconciliation'!M67</f>
        <v>0</v>
      </c>
      <c r="J33" s="17">
        <f>G33-'Interest Reconciliation'!O67</f>
        <v>0</v>
      </c>
      <c r="L33" s="17"/>
    </row>
    <row r="34" spans="1:12" s="53" customFormat="1">
      <c r="A34" s="30"/>
      <c r="B34" s="24" t="s">
        <v>89</v>
      </c>
      <c r="C34" s="32"/>
      <c r="D34" s="27" t="s">
        <v>216</v>
      </c>
      <c r="E34" s="28">
        <v>1190428.3500000001</v>
      </c>
      <c r="F34" s="29">
        <v>3224.08</v>
      </c>
      <c r="G34" s="28">
        <v>1193652.43</v>
      </c>
      <c r="I34" s="17">
        <f>F34-'Interest Reconciliation'!L68-'Interest Reconciliation'!M68</f>
        <v>0</v>
      </c>
      <c r="J34" s="17">
        <f>G34-'Interest Reconciliation'!O68</f>
        <v>0</v>
      </c>
      <c r="L34" s="17"/>
    </row>
    <row r="35" spans="1:12" s="53" customFormat="1">
      <c r="A35" s="33"/>
      <c r="B35" s="61"/>
      <c r="C35" s="62"/>
      <c r="D35" s="61"/>
      <c r="E35" s="63"/>
      <c r="F35" s="64">
        <f>SUM(F32:F34)</f>
        <v>9646.1299999999992</v>
      </c>
      <c r="G35" s="63"/>
      <c r="I35" s="17"/>
      <c r="J35" s="17"/>
    </row>
    <row r="36" spans="1:12" s="53" customFormat="1">
      <c r="A36" s="65"/>
      <c r="B36" s="66"/>
      <c r="C36" s="65"/>
      <c r="D36" s="65"/>
      <c r="E36" s="67"/>
      <c r="F36" s="68">
        <f>F31+F35</f>
        <v>2987.2499999999991</v>
      </c>
      <c r="G36" s="67"/>
      <c r="I36" s="17"/>
      <c r="J36" s="17"/>
    </row>
    <row r="37" spans="1:12" s="53" customFormat="1">
      <c r="A37" s="25" t="s">
        <v>90</v>
      </c>
      <c r="B37" s="24" t="s">
        <v>91</v>
      </c>
      <c r="C37" s="26" t="s">
        <v>52</v>
      </c>
      <c r="D37" s="27" t="s">
        <v>214</v>
      </c>
      <c r="E37" s="28">
        <v>11354971.060000001</v>
      </c>
      <c r="F37" s="29">
        <v>30753.05</v>
      </c>
      <c r="G37" s="28">
        <v>11385724.109999999</v>
      </c>
      <c r="I37" s="17">
        <f>F37-'Interest Reconciliation'!C84-'Interest Reconciliation'!D84</f>
        <v>0</v>
      </c>
      <c r="J37" s="17">
        <f>G37-'Interest Reconciliation'!F84</f>
        <v>0</v>
      </c>
    </row>
    <row r="38" spans="1:12" s="53" customFormat="1">
      <c r="A38" s="30"/>
      <c r="B38" s="24" t="s">
        <v>91</v>
      </c>
      <c r="C38" s="31"/>
      <c r="D38" s="27" t="s">
        <v>215</v>
      </c>
      <c r="E38" s="28">
        <v>11385724.109999999</v>
      </c>
      <c r="F38" s="29">
        <v>30836.34</v>
      </c>
      <c r="G38" s="28">
        <v>11416560.449999999</v>
      </c>
      <c r="I38" s="17">
        <f>F38-'Interest Reconciliation'!C85-'Interest Reconciliation'!D85</f>
        <v>0</v>
      </c>
      <c r="J38" s="17">
        <f>G38-'Interest Reconciliation'!F85</f>
        <v>0</v>
      </c>
    </row>
    <row r="39" spans="1:12" s="53" customFormat="1">
      <c r="A39" s="30"/>
      <c r="B39" s="24" t="s">
        <v>91</v>
      </c>
      <c r="C39" s="32"/>
      <c r="D39" s="27" t="s">
        <v>216</v>
      </c>
      <c r="E39" s="28">
        <v>11416560.449999999</v>
      </c>
      <c r="F39" s="29">
        <v>30919.85</v>
      </c>
      <c r="G39" s="28">
        <v>11447480.300000001</v>
      </c>
      <c r="I39" s="17">
        <f>F39-'Interest Reconciliation'!C86-'Interest Reconciliation'!D86</f>
        <v>0</v>
      </c>
      <c r="J39" s="17">
        <f>G39-'Interest Reconciliation'!F86</f>
        <v>0</v>
      </c>
    </row>
    <row r="40" spans="1:12" s="53" customFormat="1">
      <c r="A40" s="30"/>
      <c r="B40" s="61"/>
      <c r="C40" s="62"/>
      <c r="D40" s="61"/>
      <c r="E40" s="63"/>
      <c r="F40" s="64">
        <f>SUM(F37:F39)</f>
        <v>92509.239999999991</v>
      </c>
      <c r="G40" s="63"/>
      <c r="I40" s="17"/>
      <c r="J40" s="17"/>
    </row>
    <row r="41" spans="1:12" s="53" customFormat="1" ht="18" customHeight="1">
      <c r="A41" s="30"/>
      <c r="B41" s="24" t="s">
        <v>91</v>
      </c>
      <c r="C41" s="26" t="s">
        <v>53</v>
      </c>
      <c r="D41" s="27" t="s">
        <v>214</v>
      </c>
      <c r="E41" s="28">
        <v>448626.09</v>
      </c>
      <c r="F41" s="29">
        <v>1215.03</v>
      </c>
      <c r="G41" s="28">
        <v>449841.12</v>
      </c>
      <c r="I41" s="17">
        <f>F41-'Interest Reconciliation'!L84-'Interest Reconciliation'!M84</f>
        <v>0</v>
      </c>
      <c r="J41" s="17">
        <f>G41-'Interest Reconciliation'!O84</f>
        <v>0</v>
      </c>
      <c r="L41" s="17"/>
    </row>
    <row r="42" spans="1:12" s="53" customFormat="1">
      <c r="A42" s="30"/>
      <c r="B42" s="24" t="s">
        <v>91</v>
      </c>
      <c r="C42" s="31"/>
      <c r="D42" s="27" t="s">
        <v>215</v>
      </c>
      <c r="E42" s="28">
        <v>449841.12</v>
      </c>
      <c r="F42" s="29">
        <v>1218.32</v>
      </c>
      <c r="G42" s="28">
        <v>451059.44</v>
      </c>
      <c r="I42" s="17">
        <f>F42-'Interest Reconciliation'!L85-'Interest Reconciliation'!M85</f>
        <v>0</v>
      </c>
      <c r="J42" s="17">
        <f>G42-'Interest Reconciliation'!O85</f>
        <v>0</v>
      </c>
      <c r="L42" s="17"/>
    </row>
    <row r="43" spans="1:12" s="53" customFormat="1" ht="18" customHeight="1">
      <c r="A43" s="30"/>
      <c r="B43" s="24" t="s">
        <v>91</v>
      </c>
      <c r="C43" s="32"/>
      <c r="D43" s="27" t="s">
        <v>216</v>
      </c>
      <c r="E43" s="28">
        <v>451059.44</v>
      </c>
      <c r="F43" s="29">
        <v>1221.6199999999999</v>
      </c>
      <c r="G43" s="28">
        <v>452281.06</v>
      </c>
      <c r="I43" s="17">
        <f>F43-'Interest Reconciliation'!L86-'Interest Reconciliation'!M86</f>
        <v>0</v>
      </c>
      <c r="J43" s="17">
        <f>G43-'Interest Reconciliation'!O86</f>
        <v>0</v>
      </c>
      <c r="L43" s="17"/>
    </row>
    <row r="44" spans="1:12" s="53" customFormat="1" ht="18" customHeight="1">
      <c r="A44" s="33"/>
      <c r="B44" s="61"/>
      <c r="C44" s="62"/>
      <c r="D44" s="61"/>
      <c r="E44" s="63"/>
      <c r="F44" s="64">
        <f>SUM(F41:F43)</f>
        <v>3654.97</v>
      </c>
      <c r="G44" s="63"/>
    </row>
    <row r="45" spans="1:12" s="53" customFormat="1" ht="18" customHeight="1">
      <c r="A45" s="65"/>
      <c r="B45" s="66"/>
      <c r="C45" s="65"/>
      <c r="D45" s="65"/>
      <c r="E45" s="67"/>
      <c r="F45" s="68">
        <f>F40+F44</f>
        <v>96164.209999999992</v>
      </c>
      <c r="G45" s="67"/>
    </row>
    <row r="46" spans="1:12" s="53" customFormat="1" ht="14.45" customHeight="1"/>
    <row r="47" spans="1:12" s="53" customFormat="1">
      <c r="A47" s="23" t="s">
        <v>42</v>
      </c>
      <c r="C47" s="112" t="s">
        <v>116</v>
      </c>
    </row>
    <row r="48" spans="1:12" s="53" customFormat="1">
      <c r="C48" s="113" t="s">
        <v>117</v>
      </c>
    </row>
    <row r="49" spans="1:12" s="53" customFormat="1">
      <c r="A49" s="213"/>
      <c r="B49" s="213"/>
      <c r="C49" s="213"/>
      <c r="D49" s="213"/>
      <c r="E49" s="213"/>
      <c r="F49" s="213"/>
      <c r="G49" s="213"/>
    </row>
    <row r="50" spans="1:12" s="53" customFormat="1" ht="25.5">
      <c r="A50" s="127" t="s">
        <v>43</v>
      </c>
      <c r="B50" s="107" t="s">
        <v>44</v>
      </c>
      <c r="C50" s="108" t="s">
        <v>45</v>
      </c>
      <c r="D50" s="109" t="s">
        <v>46</v>
      </c>
      <c r="E50" s="110" t="s">
        <v>47</v>
      </c>
      <c r="F50" s="109" t="s">
        <v>48</v>
      </c>
      <c r="G50" s="109" t="s">
        <v>49</v>
      </c>
    </row>
    <row r="51" spans="1:12" s="53" customFormat="1">
      <c r="A51" s="129" t="s">
        <v>56</v>
      </c>
      <c r="B51" s="24" t="s">
        <v>57</v>
      </c>
      <c r="C51" s="26" t="s">
        <v>52</v>
      </c>
      <c r="D51" s="27" t="s">
        <v>214</v>
      </c>
      <c r="E51" s="28">
        <v>1428501.49</v>
      </c>
      <c r="F51" s="29">
        <v>-405559.78</v>
      </c>
      <c r="G51" s="28">
        <v>1022941.71</v>
      </c>
      <c r="I51" s="17">
        <f>F51-'Interest Reconciliation'!C101-'Interest Reconciliation'!D101-'Interest Reconciliation'!E101</f>
        <v>0</v>
      </c>
      <c r="J51" s="17">
        <f>G51-'Interest Reconciliation'!F101</f>
        <v>0</v>
      </c>
    </row>
    <row r="52" spans="1:12" s="53" customFormat="1">
      <c r="A52" s="130"/>
      <c r="B52" s="24" t="s">
        <v>57</v>
      </c>
      <c r="C52" s="31"/>
      <c r="D52" s="27" t="s">
        <v>215</v>
      </c>
      <c r="E52" s="28">
        <v>1022941.71</v>
      </c>
      <c r="F52" s="29">
        <v>-383165.42</v>
      </c>
      <c r="G52" s="28">
        <v>639776.29</v>
      </c>
      <c r="I52" s="17">
        <f>F52-'Interest Reconciliation'!C102-'Interest Reconciliation'!D102-'Interest Reconciliation'!E102</f>
        <v>0</v>
      </c>
      <c r="J52" s="17">
        <f>G52-'Interest Reconciliation'!F102</f>
        <v>0</v>
      </c>
    </row>
    <row r="53" spans="1:12" s="53" customFormat="1">
      <c r="A53" s="130"/>
      <c r="B53" s="24" t="s">
        <v>57</v>
      </c>
      <c r="C53" s="32"/>
      <c r="D53" s="27" t="s">
        <v>216</v>
      </c>
      <c r="E53" s="28">
        <v>639776.29</v>
      </c>
      <c r="F53" s="29">
        <v>-454910.19</v>
      </c>
      <c r="G53" s="28">
        <v>184866.1</v>
      </c>
      <c r="I53" s="17">
        <f>F53-'Interest Reconciliation'!C103-'Interest Reconciliation'!D103-'Interest Reconciliation'!E103</f>
        <v>0</v>
      </c>
      <c r="J53" s="17">
        <f>G53-'Interest Reconciliation'!F103</f>
        <v>2.6193447411060333E-10</v>
      </c>
    </row>
    <row r="54" spans="1:12">
      <c r="A54" s="130"/>
      <c r="B54" s="61"/>
      <c r="C54" s="61"/>
      <c r="D54" s="61"/>
      <c r="E54" s="63"/>
      <c r="F54" s="64">
        <f>SUM(F51:F53)</f>
        <v>-1243635.3899999999</v>
      </c>
      <c r="G54" s="63"/>
      <c r="H54" s="53"/>
      <c r="I54" s="53"/>
      <c r="J54" s="53"/>
      <c r="K54" s="53"/>
    </row>
    <row r="55" spans="1:12">
      <c r="A55" s="130"/>
      <c r="B55" s="24" t="s">
        <v>57</v>
      </c>
      <c r="C55" s="26" t="s">
        <v>53</v>
      </c>
      <c r="D55" s="27" t="s">
        <v>214</v>
      </c>
      <c r="E55" s="28">
        <v>0</v>
      </c>
      <c r="F55" s="29">
        <v>0</v>
      </c>
      <c r="G55" s="28">
        <v>0</v>
      </c>
      <c r="H55" s="53"/>
      <c r="I55" s="17">
        <f>F55-'Interest Reconciliation'!L101-'Interest Reconciliation'!M101-'Interest Reconciliation'!N101</f>
        <v>0</v>
      </c>
      <c r="J55" s="17">
        <f>G55-'Interest Reconciliation'!O101</f>
        <v>0</v>
      </c>
      <c r="K55" s="53"/>
      <c r="L55" s="17"/>
    </row>
    <row r="56" spans="1:12">
      <c r="A56" s="130"/>
      <c r="B56" s="24" t="s">
        <v>57</v>
      </c>
      <c r="C56" s="31"/>
      <c r="D56" s="27" t="s">
        <v>215</v>
      </c>
      <c r="E56" s="28">
        <v>0</v>
      </c>
      <c r="F56" s="29">
        <v>0</v>
      </c>
      <c r="G56" s="28">
        <v>0</v>
      </c>
      <c r="H56" s="53"/>
      <c r="I56" s="17">
        <f>F56-'Interest Reconciliation'!L102-'Interest Reconciliation'!M102-'Interest Reconciliation'!N102</f>
        <v>0</v>
      </c>
      <c r="J56" s="17">
        <f>G56-'Interest Reconciliation'!O102</f>
        <v>0</v>
      </c>
      <c r="K56" s="53"/>
      <c r="L56" s="17"/>
    </row>
    <row r="57" spans="1:12">
      <c r="A57" s="130"/>
      <c r="B57" s="24" t="s">
        <v>57</v>
      </c>
      <c r="C57" s="32"/>
      <c r="D57" s="27" t="s">
        <v>216</v>
      </c>
      <c r="E57" s="28">
        <v>0</v>
      </c>
      <c r="F57" s="29">
        <v>0</v>
      </c>
      <c r="G57" s="28">
        <v>0</v>
      </c>
      <c r="H57" s="53"/>
      <c r="I57" s="17">
        <f>F57-'Interest Reconciliation'!L103-'Interest Reconciliation'!M103-'Interest Reconciliation'!N103</f>
        <v>0</v>
      </c>
      <c r="J57" s="17">
        <f>G57-'Interest Reconciliation'!O103</f>
        <v>0</v>
      </c>
      <c r="K57" s="53"/>
      <c r="L57" s="17"/>
    </row>
    <row r="58" spans="1:12">
      <c r="A58" s="131"/>
      <c r="B58" s="61"/>
      <c r="C58" s="61"/>
      <c r="D58" s="61"/>
      <c r="E58" s="63"/>
      <c r="F58" s="64">
        <f>SUM(F55:F57)</f>
        <v>0</v>
      </c>
      <c r="G58" s="63"/>
      <c r="H58" s="53"/>
      <c r="I58" s="17"/>
      <c r="J58" s="17"/>
      <c r="K58" s="53"/>
    </row>
    <row r="59" spans="1:12">
      <c r="A59" s="128"/>
      <c r="B59" s="65"/>
      <c r="C59" s="119"/>
      <c r="D59" s="65"/>
      <c r="E59" s="67"/>
      <c r="F59" s="68">
        <f>F54+F58</f>
        <v>-1243635.3899999999</v>
      </c>
      <c r="G59" s="67"/>
      <c r="H59" s="53"/>
      <c r="I59" s="17"/>
      <c r="J59" s="17"/>
      <c r="K59" s="53"/>
    </row>
    <row r="60" spans="1:12" s="53" customFormat="1">
      <c r="A60" s="150"/>
      <c r="B60" s="24" t="s">
        <v>57</v>
      </c>
      <c r="C60" s="133" t="s">
        <v>52</v>
      </c>
      <c r="D60" s="120" t="s">
        <v>214</v>
      </c>
      <c r="E60" s="28">
        <v>4852352.22</v>
      </c>
      <c r="F60" s="29">
        <v>-531067.52</v>
      </c>
      <c r="G60" s="28">
        <v>4321284.7</v>
      </c>
      <c r="I60" s="17">
        <f>F60-'Interest Reconciliation'!C117-'Interest Reconciliation'!D117-'Interest Reconciliation'!E117</f>
        <v>0</v>
      </c>
      <c r="J60" s="17">
        <f>G60-'Interest Reconciliation'!F117</f>
        <v>0</v>
      </c>
    </row>
    <row r="61" spans="1:12" s="53" customFormat="1">
      <c r="A61" s="134"/>
      <c r="B61" s="24" t="s">
        <v>57</v>
      </c>
      <c r="C61" s="134"/>
      <c r="D61" s="121" t="s">
        <v>215</v>
      </c>
      <c r="E61" s="28">
        <v>4321284.7</v>
      </c>
      <c r="F61" s="29">
        <v>-609879.56999999995</v>
      </c>
      <c r="G61" s="28">
        <v>3711405.13</v>
      </c>
      <c r="I61" s="17">
        <f>F61-'Interest Reconciliation'!C118-'Interest Reconciliation'!D118-'Interest Reconciliation'!E118</f>
        <v>0</v>
      </c>
      <c r="J61" s="17">
        <f>G61-'Interest Reconciliation'!F118</f>
        <v>0</v>
      </c>
    </row>
    <row r="62" spans="1:12" s="53" customFormat="1">
      <c r="A62" s="134"/>
      <c r="B62" s="24" t="s">
        <v>57</v>
      </c>
      <c r="C62" s="135"/>
      <c r="D62" s="121" t="s">
        <v>216</v>
      </c>
      <c r="E62" s="28">
        <v>3711405.13</v>
      </c>
      <c r="F62" s="29">
        <v>-719141.39</v>
      </c>
      <c r="G62" s="28">
        <v>2992263.74</v>
      </c>
      <c r="I62" s="17">
        <f>F62-'Interest Reconciliation'!C119-'Interest Reconciliation'!D119-'Interest Reconciliation'!E119</f>
        <v>0</v>
      </c>
      <c r="J62" s="17">
        <f>G62-'Interest Reconciliation'!F119</f>
        <v>0</v>
      </c>
    </row>
    <row r="63" spans="1:12" s="53" customFormat="1">
      <c r="A63" s="134"/>
      <c r="B63" s="61"/>
      <c r="C63" s="132"/>
      <c r="D63" s="61"/>
      <c r="E63" s="63"/>
      <c r="F63" s="64">
        <f>SUM(F60:F62)</f>
        <v>-1860088.48</v>
      </c>
      <c r="G63" s="63"/>
      <c r="I63" s="17"/>
      <c r="J63" s="17"/>
    </row>
    <row r="64" spans="1:12" s="19" customFormat="1">
      <c r="A64" s="130" t="s">
        <v>109</v>
      </c>
      <c r="B64" s="24" t="s">
        <v>91</v>
      </c>
      <c r="C64" s="26" t="s">
        <v>53</v>
      </c>
      <c r="D64" s="27" t="s">
        <v>214</v>
      </c>
      <c r="E64" s="28">
        <v>54163.97</v>
      </c>
      <c r="F64" s="29">
        <v>-16123.71</v>
      </c>
      <c r="G64" s="28">
        <v>38040.26</v>
      </c>
      <c r="H64" s="53"/>
      <c r="I64" s="17">
        <f>F64-'Interest Reconciliation'!L117-'Interest Reconciliation'!M117-'Interest Reconciliation'!N117</f>
        <v>0</v>
      </c>
      <c r="J64" s="17">
        <f>G64-'Interest Reconciliation'!O117</f>
        <v>0</v>
      </c>
      <c r="K64" s="53"/>
      <c r="L64" s="17"/>
    </row>
    <row r="65" spans="1:13" s="19" customFormat="1">
      <c r="A65" s="130"/>
      <c r="B65" s="24" t="s">
        <v>91</v>
      </c>
      <c r="C65" s="31"/>
      <c r="D65" s="27" t="s">
        <v>215</v>
      </c>
      <c r="E65" s="28">
        <v>38040.26</v>
      </c>
      <c r="F65" s="29">
        <v>-11321.51</v>
      </c>
      <c r="G65" s="28">
        <v>26718.75</v>
      </c>
      <c r="H65" s="53"/>
      <c r="I65" s="17">
        <f>F65-'Interest Reconciliation'!L118-'Interest Reconciliation'!M118-'Interest Reconciliation'!N118</f>
        <v>0</v>
      </c>
      <c r="J65" s="17">
        <f>G65-'Interest Reconciliation'!O118</f>
        <v>0</v>
      </c>
      <c r="K65" s="53"/>
      <c r="L65" s="17"/>
    </row>
    <row r="66" spans="1:13">
      <c r="A66" s="130"/>
      <c r="B66" s="24" t="s">
        <v>91</v>
      </c>
      <c r="C66" s="32"/>
      <c r="D66" s="27" t="s">
        <v>216</v>
      </c>
      <c r="E66" s="28">
        <v>26718.75</v>
      </c>
      <c r="F66" s="29">
        <v>-7839.31</v>
      </c>
      <c r="G66" s="28">
        <v>18879.439999999999</v>
      </c>
      <c r="H66" s="53"/>
      <c r="I66" s="17">
        <f>F66-'Interest Reconciliation'!L119-'Interest Reconciliation'!M119-'Interest Reconciliation'!N119</f>
        <v>0</v>
      </c>
      <c r="J66" s="17">
        <f>G66-'Interest Reconciliation'!O119</f>
        <v>0</v>
      </c>
      <c r="K66" s="53"/>
      <c r="L66" s="17"/>
    </row>
    <row r="67" spans="1:13">
      <c r="A67" s="131"/>
      <c r="B67" s="61"/>
      <c r="C67" s="61"/>
      <c r="D67" s="61"/>
      <c r="E67" s="63"/>
      <c r="F67" s="64">
        <f>SUM(F64:F66)</f>
        <v>-35284.53</v>
      </c>
      <c r="G67" s="63"/>
      <c r="H67" s="53"/>
      <c r="I67" s="53"/>
      <c r="J67" s="53"/>
      <c r="K67" s="53"/>
      <c r="L67" s="13"/>
      <c r="M67" s="13"/>
    </row>
    <row r="68" spans="1:13">
      <c r="A68" s="149"/>
      <c r="B68" s="65"/>
      <c r="C68" s="65"/>
      <c r="D68" s="65"/>
      <c r="E68" s="67"/>
      <c r="F68" s="68">
        <f>F63+F67</f>
        <v>-1895373.01</v>
      </c>
      <c r="G68" s="67"/>
      <c r="H68" s="53"/>
      <c r="I68" s="53"/>
      <c r="J68" s="53"/>
      <c r="K68" s="53"/>
      <c r="L68" s="13"/>
      <c r="M68" s="13"/>
    </row>
    <row r="69" spans="1:13">
      <c r="A69" s="23" t="s">
        <v>42</v>
      </c>
      <c r="B69" s="22"/>
      <c r="C69" s="34" t="s">
        <v>118</v>
      </c>
      <c r="D69" s="22"/>
      <c r="E69" s="22"/>
      <c r="F69" s="22"/>
      <c r="G69" s="22"/>
      <c r="H69" s="53"/>
      <c r="I69" s="53"/>
      <c r="J69" s="53"/>
      <c r="K69" s="53"/>
      <c r="L69" s="13"/>
      <c r="M69" s="13"/>
    </row>
    <row r="70" spans="1:13" s="53" customFormat="1">
      <c r="A70" s="213"/>
      <c r="B70" s="213"/>
      <c r="C70" s="213"/>
      <c r="D70" s="213"/>
      <c r="E70" s="213"/>
      <c r="F70" s="213"/>
      <c r="G70" s="213"/>
      <c r="L70" s="13"/>
      <c r="M70" s="13"/>
    </row>
    <row r="71" spans="1:13" ht="25.5">
      <c r="A71" s="106" t="s">
        <v>43</v>
      </c>
      <c r="B71" s="107" t="s">
        <v>44</v>
      </c>
      <c r="C71" s="108" t="s">
        <v>45</v>
      </c>
      <c r="D71" s="109" t="s">
        <v>46</v>
      </c>
      <c r="E71" s="110" t="s">
        <v>47</v>
      </c>
      <c r="F71" s="109" t="s">
        <v>48</v>
      </c>
      <c r="G71" s="109" t="s">
        <v>49</v>
      </c>
      <c r="H71" s="53"/>
      <c r="I71" s="53"/>
      <c r="J71" s="53"/>
      <c r="K71" s="53"/>
    </row>
    <row r="72" spans="1:13" s="53" customFormat="1">
      <c r="A72" s="25">
        <v>254328</v>
      </c>
      <c r="B72" s="24" t="s">
        <v>136</v>
      </c>
      <c r="C72" s="26" t="s">
        <v>52</v>
      </c>
      <c r="D72" s="27" t="s">
        <v>214</v>
      </c>
      <c r="E72" s="28">
        <v>0</v>
      </c>
      <c r="F72" s="29">
        <v>0</v>
      </c>
      <c r="G72" s="28">
        <v>0</v>
      </c>
      <c r="I72" s="17">
        <f>F72-'Interest Reconciliation'!C133-'Interest Reconciliation'!D133-'Interest Reconciliation'!E133</f>
        <v>0</v>
      </c>
      <c r="J72" s="17">
        <f>G72-'Interest Reconciliation'!F133</f>
        <v>0</v>
      </c>
    </row>
    <row r="73" spans="1:13" s="53" customFormat="1">
      <c r="A73" s="130"/>
      <c r="B73" s="24" t="s">
        <v>136</v>
      </c>
      <c r="C73" s="31"/>
      <c r="D73" s="27" t="s">
        <v>215</v>
      </c>
      <c r="E73" s="28">
        <v>0</v>
      </c>
      <c r="F73" s="29">
        <v>0</v>
      </c>
      <c r="G73" s="28">
        <v>0</v>
      </c>
      <c r="I73" s="17">
        <f>F73-'Interest Reconciliation'!C134-'Interest Reconciliation'!D134-'Interest Reconciliation'!E134</f>
        <v>0</v>
      </c>
      <c r="J73" s="17">
        <f>G73-'Interest Reconciliation'!F134</f>
        <v>0</v>
      </c>
    </row>
    <row r="74" spans="1:13" s="53" customFormat="1">
      <c r="A74" s="130"/>
      <c r="B74" s="24" t="s">
        <v>136</v>
      </c>
      <c r="C74" s="32"/>
      <c r="D74" s="27" t="s">
        <v>216</v>
      </c>
      <c r="E74" s="28">
        <v>0</v>
      </c>
      <c r="F74" s="29">
        <v>0</v>
      </c>
      <c r="G74" s="28">
        <v>0</v>
      </c>
      <c r="I74" s="17">
        <f>F74-'Interest Reconciliation'!C135-'Interest Reconciliation'!D135-'Interest Reconciliation'!E135</f>
        <v>0</v>
      </c>
      <c r="J74" s="17">
        <f>G74-'Interest Reconciliation'!F135</f>
        <v>0</v>
      </c>
    </row>
    <row r="75" spans="1:13" s="53" customFormat="1">
      <c r="A75" s="130"/>
      <c r="B75" s="61"/>
      <c r="C75" s="61"/>
      <c r="D75" s="61"/>
      <c r="E75" s="63"/>
      <c r="F75" s="64">
        <f>SUM(F72:F74)</f>
        <v>0</v>
      </c>
      <c r="G75" s="63"/>
      <c r="I75" s="147"/>
    </row>
    <row r="76" spans="1:13" s="53" customFormat="1">
      <c r="A76" s="130"/>
      <c r="B76" s="24" t="s">
        <v>136</v>
      </c>
      <c r="C76" s="26" t="s">
        <v>53</v>
      </c>
      <c r="D76" s="27" t="s">
        <v>214</v>
      </c>
      <c r="E76" s="28">
        <v>-135038.64000000001</v>
      </c>
      <c r="F76" s="29">
        <v>58439.38</v>
      </c>
      <c r="G76" s="28">
        <v>-76599.259999999995</v>
      </c>
      <c r="I76" s="17">
        <f>F76-'Interest Reconciliation'!L133-'Interest Reconciliation'!M133-'Interest Reconciliation'!N133</f>
        <v>0</v>
      </c>
      <c r="J76" s="17">
        <f>G76-'Interest Reconciliation'!O133</f>
        <v>0</v>
      </c>
      <c r="L76" s="17"/>
    </row>
    <row r="77" spans="1:13" s="53" customFormat="1">
      <c r="A77" s="130"/>
      <c r="B77" s="24" t="s">
        <v>136</v>
      </c>
      <c r="C77" s="31"/>
      <c r="D77" s="27" t="s">
        <v>215</v>
      </c>
      <c r="E77" s="28">
        <v>-76599.259999999995</v>
      </c>
      <c r="F77" s="29">
        <v>29093.72</v>
      </c>
      <c r="G77" s="28">
        <v>-47505.54</v>
      </c>
      <c r="I77" s="17">
        <f>F77-'Interest Reconciliation'!L134-'Interest Reconciliation'!M134-'Interest Reconciliation'!N134</f>
        <v>0</v>
      </c>
      <c r="J77" s="17">
        <f>G77-'Interest Reconciliation'!O134</f>
        <v>0</v>
      </c>
      <c r="L77" s="17"/>
    </row>
    <row r="78" spans="1:13" s="53" customFormat="1">
      <c r="A78" s="130"/>
      <c r="B78" s="24" t="s">
        <v>136</v>
      </c>
      <c r="C78" s="32"/>
      <c r="D78" s="27" t="s">
        <v>216</v>
      </c>
      <c r="E78" s="28">
        <v>-47505.54</v>
      </c>
      <c r="F78" s="29">
        <v>17881.849999999999</v>
      </c>
      <c r="G78" s="28">
        <v>-29623.69</v>
      </c>
      <c r="I78" s="17">
        <f>F78-'Interest Reconciliation'!L135-'Interest Reconciliation'!M135-'Interest Reconciliation'!N135</f>
        <v>0</v>
      </c>
      <c r="J78" s="17">
        <f>G78-'Interest Reconciliation'!O135</f>
        <v>4.0017766878008842E-11</v>
      </c>
      <c r="L78" s="17"/>
    </row>
    <row r="79" spans="1:13" s="53" customFormat="1">
      <c r="A79" s="131"/>
      <c r="B79" s="61"/>
      <c r="C79" s="61"/>
      <c r="D79" s="61"/>
      <c r="E79" s="63"/>
      <c r="F79" s="64">
        <f>SUM(F76:F78)</f>
        <v>105414.95000000001</v>
      </c>
      <c r="G79" s="63"/>
      <c r="I79" s="17"/>
      <c r="J79" s="17"/>
    </row>
    <row r="80" spans="1:13" s="53" customFormat="1">
      <c r="A80" s="128"/>
      <c r="B80" s="65"/>
      <c r="C80" s="119"/>
      <c r="D80" s="65"/>
      <c r="E80" s="67"/>
      <c r="F80" s="68">
        <f>F75+F79</f>
        <v>105414.95000000001</v>
      </c>
      <c r="G80" s="67"/>
      <c r="I80" s="17"/>
      <c r="J80" s="17"/>
    </row>
    <row r="81" spans="1:15">
      <c r="A81" s="129" t="s">
        <v>114</v>
      </c>
      <c r="B81" s="24" t="s">
        <v>115</v>
      </c>
      <c r="C81" s="26" t="s">
        <v>52</v>
      </c>
      <c r="D81" s="27" t="s">
        <v>214</v>
      </c>
      <c r="E81" s="28">
        <v>0</v>
      </c>
      <c r="F81" s="29">
        <v>0</v>
      </c>
      <c r="G81" s="28">
        <v>0</v>
      </c>
      <c r="H81" s="53"/>
      <c r="I81" s="17">
        <f>F81-'Interest Reconciliation'!C149-'Interest Reconciliation'!D149-'Interest Reconciliation'!E149</f>
        <v>0</v>
      </c>
      <c r="J81" s="17">
        <f>G81-'Interest Reconciliation'!F149</f>
        <v>0</v>
      </c>
      <c r="K81" s="53"/>
    </row>
    <row r="82" spans="1:15" ht="15.75">
      <c r="A82" s="130"/>
      <c r="B82" s="24" t="s">
        <v>115</v>
      </c>
      <c r="C82" s="31"/>
      <c r="D82" s="27" t="s">
        <v>215</v>
      </c>
      <c r="E82" s="28">
        <v>0</v>
      </c>
      <c r="F82" s="29">
        <v>0</v>
      </c>
      <c r="G82" s="28">
        <v>0</v>
      </c>
      <c r="H82" s="111"/>
      <c r="I82" s="17">
        <f>F82-'Interest Reconciliation'!C150-'Interest Reconciliation'!D150-'Interest Reconciliation'!E150</f>
        <v>0</v>
      </c>
      <c r="J82" s="17">
        <f>G82-'Interest Reconciliation'!F150</f>
        <v>0</v>
      </c>
      <c r="K82" s="53"/>
    </row>
    <row r="83" spans="1:15" s="19" customFormat="1" ht="15.75">
      <c r="A83" s="130"/>
      <c r="B83" s="24" t="s">
        <v>115</v>
      </c>
      <c r="C83" s="32"/>
      <c r="D83" s="27" t="s">
        <v>216</v>
      </c>
      <c r="E83" s="28">
        <v>0</v>
      </c>
      <c r="F83" s="29">
        <v>0</v>
      </c>
      <c r="G83" s="28">
        <v>0</v>
      </c>
      <c r="H83" s="111"/>
      <c r="I83" s="17">
        <f>F83-'Interest Reconciliation'!C151-'Interest Reconciliation'!D151-'Interest Reconciliation'!E151</f>
        <v>0</v>
      </c>
      <c r="J83" s="17">
        <f>G83-'Interest Reconciliation'!F151</f>
        <v>0</v>
      </c>
      <c r="K83" s="53"/>
    </row>
    <row r="84" spans="1:15">
      <c r="A84" s="130"/>
      <c r="B84" s="61"/>
      <c r="C84" s="61"/>
      <c r="D84" s="61"/>
      <c r="E84" s="63"/>
      <c r="F84" s="64">
        <f>SUM(F81:F83)</f>
        <v>0</v>
      </c>
      <c r="G84" s="63"/>
      <c r="H84" s="53"/>
      <c r="I84" s="17"/>
      <c r="J84" s="17"/>
      <c r="K84" s="53"/>
    </row>
    <row r="85" spans="1:15">
      <c r="A85" s="130"/>
      <c r="B85" s="24" t="s">
        <v>115</v>
      </c>
      <c r="C85" s="26" t="s">
        <v>53</v>
      </c>
      <c r="D85" s="27" t="s">
        <v>214</v>
      </c>
      <c r="E85" s="28">
        <v>0</v>
      </c>
      <c r="F85" s="29">
        <v>0</v>
      </c>
      <c r="G85" s="28">
        <v>0</v>
      </c>
      <c r="H85" s="53"/>
      <c r="I85" s="17">
        <f>F85-'Interest Reconciliation'!L149-'Interest Reconciliation'!M149-'Interest Reconciliation'!N149</f>
        <v>0</v>
      </c>
      <c r="J85" s="17">
        <f>G85-'Interest Reconciliation'!O149</f>
        <v>0</v>
      </c>
      <c r="K85" s="53"/>
      <c r="L85" s="17"/>
    </row>
    <row r="86" spans="1:15" s="53" customFormat="1">
      <c r="A86" s="130"/>
      <c r="B86" s="24" t="s">
        <v>115</v>
      </c>
      <c r="C86" s="31"/>
      <c r="D86" s="27" t="s">
        <v>215</v>
      </c>
      <c r="E86" s="28">
        <v>0</v>
      </c>
      <c r="F86" s="29">
        <v>0</v>
      </c>
      <c r="G86" s="28">
        <v>0</v>
      </c>
      <c r="I86" s="17">
        <f>F86-'Interest Reconciliation'!L150-'Interest Reconciliation'!M150-'Interest Reconciliation'!N150</f>
        <v>0</v>
      </c>
      <c r="J86" s="17">
        <f>G86-'Interest Reconciliation'!O150</f>
        <v>0</v>
      </c>
      <c r="L86" s="17"/>
    </row>
    <row r="87" spans="1:15" s="53" customFormat="1">
      <c r="A87" s="130"/>
      <c r="B87" s="24" t="s">
        <v>115</v>
      </c>
      <c r="C87" s="32"/>
      <c r="D87" s="27" t="s">
        <v>216</v>
      </c>
      <c r="E87" s="28">
        <v>0</v>
      </c>
      <c r="F87" s="29">
        <v>0</v>
      </c>
      <c r="G87" s="28">
        <v>0</v>
      </c>
      <c r="I87" s="17">
        <f>F87-'Interest Reconciliation'!L151-'Interest Reconciliation'!M151-'Interest Reconciliation'!N151</f>
        <v>0</v>
      </c>
      <c r="J87" s="17">
        <f>G87-'Interest Reconciliation'!O151</f>
        <v>0</v>
      </c>
      <c r="L87" s="17"/>
    </row>
    <row r="88" spans="1:15" s="53" customFormat="1">
      <c r="A88" s="131"/>
      <c r="B88" s="61"/>
      <c r="C88" s="61"/>
      <c r="D88" s="61"/>
      <c r="E88" s="63"/>
      <c r="F88" s="64">
        <f>SUM(F85:F87)</f>
        <v>0</v>
      </c>
      <c r="G88" s="63"/>
    </row>
    <row r="89" spans="1:15" s="53" customFormat="1">
      <c r="A89" s="128"/>
      <c r="B89" s="65"/>
      <c r="C89" s="119"/>
      <c r="D89" s="65"/>
      <c r="E89" s="67"/>
      <c r="F89" s="68">
        <f>F84+F88</f>
        <v>0</v>
      </c>
      <c r="G89" s="67"/>
    </row>
    <row r="90" spans="1:15">
      <c r="A90" s="53"/>
      <c r="B90" s="53"/>
      <c r="C90" s="53"/>
      <c r="D90" s="53"/>
      <c r="E90" s="53"/>
      <c r="F90" s="53"/>
      <c r="G90" s="53"/>
      <c r="H90" s="53"/>
      <c r="I90" s="53"/>
      <c r="J90" s="53"/>
      <c r="K90" s="53"/>
    </row>
    <row r="91" spans="1:15">
      <c r="A91" s="23" t="s">
        <v>42</v>
      </c>
      <c r="B91" s="22"/>
      <c r="C91" s="112" t="s">
        <v>112</v>
      </c>
      <c r="D91" s="22"/>
      <c r="E91" s="22"/>
      <c r="F91" s="22"/>
      <c r="G91" s="22"/>
      <c r="H91" s="53"/>
      <c r="I91" s="53"/>
      <c r="J91" s="53"/>
      <c r="K91" s="53"/>
    </row>
    <row r="92" spans="1:15">
      <c r="A92" s="22"/>
      <c r="B92" s="22"/>
      <c r="C92" s="22"/>
      <c r="D92" s="22"/>
      <c r="E92" s="22"/>
      <c r="F92" s="22"/>
      <c r="G92" s="22"/>
      <c r="H92" s="53"/>
      <c r="I92" s="53"/>
      <c r="J92" s="53"/>
      <c r="K92" s="53"/>
    </row>
    <row r="93" spans="1:15" s="53" customFormat="1" ht="31.15" customHeight="1">
      <c r="A93" s="69" t="s">
        <v>43</v>
      </c>
      <c r="B93" s="70" t="s">
        <v>44</v>
      </c>
      <c r="C93" s="71" t="s">
        <v>45</v>
      </c>
      <c r="D93" s="69" t="s">
        <v>46</v>
      </c>
      <c r="E93" s="69" t="s">
        <v>47</v>
      </c>
      <c r="F93" s="69" t="s">
        <v>48</v>
      </c>
      <c r="G93" s="69" t="s">
        <v>49</v>
      </c>
      <c r="J93" s="236" t="s">
        <v>135</v>
      </c>
      <c r="K93" s="236"/>
    </row>
    <row r="94" spans="1:15">
      <c r="A94" s="25" t="s">
        <v>58</v>
      </c>
      <c r="B94" s="24" t="s">
        <v>59</v>
      </c>
      <c r="C94" s="26" t="s">
        <v>52</v>
      </c>
      <c r="D94" s="27" t="s">
        <v>214</v>
      </c>
      <c r="E94" s="28">
        <v>-4176804.72</v>
      </c>
      <c r="F94" s="29">
        <v>-118868.06</v>
      </c>
      <c r="G94" s="28">
        <v>-4295672.78</v>
      </c>
      <c r="H94" s="53"/>
      <c r="I94" s="13"/>
      <c r="J94" s="125">
        <f>(G6+G15+G28+G37+G51+G60+G72+G81+G174+G183)*-0.21</f>
        <v>-4295672.8059</v>
      </c>
      <c r="K94" s="125">
        <f>J94-G94</f>
        <v>-2.5899999774992466E-2</v>
      </c>
      <c r="O94" s="13"/>
    </row>
    <row r="95" spans="1:15">
      <c r="A95" s="30"/>
      <c r="B95" s="24" t="s">
        <v>59</v>
      </c>
      <c r="C95" s="31"/>
      <c r="D95" s="27" t="s">
        <v>215</v>
      </c>
      <c r="E95" s="28">
        <v>-4295672.78</v>
      </c>
      <c r="F95" s="29">
        <v>166799.51</v>
      </c>
      <c r="G95" s="28">
        <v>-4128873.27</v>
      </c>
      <c r="H95" s="53"/>
      <c r="I95" s="13"/>
      <c r="J95" s="125">
        <f>(G7+G16+G29+G38+G52+G61+G73+G82+G175+G184)*-0.21</f>
        <v>-4128873.296099999</v>
      </c>
      <c r="K95" s="125">
        <f>J95-G95</f>
        <v>-2.6099998969584703E-2</v>
      </c>
    </row>
    <row r="96" spans="1:15">
      <c r="A96" s="30"/>
      <c r="B96" s="24" t="s">
        <v>59</v>
      </c>
      <c r="C96" s="32"/>
      <c r="D96" s="27" t="s">
        <v>216</v>
      </c>
      <c r="E96" s="28">
        <v>-4128873.27</v>
      </c>
      <c r="F96" s="29">
        <v>992397.34</v>
      </c>
      <c r="G96" s="28">
        <v>-3136475.93</v>
      </c>
      <c r="H96" s="122"/>
      <c r="I96" s="13"/>
      <c r="J96" s="125">
        <f>(G8+G17+G30+G39+G53+G62+G74+G83+G176+G185)*-0.21</f>
        <v>-3136475.9558999999</v>
      </c>
      <c r="K96" s="125">
        <f>J96-G96</f>
        <v>-2.5899999774992466E-2</v>
      </c>
    </row>
    <row r="97" spans="1:11" s="53" customFormat="1">
      <c r="A97" s="30"/>
      <c r="B97" s="61"/>
      <c r="C97" s="62"/>
      <c r="D97" s="61"/>
      <c r="E97" s="63"/>
      <c r="F97" s="64">
        <f>SUM(F94:F96)</f>
        <v>1040328.79</v>
      </c>
      <c r="G97" s="63"/>
    </row>
    <row r="98" spans="1:11">
      <c r="A98" s="30"/>
      <c r="B98" s="24" t="s">
        <v>59</v>
      </c>
      <c r="C98" s="26" t="s">
        <v>53</v>
      </c>
      <c r="D98" s="27" t="s">
        <v>214</v>
      </c>
      <c r="E98" s="28">
        <v>-339931.47</v>
      </c>
      <c r="F98" s="29">
        <v>-256505.03</v>
      </c>
      <c r="G98" s="28">
        <v>-596436.5</v>
      </c>
      <c r="H98" s="53"/>
      <c r="I98" s="53"/>
      <c r="J98" s="125">
        <f>(G10+G19+G32+G41+G55+G64+G76+G85+G178+G187)*-0.21</f>
        <v>-596436.35519999999</v>
      </c>
      <c r="K98" s="125">
        <f>J98-G98</f>
        <v>0.14480000000912696</v>
      </c>
    </row>
    <row r="99" spans="1:11">
      <c r="A99" s="30"/>
      <c r="B99" s="24" t="s">
        <v>59</v>
      </c>
      <c r="C99" s="31"/>
      <c r="D99" s="27" t="s">
        <v>215</v>
      </c>
      <c r="E99" s="28">
        <v>-596436.5</v>
      </c>
      <c r="F99" s="29">
        <v>-218641.81</v>
      </c>
      <c r="G99" s="28">
        <v>-815078.31</v>
      </c>
      <c r="H99" s="53"/>
      <c r="I99" s="53"/>
      <c r="J99" s="125">
        <f>(G11+G20+G33+G42+G56+G65+G77+G86+G179+G188)*-0.21</f>
        <v>-815078.16389999993</v>
      </c>
      <c r="K99" s="125">
        <f>J99-G99</f>
        <v>0.14610000012908131</v>
      </c>
    </row>
    <row r="100" spans="1:11">
      <c r="A100" s="30"/>
      <c r="B100" s="24" t="s">
        <v>59</v>
      </c>
      <c r="C100" s="32"/>
      <c r="D100" s="27" t="s">
        <v>216</v>
      </c>
      <c r="E100" s="28">
        <v>-815078.31</v>
      </c>
      <c r="F100" s="29">
        <v>-100092.82</v>
      </c>
      <c r="G100" s="28">
        <v>-915171.13</v>
      </c>
      <c r="H100" s="122"/>
      <c r="I100" s="53"/>
      <c r="J100" s="125">
        <f>(G12+G21+G34+G43+G57+G66+G78+G87+G180+G189)*-0.21</f>
        <v>-915170.98259999987</v>
      </c>
      <c r="K100" s="125">
        <f>J100-G100</f>
        <v>0.14740000013262033</v>
      </c>
    </row>
    <row r="101" spans="1:11" s="53" customFormat="1">
      <c r="A101" s="33"/>
      <c r="B101" s="61"/>
      <c r="C101" s="62"/>
      <c r="D101" s="61"/>
      <c r="E101" s="63"/>
      <c r="F101" s="64">
        <f>SUM(F98:F100)</f>
        <v>-575239.65999999992</v>
      </c>
      <c r="G101" s="63"/>
    </row>
    <row r="102" spans="1:11">
      <c r="A102" s="65"/>
      <c r="B102" s="66"/>
      <c r="C102" s="65"/>
      <c r="D102" s="65"/>
      <c r="E102" s="67"/>
      <c r="F102" s="68">
        <f>F97+F101</f>
        <v>465089.13000000012</v>
      </c>
      <c r="G102" s="67"/>
      <c r="H102" s="53"/>
      <c r="I102" s="53"/>
      <c r="J102" s="53"/>
      <c r="K102" s="53"/>
    </row>
    <row r="103" spans="1:11" s="53" customFormat="1">
      <c r="A103" s="102"/>
      <c r="B103" s="105"/>
      <c r="C103" s="102"/>
      <c r="D103" s="102"/>
      <c r="E103" s="103"/>
      <c r="F103" s="104"/>
      <c r="G103" s="103"/>
    </row>
    <row r="104" spans="1:11" s="53" customFormat="1" ht="15.75">
      <c r="A104" s="235" t="s">
        <v>60</v>
      </c>
      <c r="B104" s="235"/>
      <c r="C104" s="235"/>
      <c r="D104" s="235"/>
      <c r="E104" s="235"/>
      <c r="F104" s="235"/>
      <c r="G104" s="235"/>
    </row>
    <row r="105" spans="1:11" s="53" customFormat="1" ht="15.75">
      <c r="A105" s="111"/>
      <c r="B105" s="111"/>
      <c r="C105" s="111"/>
      <c r="D105" s="111"/>
      <c r="E105" s="111"/>
      <c r="F105" s="111"/>
      <c r="G105" s="111"/>
    </row>
    <row r="106" spans="1:11" s="53" customFormat="1">
      <c r="A106" s="23" t="s">
        <v>42</v>
      </c>
      <c r="B106" s="22"/>
      <c r="C106" s="9" t="s">
        <v>111</v>
      </c>
      <c r="D106" s="22"/>
      <c r="E106" s="22"/>
      <c r="F106" s="22"/>
      <c r="G106" s="22"/>
    </row>
    <row r="107" spans="1:11" s="53" customFormat="1">
      <c r="A107" s="238"/>
      <c r="B107" s="238"/>
      <c r="C107" s="238"/>
      <c r="D107" s="238"/>
      <c r="E107" s="238"/>
      <c r="F107" s="238"/>
      <c r="G107" s="238"/>
    </row>
    <row r="108" spans="1:11" s="53" customFormat="1" ht="26.25">
      <c r="A108" s="69" t="s">
        <v>43</v>
      </c>
      <c r="B108" s="70" t="s">
        <v>44</v>
      </c>
      <c r="C108" s="71" t="s">
        <v>45</v>
      </c>
      <c r="D108" s="69" t="s">
        <v>46</v>
      </c>
      <c r="E108" s="69" t="s">
        <v>47</v>
      </c>
      <c r="F108" s="69" t="s">
        <v>48</v>
      </c>
      <c r="G108" s="69" t="s">
        <v>49</v>
      </c>
      <c r="K108" s="126"/>
    </row>
    <row r="109" spans="1:11" s="53" customFormat="1">
      <c r="A109" s="25" t="s">
        <v>62</v>
      </c>
      <c r="B109" s="24" t="s">
        <v>63</v>
      </c>
      <c r="C109" s="26" t="s">
        <v>52</v>
      </c>
      <c r="D109" s="27" t="s">
        <v>214</v>
      </c>
      <c r="E109" s="28">
        <v>-432654.82</v>
      </c>
      <c r="F109" s="29">
        <v>-866567.01</v>
      </c>
      <c r="G109" s="28">
        <v>-1299221.83</v>
      </c>
      <c r="I109" s="34"/>
      <c r="K109" s="125"/>
    </row>
    <row r="110" spans="1:11" s="53" customFormat="1">
      <c r="A110" s="30"/>
      <c r="B110" s="24" t="s">
        <v>63</v>
      </c>
      <c r="C110" s="31"/>
      <c r="D110" s="27" t="s">
        <v>215</v>
      </c>
      <c r="E110" s="28">
        <v>-1299221.83</v>
      </c>
      <c r="F110" s="29">
        <v>-313118.21999999997</v>
      </c>
      <c r="G110" s="28">
        <v>-1612340.05</v>
      </c>
    </row>
    <row r="111" spans="1:11" s="53" customFormat="1">
      <c r="A111" s="30"/>
      <c r="B111" s="24" t="s">
        <v>63</v>
      </c>
      <c r="C111" s="32"/>
      <c r="D111" s="27" t="s">
        <v>216</v>
      </c>
      <c r="E111" s="28">
        <v>-1612340.05</v>
      </c>
      <c r="F111" s="29">
        <v>2169200.09</v>
      </c>
      <c r="G111" s="28">
        <v>556860.04</v>
      </c>
    </row>
    <row r="112" spans="1:11" s="53" customFormat="1">
      <c r="A112" s="33"/>
      <c r="B112" s="65"/>
      <c r="C112" s="72"/>
      <c r="D112" s="65"/>
      <c r="E112" s="67"/>
      <c r="F112" s="68">
        <f>SUM(F109:F111)</f>
        <v>989514.85999999987</v>
      </c>
      <c r="G112" s="67"/>
    </row>
    <row r="113" spans="1:12">
      <c r="A113" s="25" t="s">
        <v>64</v>
      </c>
      <c r="B113" s="24" t="s">
        <v>65</v>
      </c>
      <c r="C113" s="26" t="s">
        <v>52</v>
      </c>
      <c r="D113" s="27" t="s">
        <v>214</v>
      </c>
      <c r="E113" s="28">
        <v>-2616758.92</v>
      </c>
      <c r="F113" s="29">
        <v>-597088.81999999995</v>
      </c>
      <c r="G113" s="28">
        <v>-3213847.74</v>
      </c>
      <c r="H113" s="53"/>
      <c r="I113" s="53"/>
      <c r="J113" s="53"/>
      <c r="K113" s="125"/>
      <c r="L113" s="125"/>
    </row>
    <row r="114" spans="1:12">
      <c r="A114" s="30"/>
      <c r="B114" s="24" t="s">
        <v>65</v>
      </c>
      <c r="C114" s="31"/>
      <c r="D114" s="27" t="s">
        <v>215</v>
      </c>
      <c r="E114" s="28">
        <v>-3213847.74</v>
      </c>
      <c r="F114" s="29">
        <v>155496.65</v>
      </c>
      <c r="G114" s="28">
        <v>-3058351.09</v>
      </c>
      <c r="H114" s="53"/>
      <c r="I114" s="53"/>
      <c r="J114" s="53"/>
      <c r="K114" s="53"/>
    </row>
    <row r="115" spans="1:12" s="53" customFormat="1">
      <c r="A115" s="30"/>
      <c r="B115" s="24" t="s">
        <v>65</v>
      </c>
      <c r="C115" s="32"/>
      <c r="D115" s="27" t="s">
        <v>216</v>
      </c>
      <c r="E115" s="28">
        <v>-3058351.09</v>
      </c>
      <c r="F115" s="29">
        <v>1419055.76</v>
      </c>
      <c r="G115" s="28">
        <v>-1639295.33</v>
      </c>
    </row>
    <row r="116" spans="1:12">
      <c r="A116" s="33"/>
      <c r="B116" s="65"/>
      <c r="C116" s="72"/>
      <c r="D116" s="65"/>
      <c r="E116" s="67"/>
      <c r="F116" s="68">
        <f>SUM(F113:F115)</f>
        <v>977463.59000000008</v>
      </c>
      <c r="G116" s="67"/>
      <c r="H116" s="53"/>
      <c r="I116" s="53"/>
      <c r="J116" s="53"/>
      <c r="K116" s="53"/>
    </row>
    <row r="117" spans="1:12">
      <c r="A117" s="25" t="s">
        <v>66</v>
      </c>
      <c r="B117" s="24" t="s">
        <v>63</v>
      </c>
      <c r="C117" s="26" t="s">
        <v>53</v>
      </c>
      <c r="D117" s="27" t="s">
        <v>214</v>
      </c>
      <c r="E117" s="28">
        <v>196750.89</v>
      </c>
      <c r="F117" s="29">
        <v>-1048522.71</v>
      </c>
      <c r="G117" s="28">
        <v>-851771.82</v>
      </c>
      <c r="H117" s="53"/>
      <c r="I117" s="53"/>
      <c r="J117" s="53"/>
      <c r="K117" s="53"/>
    </row>
    <row r="118" spans="1:12">
      <c r="A118" s="30"/>
      <c r="B118" s="24" t="s">
        <v>63</v>
      </c>
      <c r="C118" s="31"/>
      <c r="D118" s="27" t="s">
        <v>215</v>
      </c>
      <c r="E118" s="28">
        <v>-851771.82</v>
      </c>
      <c r="F118" s="29">
        <v>-853311.87</v>
      </c>
      <c r="G118" s="28">
        <v>-1705083.69</v>
      </c>
      <c r="H118" s="53"/>
      <c r="I118" s="53"/>
      <c r="J118" s="53"/>
      <c r="K118" s="53"/>
    </row>
    <row r="119" spans="1:12">
      <c r="A119" s="30"/>
      <c r="B119" s="24" t="s">
        <v>63</v>
      </c>
      <c r="C119" s="32"/>
      <c r="D119" s="27" t="s">
        <v>216</v>
      </c>
      <c r="E119" s="28">
        <v>-1705083.69</v>
      </c>
      <c r="F119" s="29">
        <v>-305876.19</v>
      </c>
      <c r="G119" s="28">
        <v>-2010959.88</v>
      </c>
      <c r="H119" s="53"/>
      <c r="I119" s="53"/>
      <c r="J119" s="53"/>
      <c r="K119" s="53"/>
    </row>
    <row r="120" spans="1:12">
      <c r="A120" s="33"/>
      <c r="B120" s="65"/>
      <c r="C120" s="72"/>
      <c r="D120" s="65"/>
      <c r="E120" s="67"/>
      <c r="F120" s="68">
        <f>SUM(F117:F119)</f>
        <v>-2207710.77</v>
      </c>
      <c r="G120" s="67"/>
      <c r="H120" s="53"/>
      <c r="I120" s="53"/>
      <c r="J120" s="53"/>
      <c r="K120" s="53"/>
    </row>
    <row r="121" spans="1:12">
      <c r="A121" s="25" t="s">
        <v>67</v>
      </c>
      <c r="B121" s="24" t="s">
        <v>65</v>
      </c>
      <c r="C121" s="26" t="s">
        <v>53</v>
      </c>
      <c r="D121" s="27" t="s">
        <v>214</v>
      </c>
      <c r="E121" s="28">
        <v>-260717.6</v>
      </c>
      <c r="F121" s="29">
        <v>-123980.61</v>
      </c>
      <c r="G121" s="28">
        <v>-384698.21</v>
      </c>
      <c r="H121" s="53"/>
      <c r="I121" s="53"/>
      <c r="J121" s="53"/>
      <c r="K121" s="53"/>
    </row>
    <row r="122" spans="1:12">
      <c r="A122" s="30"/>
      <c r="B122" s="24" t="s">
        <v>65</v>
      </c>
      <c r="C122" s="31"/>
      <c r="D122" s="27" t="s">
        <v>215</v>
      </c>
      <c r="E122" s="28">
        <v>-384698.21</v>
      </c>
      <c r="F122" s="29">
        <v>-160897.41</v>
      </c>
      <c r="G122" s="28">
        <v>-545595.62</v>
      </c>
      <c r="H122" s="53"/>
      <c r="I122" s="53"/>
      <c r="J122" s="53"/>
      <c r="K122" s="53"/>
    </row>
    <row r="123" spans="1:12">
      <c r="A123" s="30"/>
      <c r="B123" s="24" t="s">
        <v>65</v>
      </c>
      <c r="C123" s="32"/>
      <c r="D123" s="27" t="s">
        <v>216</v>
      </c>
      <c r="E123" s="28">
        <v>-545595.62</v>
      </c>
      <c r="F123" s="29">
        <v>-149528.82</v>
      </c>
      <c r="G123" s="28">
        <v>-695124.44</v>
      </c>
      <c r="H123" s="53"/>
      <c r="I123" s="53"/>
      <c r="J123" s="53"/>
      <c r="K123" s="53"/>
    </row>
    <row r="124" spans="1:12">
      <c r="A124" s="33"/>
      <c r="B124" s="65"/>
      <c r="C124" s="72"/>
      <c r="D124" s="65"/>
      <c r="E124" s="67"/>
      <c r="F124" s="68">
        <f>SUM(F121:F123)</f>
        <v>-434406.84</v>
      </c>
      <c r="G124" s="67"/>
      <c r="H124" s="53"/>
      <c r="I124" s="53"/>
      <c r="J124" s="53"/>
      <c r="K124" s="53"/>
    </row>
    <row r="125" spans="1:12">
      <c r="A125" s="53"/>
      <c r="B125" s="53"/>
      <c r="C125" s="53"/>
      <c r="D125" s="53"/>
      <c r="E125" s="53"/>
      <c r="F125" s="53"/>
      <c r="G125" s="53"/>
      <c r="H125" s="53"/>
      <c r="I125" s="53"/>
      <c r="J125" s="53"/>
      <c r="K125" s="53"/>
    </row>
    <row r="126" spans="1:12">
      <c r="A126" s="23" t="s">
        <v>42</v>
      </c>
      <c r="B126" s="53"/>
      <c r="C126" s="114" t="s">
        <v>119</v>
      </c>
      <c r="D126" s="53"/>
      <c r="E126" s="53"/>
      <c r="F126" s="53"/>
      <c r="G126" s="53"/>
      <c r="H126" s="53"/>
      <c r="I126" s="53"/>
      <c r="J126" s="53"/>
      <c r="K126" s="53"/>
    </row>
    <row r="127" spans="1:12">
      <c r="A127" s="53"/>
      <c r="B127" s="53"/>
      <c r="C127" s="53"/>
      <c r="D127" s="53"/>
      <c r="E127" s="53"/>
      <c r="F127" s="53"/>
      <c r="G127" s="53"/>
      <c r="H127" s="53"/>
      <c r="I127" s="53"/>
      <c r="J127" s="53"/>
      <c r="K127" s="53"/>
    </row>
    <row r="128" spans="1:12" ht="26.25">
      <c r="A128" s="136" t="s">
        <v>43</v>
      </c>
      <c r="B128" s="70" t="s">
        <v>44</v>
      </c>
      <c r="C128" s="71" t="s">
        <v>45</v>
      </c>
      <c r="D128" s="69" t="s">
        <v>46</v>
      </c>
      <c r="E128" s="69" t="s">
        <v>47</v>
      </c>
      <c r="F128" s="69" t="s">
        <v>48</v>
      </c>
      <c r="G128" s="69" t="s">
        <v>49</v>
      </c>
      <c r="H128" s="53"/>
      <c r="I128" s="53"/>
      <c r="J128" s="53"/>
      <c r="K128" s="53"/>
    </row>
    <row r="129" spans="1:11">
      <c r="A129" s="129" t="s">
        <v>120</v>
      </c>
      <c r="B129" s="116" t="s">
        <v>121</v>
      </c>
      <c r="C129" s="26" t="s">
        <v>52</v>
      </c>
      <c r="D129" s="27" t="s">
        <v>214</v>
      </c>
      <c r="E129" s="28">
        <v>1694326.54</v>
      </c>
      <c r="F129" s="29">
        <v>408874.95</v>
      </c>
      <c r="G129" s="28">
        <v>2103201.4900000002</v>
      </c>
      <c r="H129" s="53"/>
      <c r="I129" s="53"/>
      <c r="J129" s="53"/>
      <c r="K129" s="53"/>
    </row>
    <row r="130" spans="1:11">
      <c r="A130" s="130"/>
      <c r="B130" s="116" t="s">
        <v>121</v>
      </c>
      <c r="C130" s="31"/>
      <c r="D130" s="27" t="s">
        <v>215</v>
      </c>
      <c r="E130" s="28">
        <v>2103201.4900000002</v>
      </c>
      <c r="F130" s="29">
        <v>385413.97</v>
      </c>
      <c r="G130" s="28">
        <v>2488615.46</v>
      </c>
      <c r="H130" s="53"/>
      <c r="I130" s="53"/>
      <c r="J130" s="53"/>
      <c r="K130" s="53"/>
    </row>
    <row r="131" spans="1:11" s="53" customFormat="1">
      <c r="A131" s="130"/>
      <c r="B131" s="116" t="s">
        <v>121</v>
      </c>
      <c r="C131" s="32"/>
      <c r="D131" s="27" t="s">
        <v>216</v>
      </c>
      <c r="E131" s="28">
        <v>2488615.46</v>
      </c>
      <c r="F131" s="29">
        <v>456025.38</v>
      </c>
      <c r="G131" s="28">
        <v>2944640.84</v>
      </c>
    </row>
    <row r="132" spans="1:11">
      <c r="A132" s="131"/>
      <c r="B132" s="65"/>
      <c r="C132" s="72"/>
      <c r="D132" s="65"/>
      <c r="E132" s="67"/>
      <c r="F132" s="68">
        <f>SUM(F129:F131)</f>
        <v>1250314.2999999998</v>
      </c>
      <c r="G132" s="67"/>
      <c r="H132" s="53"/>
      <c r="I132" s="53"/>
      <c r="J132" s="53"/>
      <c r="K132" s="53"/>
    </row>
    <row r="133" spans="1:11">
      <c r="A133" s="129" t="s">
        <v>122</v>
      </c>
      <c r="B133" s="116" t="s">
        <v>123</v>
      </c>
      <c r="C133" s="26" t="s">
        <v>52</v>
      </c>
      <c r="D133" s="27" t="s">
        <v>214</v>
      </c>
      <c r="E133" s="28">
        <v>1720607.3</v>
      </c>
      <c r="F133" s="29">
        <v>543473.35</v>
      </c>
      <c r="G133" s="28">
        <v>2264080.65</v>
      </c>
      <c r="H133" s="53"/>
      <c r="I133" s="53"/>
      <c r="J133" s="53"/>
      <c r="K133" s="53"/>
    </row>
    <row r="134" spans="1:11">
      <c r="A134" s="130"/>
      <c r="B134" s="116" t="s">
        <v>123</v>
      </c>
      <c r="C134" s="31"/>
      <c r="D134" s="27" t="s">
        <v>215</v>
      </c>
      <c r="E134" s="28">
        <v>2264080.65</v>
      </c>
      <c r="F134" s="29">
        <v>620742.46</v>
      </c>
      <c r="G134" s="28">
        <v>2884823.11</v>
      </c>
      <c r="H134" s="53"/>
      <c r="I134" s="53"/>
      <c r="J134" s="53"/>
      <c r="K134" s="53"/>
    </row>
    <row r="135" spans="1:11" s="53" customFormat="1">
      <c r="A135" s="130"/>
      <c r="B135" s="116" t="s">
        <v>123</v>
      </c>
      <c r="C135" s="32"/>
      <c r="D135" s="27" t="s">
        <v>216</v>
      </c>
      <c r="E135" s="28">
        <v>2884823.11</v>
      </c>
      <c r="F135" s="29">
        <v>728207</v>
      </c>
      <c r="G135" s="28">
        <v>3613030.11</v>
      </c>
    </row>
    <row r="136" spans="1:11">
      <c r="A136" s="131"/>
      <c r="B136" s="65"/>
      <c r="C136" s="72"/>
      <c r="D136" s="65"/>
      <c r="E136" s="67"/>
      <c r="F136" s="68">
        <f>SUM(F133:F135)</f>
        <v>1892422.81</v>
      </c>
      <c r="G136" s="67"/>
      <c r="H136" s="53"/>
      <c r="I136" s="53"/>
      <c r="J136" s="53"/>
      <c r="K136" s="53"/>
    </row>
    <row r="137" spans="1:11">
      <c r="A137" s="129" t="s">
        <v>124</v>
      </c>
      <c r="B137" s="116" t="s">
        <v>121</v>
      </c>
      <c r="C137" s="26" t="s">
        <v>53</v>
      </c>
      <c r="D137" s="27" t="s">
        <v>214</v>
      </c>
      <c r="E137" s="28">
        <v>-373237.44</v>
      </c>
      <c r="F137" s="29">
        <v>-58725.59</v>
      </c>
      <c r="G137" s="28">
        <v>-431963.03</v>
      </c>
      <c r="H137" s="53"/>
      <c r="I137" s="53"/>
      <c r="J137" s="53"/>
      <c r="K137" s="53"/>
    </row>
    <row r="138" spans="1:11">
      <c r="A138" s="130"/>
      <c r="B138" s="116" t="s">
        <v>121</v>
      </c>
      <c r="C138" s="31"/>
      <c r="D138" s="27" t="s">
        <v>215</v>
      </c>
      <c r="E138" s="28">
        <v>-431963.03</v>
      </c>
      <c r="F138" s="29">
        <v>-29261.55</v>
      </c>
      <c r="G138" s="28">
        <v>-461224.58</v>
      </c>
      <c r="H138" s="53"/>
      <c r="I138" s="53"/>
      <c r="J138" s="53"/>
      <c r="K138" s="53"/>
    </row>
    <row r="139" spans="1:11" s="53" customFormat="1">
      <c r="A139" s="130"/>
      <c r="B139" s="116" t="s">
        <v>121</v>
      </c>
      <c r="C139" s="32"/>
      <c r="D139" s="27" t="s">
        <v>216</v>
      </c>
      <c r="E139" s="28">
        <v>-461224.58</v>
      </c>
      <c r="F139" s="29">
        <v>-17986.150000000001</v>
      </c>
      <c r="G139" s="28">
        <v>-479210.73</v>
      </c>
    </row>
    <row r="140" spans="1:11">
      <c r="A140" s="131"/>
      <c r="B140" s="65"/>
      <c r="C140" s="72"/>
      <c r="D140" s="65"/>
      <c r="E140" s="67"/>
      <c r="F140" s="68">
        <f>SUM(F137:F139)</f>
        <v>-105973.29000000001</v>
      </c>
      <c r="G140" s="67"/>
      <c r="H140" s="53"/>
      <c r="I140" s="53"/>
      <c r="J140" s="53"/>
      <c r="K140" s="53"/>
    </row>
    <row r="141" spans="1:11">
      <c r="A141" s="129" t="s">
        <v>125</v>
      </c>
      <c r="B141" s="116" t="s">
        <v>123</v>
      </c>
      <c r="C141" s="26" t="s">
        <v>53</v>
      </c>
      <c r="D141" s="27" t="s">
        <v>214</v>
      </c>
      <c r="E141" s="28">
        <v>88920.76</v>
      </c>
      <c r="F141" s="29">
        <v>16248.4</v>
      </c>
      <c r="G141" s="28">
        <v>105169.16</v>
      </c>
      <c r="H141" s="53"/>
      <c r="I141" s="53"/>
      <c r="J141" s="53"/>
      <c r="K141" s="53"/>
    </row>
    <row r="142" spans="1:11">
      <c r="A142" s="130"/>
      <c r="B142" s="116" t="s">
        <v>123</v>
      </c>
      <c r="C142" s="31"/>
      <c r="D142" s="27" t="s">
        <v>215</v>
      </c>
      <c r="E142" s="28">
        <v>105169.16</v>
      </c>
      <c r="F142" s="29">
        <v>11409.09</v>
      </c>
      <c r="G142" s="28">
        <v>116578.25</v>
      </c>
      <c r="H142" s="53"/>
      <c r="I142" s="53"/>
      <c r="J142" s="53"/>
      <c r="K142" s="53"/>
    </row>
    <row r="143" spans="1:11" s="53" customFormat="1">
      <c r="A143" s="130"/>
      <c r="B143" s="116" t="s">
        <v>123</v>
      </c>
      <c r="C143" s="32"/>
      <c r="D143" s="27" t="s">
        <v>216</v>
      </c>
      <c r="E143" s="28">
        <v>116578.25</v>
      </c>
      <c r="F143" s="29">
        <v>7900.97</v>
      </c>
      <c r="G143" s="28">
        <v>124479.22</v>
      </c>
    </row>
    <row r="144" spans="1:11">
      <c r="A144" s="131"/>
      <c r="B144" s="65"/>
      <c r="C144" s="72"/>
      <c r="D144" s="65"/>
      <c r="E144" s="67"/>
      <c r="F144" s="68">
        <f>SUM(F141:F143)</f>
        <v>35558.46</v>
      </c>
      <c r="G144" s="67"/>
      <c r="H144" s="53"/>
      <c r="I144" s="53"/>
      <c r="J144" s="53"/>
      <c r="K144" s="53"/>
    </row>
    <row r="145" spans="1:11">
      <c r="H145" s="53"/>
      <c r="I145" s="53"/>
      <c r="J145" s="53"/>
      <c r="K145" s="53"/>
    </row>
    <row r="146" spans="1:11">
      <c r="A146" s="53"/>
      <c r="B146" s="53"/>
      <c r="C146" s="53"/>
      <c r="D146" s="53"/>
      <c r="E146" s="53"/>
      <c r="F146" s="53"/>
      <c r="G146" s="53"/>
      <c r="H146" s="53"/>
      <c r="I146" s="53"/>
      <c r="J146" s="53"/>
      <c r="K146" s="53"/>
    </row>
    <row r="147" spans="1:11" s="53" customFormat="1">
      <c r="A147" s="23" t="s">
        <v>42</v>
      </c>
      <c r="B147" s="22"/>
      <c r="C147" s="115" t="s">
        <v>113</v>
      </c>
      <c r="D147" s="22"/>
      <c r="E147" s="22"/>
      <c r="F147" s="22"/>
      <c r="G147" s="22"/>
    </row>
    <row r="148" spans="1:11" s="53" customFormat="1">
      <c r="A148" s="238"/>
      <c r="B148" s="238"/>
      <c r="C148" s="238"/>
      <c r="D148" s="238"/>
      <c r="E148" s="238"/>
      <c r="F148" s="238"/>
      <c r="G148" s="238"/>
    </row>
    <row r="149" spans="1:11" s="53" customFormat="1" ht="26.25">
      <c r="A149" s="69" t="s">
        <v>43</v>
      </c>
      <c r="B149" s="70" t="s">
        <v>44</v>
      </c>
      <c r="C149" s="71" t="s">
        <v>45</v>
      </c>
      <c r="D149" s="69" t="s">
        <v>46</v>
      </c>
      <c r="E149" s="69" t="s">
        <v>47</v>
      </c>
      <c r="F149" s="69" t="s">
        <v>48</v>
      </c>
      <c r="G149" s="69" t="s">
        <v>49</v>
      </c>
    </row>
    <row r="150" spans="1:11" s="53" customFormat="1" ht="15.75">
      <c r="A150" s="25">
        <v>419328</v>
      </c>
      <c r="B150" s="24" t="s">
        <v>133</v>
      </c>
      <c r="C150" s="26" t="s">
        <v>52</v>
      </c>
      <c r="D150" s="27" t="s">
        <v>214</v>
      </c>
      <c r="E150" s="28">
        <v>-177851.59</v>
      </c>
      <c r="F150" s="29">
        <v>-56944.5</v>
      </c>
      <c r="G150" s="28">
        <v>-234796.09</v>
      </c>
      <c r="H150" s="111"/>
    </row>
    <row r="151" spans="1:11">
      <c r="A151" s="30"/>
      <c r="B151" s="24" t="s">
        <v>133</v>
      </c>
      <c r="C151" s="31"/>
      <c r="D151" s="27" t="s">
        <v>215</v>
      </c>
      <c r="E151" s="28">
        <v>-234796.09</v>
      </c>
      <c r="F151" s="29">
        <v>-56471.1</v>
      </c>
      <c r="G151" s="28">
        <v>-291267.19</v>
      </c>
      <c r="H151" s="53"/>
      <c r="I151" s="53"/>
      <c r="J151" s="53"/>
      <c r="K151" s="53"/>
    </row>
    <row r="152" spans="1:11">
      <c r="A152" s="30"/>
      <c r="B152" s="24" t="s">
        <v>133</v>
      </c>
      <c r="C152" s="32"/>
      <c r="D152" s="27" t="s">
        <v>216</v>
      </c>
      <c r="E152" s="28">
        <v>-291267.19</v>
      </c>
      <c r="F152" s="29">
        <v>-49012.24</v>
      </c>
      <c r="G152" s="28">
        <v>-340279.43</v>
      </c>
      <c r="H152" s="53"/>
      <c r="I152" s="53"/>
      <c r="J152" s="53"/>
      <c r="K152" s="53"/>
    </row>
    <row r="153" spans="1:11">
      <c r="A153" s="30"/>
      <c r="B153" s="61"/>
      <c r="C153" s="62"/>
      <c r="D153" s="61"/>
      <c r="E153" s="63"/>
      <c r="F153" s="64">
        <f>SUM(F150:F152)</f>
        <v>-162427.84</v>
      </c>
      <c r="G153" s="63"/>
      <c r="H153" s="53"/>
      <c r="I153" s="53"/>
      <c r="J153" s="53"/>
      <c r="K153" s="53"/>
    </row>
    <row r="154" spans="1:11">
      <c r="A154" s="30"/>
      <c r="B154" s="24" t="s">
        <v>133</v>
      </c>
      <c r="C154" s="26" t="s">
        <v>53</v>
      </c>
      <c r="D154" s="27" t="s">
        <v>214</v>
      </c>
      <c r="E154" s="28">
        <v>-18722.77</v>
      </c>
      <c r="F154" s="29">
        <v>-6522.87</v>
      </c>
      <c r="G154" s="28">
        <v>-25245.64</v>
      </c>
      <c r="H154" s="53"/>
      <c r="I154" s="53"/>
      <c r="J154" s="53"/>
      <c r="K154" s="53"/>
    </row>
    <row r="155" spans="1:11">
      <c r="A155" s="30"/>
      <c r="B155" s="24" t="s">
        <v>133</v>
      </c>
      <c r="C155" s="31"/>
      <c r="D155" s="27" t="s">
        <v>215</v>
      </c>
      <c r="E155" s="28">
        <v>-25245.64</v>
      </c>
      <c r="F155" s="29">
        <v>-9257.56</v>
      </c>
      <c r="G155" s="28">
        <v>-34503.199999999997</v>
      </c>
      <c r="H155" s="53"/>
      <c r="I155" s="53"/>
      <c r="J155" s="53"/>
      <c r="K155" s="53"/>
    </row>
    <row r="156" spans="1:11" s="53" customFormat="1">
      <c r="A156" s="30"/>
      <c r="B156" s="24" t="s">
        <v>133</v>
      </c>
      <c r="C156" s="32"/>
      <c r="D156" s="27" t="s">
        <v>216</v>
      </c>
      <c r="E156" s="28">
        <v>-34503.199999999997</v>
      </c>
      <c r="F156" s="29">
        <v>-11246.58</v>
      </c>
      <c r="G156" s="28">
        <v>-45749.78</v>
      </c>
    </row>
    <row r="157" spans="1:11" s="53" customFormat="1">
      <c r="A157" s="33"/>
      <c r="B157" s="61"/>
      <c r="C157" s="62"/>
      <c r="D157" s="61"/>
      <c r="E157" s="63"/>
      <c r="F157" s="64">
        <f>SUM(F154:F156)</f>
        <v>-27027.010000000002</v>
      </c>
      <c r="G157" s="63"/>
    </row>
    <row r="158" spans="1:11">
      <c r="A158" s="65"/>
      <c r="B158" s="72"/>
      <c r="C158" s="65"/>
      <c r="D158" s="65"/>
      <c r="E158" s="67"/>
      <c r="F158" s="68">
        <f>F153+F157</f>
        <v>-189454.85</v>
      </c>
      <c r="G158" s="67"/>
      <c r="H158" s="53"/>
      <c r="I158" s="53"/>
      <c r="J158" s="53"/>
      <c r="K158" s="53"/>
    </row>
    <row r="159" spans="1:11" ht="16.5" customHeight="1">
      <c r="A159" s="25">
        <v>431328</v>
      </c>
      <c r="B159" s="24" t="s">
        <v>134</v>
      </c>
      <c r="C159" s="26" t="s">
        <v>52</v>
      </c>
      <c r="D159" s="27" t="s">
        <v>214</v>
      </c>
      <c r="E159" s="28">
        <v>6605.08</v>
      </c>
      <c r="F159" s="29">
        <v>2213.63</v>
      </c>
      <c r="G159" s="28">
        <v>8818.7099999999991</v>
      </c>
      <c r="H159" s="53"/>
      <c r="I159" s="53"/>
      <c r="J159" s="53"/>
      <c r="K159" s="53"/>
    </row>
    <row r="160" spans="1:11" ht="16.5" customHeight="1">
      <c r="A160" s="30"/>
      <c r="B160" s="24" t="s">
        <v>134</v>
      </c>
      <c r="C160" s="31"/>
      <c r="D160" s="27" t="s">
        <v>215</v>
      </c>
      <c r="E160" s="28">
        <v>8818.7099999999991</v>
      </c>
      <c r="F160" s="29">
        <v>2219.62</v>
      </c>
      <c r="G160" s="28">
        <v>11038.33</v>
      </c>
      <c r="H160" s="53"/>
      <c r="I160" s="53"/>
      <c r="J160" s="53"/>
      <c r="K160" s="53"/>
    </row>
    <row r="161" spans="1:11" s="53" customFormat="1" ht="16.5" customHeight="1">
      <c r="A161" s="30"/>
      <c r="B161" s="24" t="s">
        <v>134</v>
      </c>
      <c r="C161" s="32"/>
      <c r="D161" s="27" t="s">
        <v>216</v>
      </c>
      <c r="E161" s="28">
        <v>11038.33</v>
      </c>
      <c r="F161" s="29">
        <v>2225.63</v>
      </c>
      <c r="G161" s="28">
        <v>13263.96</v>
      </c>
    </row>
    <row r="162" spans="1:11" s="53" customFormat="1" ht="16.5" customHeight="1">
      <c r="A162" s="30"/>
      <c r="B162" s="61"/>
      <c r="C162" s="62"/>
      <c r="D162" s="61"/>
      <c r="E162" s="63"/>
      <c r="F162" s="64">
        <f>SUM(F159:F161)</f>
        <v>6658.88</v>
      </c>
      <c r="G162" s="63"/>
    </row>
    <row r="163" spans="1:11" s="53" customFormat="1" ht="16.5" customHeight="1">
      <c r="A163" s="30"/>
      <c r="B163" s="24" t="s">
        <v>134</v>
      </c>
      <c r="C163" s="26" t="s">
        <v>53</v>
      </c>
      <c r="D163" s="27" t="s">
        <v>214</v>
      </c>
      <c r="E163" s="28">
        <v>4238.75</v>
      </c>
      <c r="F163" s="29">
        <v>50.86</v>
      </c>
      <c r="G163" s="28">
        <v>4289.6099999999997</v>
      </c>
    </row>
    <row r="164" spans="1:11" s="53" customFormat="1" ht="16.5" customHeight="1">
      <c r="A164" s="30"/>
      <c r="B164" s="24" t="s">
        <v>134</v>
      </c>
      <c r="C164" s="31"/>
      <c r="D164" s="27" t="s">
        <v>215</v>
      </c>
      <c r="E164" s="28">
        <v>4289.6099999999997</v>
      </c>
      <c r="F164" s="29">
        <v>167.83</v>
      </c>
      <c r="G164" s="28">
        <v>4457.4399999999996</v>
      </c>
    </row>
    <row r="165" spans="1:11" s="53" customFormat="1" ht="16.5" customHeight="1">
      <c r="A165" s="30"/>
      <c r="B165" s="24" t="s">
        <v>134</v>
      </c>
      <c r="C165" s="32"/>
      <c r="D165" s="27" t="s">
        <v>216</v>
      </c>
      <c r="E165" s="28">
        <v>4457.4399999999996</v>
      </c>
      <c r="F165" s="29">
        <v>104.3</v>
      </c>
      <c r="G165" s="28">
        <v>4561.74</v>
      </c>
    </row>
    <row r="166" spans="1:11" s="53" customFormat="1" ht="16.5" customHeight="1">
      <c r="A166" s="33"/>
      <c r="B166" s="61"/>
      <c r="C166" s="62"/>
      <c r="D166" s="61"/>
      <c r="E166" s="63"/>
      <c r="F166" s="64">
        <f>SUM(F163:F165)</f>
        <v>322.99</v>
      </c>
      <c r="G166" s="63"/>
    </row>
    <row r="167" spans="1:11" s="53" customFormat="1" ht="16.5" customHeight="1">
      <c r="A167" s="65"/>
      <c r="B167" s="72"/>
      <c r="C167" s="65"/>
      <c r="D167" s="65"/>
      <c r="E167" s="67"/>
      <c r="F167" s="68">
        <f>F162+F166</f>
        <v>6981.87</v>
      </c>
      <c r="G167" s="67"/>
    </row>
    <row r="168" spans="1:11" s="53" customFormat="1">
      <c r="A168" s="73"/>
      <c r="B168" s="73"/>
      <c r="C168" s="73"/>
      <c r="D168" s="73"/>
      <c r="E168" s="74"/>
      <c r="F168" s="75">
        <f>F158+F167</f>
        <v>-182472.98</v>
      </c>
      <c r="G168" s="74"/>
    </row>
    <row r="169" spans="1:11" s="53" customFormat="1">
      <c r="A169" s="102"/>
      <c r="B169" s="102"/>
      <c r="C169" s="102"/>
      <c r="D169" s="102"/>
      <c r="E169" s="103"/>
      <c r="F169" s="104"/>
      <c r="G169" s="103"/>
    </row>
    <row r="170" spans="1:11" ht="14.45" customHeight="1">
      <c r="A170" s="235" t="s">
        <v>138</v>
      </c>
      <c r="B170" s="235"/>
      <c r="C170" s="235"/>
      <c r="D170" s="235"/>
      <c r="E170" s="235"/>
      <c r="F170" s="235"/>
      <c r="G170" s="235"/>
      <c r="H170" s="53"/>
      <c r="I170" s="53"/>
      <c r="J170" s="53"/>
      <c r="K170" s="53"/>
    </row>
    <row r="171" spans="1:11">
      <c r="A171" s="23" t="s">
        <v>42</v>
      </c>
      <c r="B171" s="53"/>
      <c r="C171" s="53"/>
      <c r="D171" s="53"/>
      <c r="E171" s="53"/>
      <c r="F171" s="53"/>
      <c r="G171" s="53"/>
      <c r="H171" s="53"/>
      <c r="I171" s="53"/>
      <c r="J171" s="53"/>
      <c r="K171" s="53"/>
    </row>
    <row r="172" spans="1:11">
      <c r="A172" s="53"/>
      <c r="B172" s="53"/>
      <c r="C172" s="53"/>
      <c r="D172" s="53"/>
      <c r="E172" s="53"/>
      <c r="F172" s="53"/>
      <c r="G172" s="53"/>
      <c r="H172" s="53"/>
      <c r="I172" s="53"/>
      <c r="J172" s="53"/>
      <c r="K172" s="53"/>
    </row>
    <row r="173" spans="1:11" ht="26.25">
      <c r="A173" s="69" t="s">
        <v>43</v>
      </c>
      <c r="B173" s="70" t="s">
        <v>44</v>
      </c>
      <c r="C173" s="71" t="s">
        <v>45</v>
      </c>
      <c r="D173" s="69" t="s">
        <v>46</v>
      </c>
      <c r="E173" s="69" t="s">
        <v>47</v>
      </c>
      <c r="F173" s="69" t="s">
        <v>48</v>
      </c>
      <c r="G173" s="69" t="s">
        <v>49</v>
      </c>
      <c r="H173" s="53"/>
      <c r="I173" s="53"/>
      <c r="J173" s="53"/>
      <c r="K173" s="53"/>
    </row>
    <row r="174" spans="1:11">
      <c r="A174" s="25" t="s">
        <v>81</v>
      </c>
      <c r="B174" s="24" t="s">
        <v>82</v>
      </c>
      <c r="C174" s="26" t="s">
        <v>52</v>
      </c>
      <c r="D174" s="27" t="s">
        <v>214</v>
      </c>
      <c r="E174" s="28">
        <v>0</v>
      </c>
      <c r="F174" s="29">
        <v>0</v>
      </c>
      <c r="G174" s="28">
        <v>0</v>
      </c>
      <c r="H174" s="53"/>
      <c r="I174" s="53"/>
      <c r="J174" s="53"/>
      <c r="K174" s="53"/>
    </row>
    <row r="175" spans="1:11">
      <c r="A175" s="30"/>
      <c r="B175" s="24" t="s">
        <v>82</v>
      </c>
      <c r="C175" s="31"/>
      <c r="D175" s="27" t="s">
        <v>215</v>
      </c>
      <c r="E175" s="28">
        <v>0</v>
      </c>
      <c r="F175" s="29">
        <v>0</v>
      </c>
      <c r="G175" s="28">
        <v>0</v>
      </c>
      <c r="H175" s="53"/>
      <c r="I175" s="53"/>
      <c r="J175" s="53"/>
      <c r="K175" s="53"/>
    </row>
    <row r="176" spans="1:11">
      <c r="A176" s="30"/>
      <c r="B176" s="24" t="s">
        <v>82</v>
      </c>
      <c r="C176" s="32"/>
      <c r="D176" s="27" t="s">
        <v>216</v>
      </c>
      <c r="E176" s="28">
        <v>0</v>
      </c>
      <c r="F176" s="29">
        <v>0</v>
      </c>
      <c r="G176" s="28">
        <v>0</v>
      </c>
      <c r="H176" s="53"/>
      <c r="I176" s="53"/>
      <c r="J176" s="53"/>
      <c r="K176" s="53"/>
    </row>
    <row r="177" spans="1:11">
      <c r="A177" s="30"/>
      <c r="B177" s="61"/>
      <c r="C177" s="62"/>
      <c r="D177" s="61"/>
      <c r="E177" s="63"/>
      <c r="F177" s="64">
        <f>SUM(F174:F176)</f>
        <v>0</v>
      </c>
      <c r="G177" s="63"/>
      <c r="H177" s="53"/>
      <c r="I177" s="53"/>
      <c r="J177" s="53"/>
      <c r="K177" s="53"/>
    </row>
    <row r="178" spans="1:11">
      <c r="A178" s="30"/>
      <c r="B178" s="24" t="s">
        <v>82</v>
      </c>
      <c r="C178" s="26" t="s">
        <v>53</v>
      </c>
      <c r="D178" s="27" t="s">
        <v>214</v>
      </c>
      <c r="E178" s="28">
        <v>0</v>
      </c>
      <c r="F178" s="29">
        <v>0</v>
      </c>
      <c r="G178" s="28">
        <v>0</v>
      </c>
      <c r="H178" s="53"/>
      <c r="I178" s="53"/>
      <c r="J178" s="53"/>
      <c r="K178" s="53"/>
    </row>
    <row r="179" spans="1:11">
      <c r="A179" s="30"/>
      <c r="B179" s="24" t="s">
        <v>82</v>
      </c>
      <c r="C179" s="31"/>
      <c r="D179" s="27" t="s">
        <v>215</v>
      </c>
      <c r="E179" s="28">
        <v>0</v>
      </c>
      <c r="F179" s="29">
        <v>0</v>
      </c>
      <c r="G179" s="28">
        <v>0</v>
      </c>
      <c r="H179" s="53"/>
      <c r="I179" s="53"/>
      <c r="J179" s="53"/>
      <c r="K179" s="53"/>
    </row>
    <row r="180" spans="1:11">
      <c r="A180" s="30"/>
      <c r="B180" s="24" t="s">
        <v>82</v>
      </c>
      <c r="C180" s="32"/>
      <c r="D180" s="27" t="s">
        <v>216</v>
      </c>
      <c r="E180" s="28">
        <v>0</v>
      </c>
      <c r="F180" s="29">
        <v>0</v>
      </c>
      <c r="G180" s="28">
        <v>0</v>
      </c>
      <c r="H180" s="53"/>
      <c r="I180" s="53"/>
      <c r="J180" s="53"/>
      <c r="K180" s="53"/>
    </row>
    <row r="181" spans="1:11">
      <c r="A181" s="33"/>
      <c r="B181" s="61"/>
      <c r="C181" s="62"/>
      <c r="D181" s="61"/>
      <c r="E181" s="63"/>
      <c r="F181" s="64">
        <f>SUM(F178:F180)</f>
        <v>0</v>
      </c>
      <c r="G181" s="63"/>
      <c r="H181" s="53"/>
      <c r="I181" s="53"/>
      <c r="J181" s="53"/>
      <c r="K181" s="53"/>
    </row>
    <row r="182" spans="1:11">
      <c r="A182" s="119"/>
      <c r="B182" s="72" t="s">
        <v>130</v>
      </c>
      <c r="C182" s="65"/>
      <c r="D182" s="65"/>
      <c r="E182" s="67"/>
      <c r="F182" s="68">
        <f>F177+F181</f>
        <v>0</v>
      </c>
      <c r="G182" s="67"/>
      <c r="H182" s="53"/>
      <c r="I182" s="53"/>
      <c r="J182" s="53"/>
      <c r="K182" s="53"/>
    </row>
    <row r="183" spans="1:11">
      <c r="A183" s="129" t="s">
        <v>127</v>
      </c>
      <c r="B183" s="24" t="s">
        <v>128</v>
      </c>
      <c r="C183" s="26" t="s">
        <v>52</v>
      </c>
      <c r="D183" s="27" t="s">
        <v>214</v>
      </c>
      <c r="E183" s="28">
        <v>0</v>
      </c>
      <c r="F183" s="29">
        <v>0</v>
      </c>
      <c r="G183" s="28">
        <v>0</v>
      </c>
      <c r="H183" s="53"/>
      <c r="I183" s="53"/>
      <c r="J183" s="53"/>
      <c r="K183" s="53"/>
    </row>
    <row r="184" spans="1:11">
      <c r="A184" s="130"/>
      <c r="B184" s="24" t="s">
        <v>128</v>
      </c>
      <c r="C184" s="31"/>
      <c r="D184" s="27" t="s">
        <v>215</v>
      </c>
      <c r="E184" s="28">
        <v>0</v>
      </c>
      <c r="F184" s="29">
        <v>0</v>
      </c>
      <c r="G184" s="28">
        <v>0</v>
      </c>
      <c r="H184" s="53"/>
      <c r="I184" s="53"/>
      <c r="J184" s="53"/>
      <c r="K184" s="53"/>
    </row>
    <row r="185" spans="1:11">
      <c r="A185" s="130"/>
      <c r="B185" s="24" t="s">
        <v>128</v>
      </c>
      <c r="C185" s="32"/>
      <c r="D185" s="27" t="s">
        <v>216</v>
      </c>
      <c r="E185" s="28">
        <v>0</v>
      </c>
      <c r="F185" s="29">
        <v>0</v>
      </c>
      <c r="G185" s="28">
        <v>0</v>
      </c>
      <c r="H185" s="53"/>
      <c r="I185" s="53"/>
      <c r="J185" s="53"/>
      <c r="K185" s="53"/>
    </row>
    <row r="186" spans="1:11">
      <c r="A186" s="130"/>
      <c r="B186" s="61"/>
      <c r="C186" s="62"/>
      <c r="D186" s="61"/>
      <c r="E186" s="63"/>
      <c r="F186" s="64">
        <f>SUM(F183:F185)</f>
        <v>0</v>
      </c>
      <c r="G186" s="63"/>
      <c r="H186" s="53"/>
      <c r="I186" s="53"/>
      <c r="J186" s="53"/>
      <c r="K186" s="53"/>
    </row>
    <row r="187" spans="1:11" s="53" customFormat="1">
      <c r="A187" s="130"/>
      <c r="B187" s="24" t="s">
        <v>128</v>
      </c>
      <c r="C187" s="26" t="s">
        <v>53</v>
      </c>
      <c r="D187" s="27" t="s">
        <v>214</v>
      </c>
      <c r="E187" s="28">
        <v>0</v>
      </c>
      <c r="F187" s="29">
        <v>0</v>
      </c>
      <c r="G187" s="28">
        <v>0</v>
      </c>
    </row>
    <row r="188" spans="1:11" s="53" customFormat="1">
      <c r="A188" s="130"/>
      <c r="B188" s="24" t="s">
        <v>128</v>
      </c>
      <c r="C188" s="31"/>
      <c r="D188" s="27" t="s">
        <v>215</v>
      </c>
      <c r="E188" s="28">
        <v>0</v>
      </c>
      <c r="F188" s="29">
        <v>0</v>
      </c>
      <c r="G188" s="28">
        <v>0</v>
      </c>
    </row>
    <row r="189" spans="1:11" s="53" customFormat="1">
      <c r="A189" s="130"/>
      <c r="B189" s="24" t="s">
        <v>128</v>
      </c>
      <c r="C189" s="32"/>
      <c r="D189" s="27" t="s">
        <v>216</v>
      </c>
      <c r="E189" s="28">
        <v>0</v>
      </c>
      <c r="F189" s="29">
        <v>0</v>
      </c>
      <c r="G189" s="28">
        <v>0</v>
      </c>
    </row>
    <row r="190" spans="1:11" s="53" customFormat="1">
      <c r="A190" s="131"/>
      <c r="B190" s="61"/>
      <c r="C190" s="62"/>
      <c r="D190" s="61"/>
      <c r="E190" s="63"/>
      <c r="F190" s="64">
        <f>SUM(F187:F189)</f>
        <v>0</v>
      </c>
      <c r="G190" s="63"/>
    </row>
    <row r="191" spans="1:11">
      <c r="A191" s="128"/>
      <c r="B191" s="72" t="s">
        <v>131</v>
      </c>
      <c r="C191" s="65"/>
      <c r="D191" s="65"/>
      <c r="E191" s="67"/>
      <c r="F191" s="68">
        <f>F186</f>
        <v>0</v>
      </c>
      <c r="G191" s="67"/>
      <c r="H191" s="53"/>
      <c r="I191" s="53"/>
      <c r="J191" s="53"/>
      <c r="K191" s="53"/>
    </row>
    <row r="192" spans="1:11">
      <c r="A192" s="129" t="s">
        <v>129</v>
      </c>
      <c r="B192" s="24" t="s">
        <v>84</v>
      </c>
      <c r="C192" s="26" t="s">
        <v>52</v>
      </c>
      <c r="D192" s="27" t="s">
        <v>214</v>
      </c>
      <c r="E192" s="28">
        <v>0</v>
      </c>
      <c r="F192" s="29">
        <v>0</v>
      </c>
      <c r="G192" s="28">
        <v>0</v>
      </c>
      <c r="H192" s="53"/>
      <c r="I192" s="53"/>
      <c r="J192" s="53"/>
      <c r="K192" s="53"/>
    </row>
    <row r="193" spans="1:11">
      <c r="A193" s="130"/>
      <c r="B193" s="24" t="s">
        <v>84</v>
      </c>
      <c r="C193" s="31"/>
      <c r="D193" s="27" t="s">
        <v>215</v>
      </c>
      <c r="E193" s="28">
        <v>0</v>
      </c>
      <c r="F193" s="29">
        <v>0</v>
      </c>
      <c r="G193" s="28">
        <v>0</v>
      </c>
      <c r="H193" s="53"/>
      <c r="I193" s="53"/>
      <c r="J193" s="53"/>
      <c r="K193" s="53"/>
    </row>
    <row r="194" spans="1:11">
      <c r="A194" s="130"/>
      <c r="B194" s="24" t="s">
        <v>84</v>
      </c>
      <c r="C194" s="32"/>
      <c r="D194" s="27" t="s">
        <v>216</v>
      </c>
      <c r="E194" s="28">
        <v>0</v>
      </c>
      <c r="F194" s="29">
        <v>0</v>
      </c>
      <c r="G194" s="28">
        <v>0</v>
      </c>
    </row>
    <row r="195" spans="1:11">
      <c r="A195" s="131"/>
      <c r="B195" s="61"/>
      <c r="C195" s="62"/>
      <c r="D195" s="61"/>
      <c r="E195" s="63"/>
      <c r="F195" s="64">
        <f>SUM(F192:F194)</f>
        <v>0</v>
      </c>
      <c r="G195" s="63"/>
    </row>
    <row r="196" spans="1:11">
      <c r="A196" s="129" t="s">
        <v>83</v>
      </c>
      <c r="B196" s="24" t="s">
        <v>84</v>
      </c>
      <c r="C196" s="26" t="s">
        <v>53</v>
      </c>
      <c r="D196" s="27" t="s">
        <v>214</v>
      </c>
      <c r="E196" s="28">
        <v>0</v>
      </c>
      <c r="F196" s="29">
        <v>0</v>
      </c>
      <c r="G196" s="28">
        <v>0</v>
      </c>
    </row>
    <row r="197" spans="1:11">
      <c r="A197" s="130"/>
      <c r="B197" s="24" t="s">
        <v>84</v>
      </c>
      <c r="C197" s="31"/>
      <c r="D197" s="27" t="s">
        <v>215</v>
      </c>
      <c r="E197" s="28">
        <v>0</v>
      </c>
      <c r="F197" s="29">
        <v>0</v>
      </c>
      <c r="G197" s="28">
        <v>0</v>
      </c>
    </row>
    <row r="198" spans="1:11">
      <c r="A198" s="130"/>
      <c r="B198" s="24" t="s">
        <v>84</v>
      </c>
      <c r="C198" s="32"/>
      <c r="D198" s="27" t="s">
        <v>216</v>
      </c>
      <c r="E198" s="28">
        <v>0</v>
      </c>
      <c r="F198" s="29">
        <v>0</v>
      </c>
      <c r="G198" s="28">
        <v>0</v>
      </c>
    </row>
    <row r="199" spans="1:11">
      <c r="A199" s="131"/>
      <c r="B199" s="61"/>
      <c r="C199" s="62"/>
      <c r="D199" s="61"/>
      <c r="E199" s="63"/>
      <c r="F199" s="64">
        <f>SUM(F196:F198)</f>
        <v>0</v>
      </c>
      <c r="G199" s="63"/>
    </row>
  </sheetData>
  <mergeCells count="8">
    <mergeCell ref="A1:H1"/>
    <mergeCell ref="A104:G104"/>
    <mergeCell ref="A170:G170"/>
    <mergeCell ref="J93:K93"/>
    <mergeCell ref="I5:J5"/>
    <mergeCell ref="A107:G107"/>
    <mergeCell ref="A148:G148"/>
    <mergeCell ref="A4:G4"/>
  </mergeCells>
  <printOptions horizontalCentered="1"/>
  <pageMargins left="0.7" right="0.71" top="1.0900000000000001" bottom="0.75" header="0.5" footer="0.5"/>
  <pageSetup scale="75" firstPageNumber="5" fitToHeight="4" orientation="portrait" useFirstPageNumber="1" r:id="rId1"/>
  <headerFooter scaleWithDoc="0">
    <oddHeader>&amp;CAvista Corporation Decoupling Mechanism
Washington Jurisdiction
Quarterly Report for 2nd Quarter 2021</oddHeader>
    <oddFooter>&amp;Cfile: &amp;F / &amp;A&amp;RPage &amp;P of 13</oddFooter>
  </headerFooter>
  <rowBreaks count="3" manualBreakCount="3">
    <brk id="46" max="7" man="1"/>
    <brk id="102" max="7" man="1"/>
    <brk id="146"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89"/>
  <sheetViews>
    <sheetView tabSelected="1" zoomScaleNormal="100" zoomScaleSheetLayoutView="100" workbookViewId="0">
      <selection activeCell="Q14" sqref="Q14"/>
    </sheetView>
  </sheetViews>
  <sheetFormatPr defaultColWidth="8.85546875" defaultRowHeight="15"/>
  <cols>
    <col min="1" max="1" width="25.5703125" style="53" customWidth="1"/>
    <col min="2" max="2" width="3.85546875" style="53" customWidth="1"/>
    <col min="3" max="3" width="15.42578125" style="155" bestFit="1" customWidth="1"/>
    <col min="4" max="4" width="12.7109375" style="155" customWidth="1"/>
    <col min="5" max="5" width="15.5703125" style="155" bestFit="1" customWidth="1"/>
    <col min="6" max="6" width="15.28515625" style="155" customWidth="1"/>
    <col min="7" max="7" width="3.42578125" style="53" customWidth="1"/>
    <col min="8" max="8" width="15.85546875" style="53" bestFit="1" customWidth="1"/>
    <col min="9" max="9" width="3.85546875" style="53" customWidth="1"/>
    <col min="10" max="10" width="24.85546875" style="53" customWidth="1"/>
    <col min="11" max="11" width="4.42578125" style="53" customWidth="1"/>
    <col min="12" max="12" width="14" style="155" customWidth="1"/>
    <col min="13" max="13" width="12.28515625" style="155" customWidth="1"/>
    <col min="14" max="14" width="13.140625" style="155" customWidth="1"/>
    <col min="15" max="15" width="14.5703125" style="155" customWidth="1"/>
    <col min="16" max="16" width="3.7109375" style="53" customWidth="1"/>
    <col min="17" max="17" width="12.7109375" style="53" customWidth="1"/>
    <col min="18" max="18" width="3.140625" style="53" customWidth="1"/>
    <col min="19" max="19" width="11.85546875" style="53" bestFit="1" customWidth="1"/>
    <col min="20" max="20" width="8.85546875" style="53"/>
    <col min="21" max="21" width="15" style="53" bestFit="1" customWidth="1"/>
    <col min="22" max="22" width="12.5703125" style="53" bestFit="1" customWidth="1"/>
    <col min="23" max="23" width="14" style="53" bestFit="1" customWidth="1"/>
    <col min="24" max="24" width="13.5703125" style="53" bestFit="1" customWidth="1"/>
    <col min="25" max="16384" width="8.85546875" style="53"/>
  </cols>
  <sheetData>
    <row r="1" spans="1:24" ht="28.15" customHeight="1">
      <c r="A1" s="240" t="s">
        <v>100</v>
      </c>
      <c r="B1" s="240"/>
      <c r="C1" s="240"/>
      <c r="D1" s="240"/>
      <c r="E1" s="240"/>
      <c r="F1" s="240"/>
      <c r="G1" s="240"/>
      <c r="H1" s="240"/>
      <c r="I1" s="240"/>
      <c r="J1" s="240" t="s">
        <v>100</v>
      </c>
      <c r="K1" s="240"/>
      <c r="L1" s="240"/>
      <c r="M1" s="240"/>
      <c r="N1" s="240"/>
      <c r="O1" s="240"/>
      <c r="P1" s="240"/>
      <c r="Q1" s="240"/>
      <c r="R1" s="240"/>
    </row>
    <row r="2" spans="1:24">
      <c r="C2" s="154" t="s">
        <v>105</v>
      </c>
      <c r="L2" s="154" t="s">
        <v>104</v>
      </c>
    </row>
    <row r="3" spans="1:24">
      <c r="A3" s="97"/>
      <c r="C3" s="156"/>
      <c r="H3" s="190"/>
      <c r="L3" s="156"/>
      <c r="Q3" s="190"/>
    </row>
    <row r="4" spans="1:24">
      <c r="A4" s="190"/>
      <c r="B4" s="191" t="s">
        <v>139</v>
      </c>
      <c r="C4" s="190" t="s">
        <v>103</v>
      </c>
      <c r="D4" s="190">
        <v>419328</v>
      </c>
      <c r="E4" s="190">
        <v>431328</v>
      </c>
      <c r="F4" s="190" t="s">
        <v>102</v>
      </c>
      <c r="H4" s="190" t="s">
        <v>132</v>
      </c>
      <c r="I4" s="158"/>
      <c r="K4" s="191" t="s">
        <v>140</v>
      </c>
      <c r="L4" s="190" t="s">
        <v>103</v>
      </c>
      <c r="M4" s="190">
        <v>419328</v>
      </c>
      <c r="N4" s="190">
        <v>431328</v>
      </c>
      <c r="O4" s="190" t="s">
        <v>102</v>
      </c>
      <c r="Q4" s="53" t="str">
        <f>H4</f>
        <v>Recon Check</v>
      </c>
      <c r="R4" s="158"/>
    </row>
    <row r="5" spans="1:24" ht="14.45" customHeight="1">
      <c r="A5" s="192">
        <v>44197</v>
      </c>
      <c r="C5" s="155">
        <f>D26+D43+D63+D81+D98+D114+D130+D146</f>
        <v>57711.77</v>
      </c>
      <c r="D5" s="157">
        <v>-59907.51</v>
      </c>
      <c r="E5" s="157">
        <v>2195.7399999999998</v>
      </c>
      <c r="F5" s="155">
        <f>D5+E5</f>
        <v>-57711.770000000004</v>
      </c>
      <c r="H5" s="155">
        <f>C5+F5</f>
        <v>0</v>
      </c>
      <c r="I5" s="158"/>
      <c r="J5" s="97">
        <f>A5</f>
        <v>44197</v>
      </c>
      <c r="L5" s="155">
        <f>M26+M43+M63+M81+M98+M114+M130+M146</f>
        <v>5499.3399999999992</v>
      </c>
      <c r="M5" s="157">
        <v>-6685.6</v>
      </c>
      <c r="N5" s="157">
        <v>1186.26</v>
      </c>
      <c r="O5" s="155">
        <f>M5+N5</f>
        <v>-5499.34</v>
      </c>
      <c r="P5" s="155"/>
      <c r="Q5" s="155">
        <f>L5+O5</f>
        <v>0</v>
      </c>
      <c r="R5" s="158"/>
      <c r="U5" s="17"/>
      <c r="V5" s="17"/>
      <c r="W5" s="17"/>
      <c r="X5" s="17"/>
    </row>
    <row r="6" spans="1:24" ht="14.45" customHeight="1">
      <c r="A6" s="97">
        <f>EDATE(A5,1)</f>
        <v>44228</v>
      </c>
      <c r="C6" s="155">
        <f>D27+D44+D64+D82+D99+D115+D131+D147</f>
        <v>58594.55</v>
      </c>
      <c r="D6" s="157">
        <v>-60796.24</v>
      </c>
      <c r="E6" s="157">
        <v>2201.69</v>
      </c>
      <c r="F6" s="155">
        <f t="shared" ref="F6:F15" si="0">D6+E6</f>
        <v>-58594.549999999996</v>
      </c>
      <c r="H6" s="155">
        <f t="shared" ref="H6:H16" si="1">C6+F6</f>
        <v>0</v>
      </c>
      <c r="I6" s="158"/>
      <c r="J6" s="97">
        <f t="shared" ref="J6:J16" si="2">A6</f>
        <v>44228</v>
      </c>
      <c r="L6" s="155">
        <f>M27+M44+M64+M82+M99+M115+M131+M147</f>
        <v>5298.2500000000009</v>
      </c>
      <c r="M6" s="157">
        <v>-6273.36</v>
      </c>
      <c r="N6" s="157">
        <v>975.11</v>
      </c>
      <c r="O6" s="155">
        <f t="shared" ref="O6:O16" si="3">M6+N6</f>
        <v>-5298.25</v>
      </c>
      <c r="P6" s="155"/>
      <c r="Q6" s="155">
        <f>L6+O6</f>
        <v>0</v>
      </c>
      <c r="R6" s="158"/>
      <c r="U6" s="17"/>
      <c r="V6" s="17"/>
      <c r="W6" s="17"/>
      <c r="X6" s="17"/>
    </row>
    <row r="7" spans="1:24" ht="14.45" customHeight="1">
      <c r="A7" s="97">
        <f>EDATE(A6,1)</f>
        <v>44256</v>
      </c>
      <c r="C7" s="155">
        <f>D28+D45+D65+D83+D100+D116+D132+D148</f>
        <v>54940.19</v>
      </c>
      <c r="D7" s="157">
        <v>-57147.839999999997</v>
      </c>
      <c r="E7" s="157">
        <v>2207.65</v>
      </c>
      <c r="F7" s="155">
        <f t="shared" si="0"/>
        <v>-54940.189999999995</v>
      </c>
      <c r="H7" s="155">
        <f t="shared" si="1"/>
        <v>0</v>
      </c>
      <c r="I7" s="158"/>
      <c r="J7" s="97">
        <f t="shared" si="2"/>
        <v>44256</v>
      </c>
      <c r="L7" s="155">
        <f>M28+M45+M65+M83+M100+M116+M132+M148</f>
        <v>3686.4300000000003</v>
      </c>
      <c r="M7" s="157">
        <v>-5763.81</v>
      </c>
      <c r="N7" s="157">
        <v>2077.38</v>
      </c>
      <c r="O7" s="155">
        <f t="shared" si="3"/>
        <v>-3686.4300000000003</v>
      </c>
      <c r="P7" s="155"/>
      <c r="Q7" s="155">
        <f t="shared" ref="Q7:Q16" si="4">L7+O7</f>
        <v>0</v>
      </c>
      <c r="R7" s="158"/>
      <c r="U7" s="17"/>
      <c r="V7" s="17"/>
      <c r="W7" s="17"/>
      <c r="X7" s="17"/>
    </row>
    <row r="8" spans="1:24" ht="14.45" customHeight="1">
      <c r="A8" s="97">
        <f t="shared" ref="A8:A16" si="5">EDATE(A7,1)</f>
        <v>44287</v>
      </c>
      <c r="B8" s="233" t="s">
        <v>186</v>
      </c>
      <c r="C8" s="155">
        <f>D30+D47+D66+D84+D101+D117+D133+D149+D29+D46</f>
        <v>54730.859999999993</v>
      </c>
      <c r="D8" s="157">
        <v>-56944.5</v>
      </c>
      <c r="E8" s="157">
        <v>2213.63</v>
      </c>
      <c r="F8" s="155">
        <f>D8+E8</f>
        <v>-54730.87</v>
      </c>
      <c r="H8" s="155">
        <f>C8+F8</f>
        <v>-1.0000000009313226E-2</v>
      </c>
      <c r="I8" s="158"/>
      <c r="J8" s="97">
        <f t="shared" si="2"/>
        <v>44287</v>
      </c>
      <c r="K8" s="233" t="s">
        <v>186</v>
      </c>
      <c r="L8" s="155">
        <f>M30+M47+M66+M84+M101+M117+M133+M149+M29+M46</f>
        <v>6472.0099999999993</v>
      </c>
      <c r="M8" s="157">
        <v>-6522.87</v>
      </c>
      <c r="N8" s="157">
        <v>50.86</v>
      </c>
      <c r="O8" s="155">
        <f t="shared" si="3"/>
        <v>-6472.01</v>
      </c>
      <c r="P8" s="155"/>
      <c r="Q8" s="155">
        <f t="shared" si="4"/>
        <v>0</v>
      </c>
      <c r="R8" s="158"/>
      <c r="X8" s="17"/>
    </row>
    <row r="9" spans="1:24" ht="14.45" customHeight="1">
      <c r="A9" s="97">
        <f t="shared" si="5"/>
        <v>44317</v>
      </c>
      <c r="C9" s="155">
        <f t="shared" ref="C9:C16" si="6">D31+D48+D67+D85+D102+D118+D134+D150</f>
        <v>54251.48</v>
      </c>
      <c r="D9" s="157">
        <v>-56471.1</v>
      </c>
      <c r="E9" s="157">
        <v>2219.62</v>
      </c>
      <c r="F9" s="155">
        <f t="shared" si="0"/>
        <v>-54251.479999999996</v>
      </c>
      <c r="H9" s="155">
        <f t="shared" si="1"/>
        <v>0</v>
      </c>
      <c r="I9" s="158"/>
      <c r="J9" s="97">
        <f t="shared" si="2"/>
        <v>44317</v>
      </c>
      <c r="L9" s="155">
        <f t="shared" ref="L9:L16" si="7">M31+M48+M67+M85+M102+M118+M134+M150</f>
        <v>9089.73</v>
      </c>
      <c r="M9" s="157">
        <v>-9257.56</v>
      </c>
      <c r="N9" s="157">
        <v>167.83</v>
      </c>
      <c r="O9" s="155">
        <f t="shared" si="3"/>
        <v>-9089.73</v>
      </c>
      <c r="P9" s="155"/>
      <c r="Q9" s="155">
        <f t="shared" si="4"/>
        <v>0</v>
      </c>
      <c r="R9" s="158"/>
      <c r="X9" s="17"/>
    </row>
    <row r="10" spans="1:24" ht="14.45" customHeight="1">
      <c r="A10" s="97">
        <f t="shared" si="5"/>
        <v>44348</v>
      </c>
      <c r="C10" s="155">
        <f t="shared" si="6"/>
        <v>46786.61</v>
      </c>
      <c r="D10" s="157">
        <v>-49012.24</v>
      </c>
      <c r="E10" s="157">
        <v>2225.63</v>
      </c>
      <c r="F10" s="155">
        <f t="shared" si="0"/>
        <v>-46786.61</v>
      </c>
      <c r="H10" s="155">
        <f t="shared" si="1"/>
        <v>0</v>
      </c>
      <c r="I10" s="158"/>
      <c r="J10" s="97">
        <f t="shared" si="2"/>
        <v>44348</v>
      </c>
      <c r="L10" s="155">
        <f t="shared" si="7"/>
        <v>11142.279999999999</v>
      </c>
      <c r="M10" s="157">
        <v>-11246.58</v>
      </c>
      <c r="N10" s="157">
        <v>104.3</v>
      </c>
      <c r="O10" s="155">
        <f>M10+N10</f>
        <v>-11142.28</v>
      </c>
      <c r="P10" s="155"/>
      <c r="Q10" s="155">
        <f t="shared" si="4"/>
        <v>0</v>
      </c>
      <c r="R10" s="158"/>
      <c r="X10" s="17"/>
    </row>
    <row r="11" spans="1:24" ht="14.45" hidden="1" customHeight="1">
      <c r="A11" s="97">
        <f t="shared" si="5"/>
        <v>44378</v>
      </c>
      <c r="C11" s="155">
        <f t="shared" si="6"/>
        <v>40450.58</v>
      </c>
      <c r="D11" s="157"/>
      <c r="E11" s="157"/>
      <c r="F11" s="155">
        <f t="shared" si="0"/>
        <v>0</v>
      </c>
      <c r="H11" s="155">
        <f t="shared" si="1"/>
        <v>40450.58</v>
      </c>
      <c r="I11" s="158"/>
      <c r="J11" s="97">
        <f t="shared" si="2"/>
        <v>44378</v>
      </c>
      <c r="L11" s="155">
        <f t="shared" si="7"/>
        <v>11802.8</v>
      </c>
      <c r="M11" s="201"/>
      <c r="N11" s="201"/>
      <c r="O11" s="155">
        <f t="shared" si="3"/>
        <v>0</v>
      </c>
      <c r="P11" s="155"/>
      <c r="Q11" s="155">
        <f t="shared" si="4"/>
        <v>11802.8</v>
      </c>
      <c r="R11" s="158"/>
      <c r="X11" s="17"/>
    </row>
    <row r="12" spans="1:24" ht="14.45" hidden="1" customHeight="1">
      <c r="A12" s="97">
        <f t="shared" si="5"/>
        <v>44409</v>
      </c>
      <c r="C12" s="155">
        <f t="shared" si="6"/>
        <v>40560.15</v>
      </c>
      <c r="D12" s="157"/>
      <c r="E12" s="157"/>
      <c r="F12" s="155">
        <f t="shared" si="0"/>
        <v>0</v>
      </c>
      <c r="H12" s="155">
        <f t="shared" si="1"/>
        <v>40560.15</v>
      </c>
      <c r="I12" s="158"/>
      <c r="J12" s="97">
        <f t="shared" si="2"/>
        <v>44409</v>
      </c>
      <c r="L12" s="155">
        <f t="shared" si="7"/>
        <v>11834.77</v>
      </c>
      <c r="M12" s="201"/>
      <c r="N12" s="201"/>
      <c r="O12" s="155">
        <f>M12+N12</f>
        <v>0</v>
      </c>
      <c r="P12" s="155"/>
      <c r="Q12" s="155">
        <f t="shared" si="4"/>
        <v>11834.77</v>
      </c>
      <c r="X12" s="17"/>
    </row>
    <row r="13" spans="1:24" ht="14.45" hidden="1" customHeight="1">
      <c r="A13" s="97">
        <f t="shared" si="5"/>
        <v>44440</v>
      </c>
      <c r="C13" s="155">
        <f t="shared" si="6"/>
        <v>40669.99</v>
      </c>
      <c r="D13" s="157"/>
      <c r="E13" s="157"/>
      <c r="F13" s="155">
        <f t="shared" si="0"/>
        <v>0</v>
      </c>
      <c r="H13" s="155">
        <f t="shared" si="1"/>
        <v>40669.99</v>
      </c>
      <c r="I13" s="158"/>
      <c r="J13" s="97">
        <f t="shared" si="2"/>
        <v>44440</v>
      </c>
      <c r="L13" s="155">
        <f t="shared" si="7"/>
        <v>11866.82</v>
      </c>
      <c r="M13" s="201"/>
      <c r="N13" s="201"/>
      <c r="O13" s="155">
        <f t="shared" si="3"/>
        <v>0</v>
      </c>
      <c r="P13" s="155"/>
      <c r="Q13" s="155">
        <f t="shared" si="4"/>
        <v>11866.82</v>
      </c>
      <c r="R13" s="158"/>
      <c r="X13" s="17"/>
    </row>
    <row r="14" spans="1:24" hidden="1">
      <c r="A14" s="97">
        <f t="shared" si="5"/>
        <v>44470</v>
      </c>
      <c r="C14" s="155">
        <f t="shared" si="6"/>
        <v>40780.130000000005</v>
      </c>
      <c r="D14" s="157"/>
      <c r="E14" s="157"/>
      <c r="F14" s="155">
        <f t="shared" si="0"/>
        <v>0</v>
      </c>
      <c r="H14" s="155">
        <f t="shared" si="1"/>
        <v>40780.130000000005</v>
      </c>
      <c r="I14" s="158"/>
      <c r="J14" s="97">
        <f t="shared" si="2"/>
        <v>44470</v>
      </c>
      <c r="L14" s="155">
        <f t="shared" si="7"/>
        <v>11898.96</v>
      </c>
      <c r="M14" s="201"/>
      <c r="N14" s="201"/>
      <c r="O14" s="155">
        <f t="shared" si="3"/>
        <v>0</v>
      </c>
      <c r="P14" s="155"/>
      <c r="Q14" s="155">
        <f t="shared" si="4"/>
        <v>11898.96</v>
      </c>
      <c r="R14" s="158"/>
      <c r="X14" s="17"/>
    </row>
    <row r="15" spans="1:24" hidden="1">
      <c r="A15" s="97">
        <f t="shared" si="5"/>
        <v>44501</v>
      </c>
      <c r="C15" s="155">
        <f t="shared" si="6"/>
        <v>40890.58</v>
      </c>
      <c r="D15" s="157"/>
      <c r="E15" s="157"/>
      <c r="F15" s="155">
        <f t="shared" si="0"/>
        <v>0</v>
      </c>
      <c r="H15" s="155">
        <f t="shared" si="1"/>
        <v>40890.58</v>
      </c>
      <c r="I15" s="158"/>
      <c r="J15" s="97">
        <f t="shared" si="2"/>
        <v>44501</v>
      </c>
      <c r="L15" s="155">
        <f t="shared" si="7"/>
        <v>11931.19</v>
      </c>
      <c r="M15" s="201"/>
      <c r="N15" s="201"/>
      <c r="O15" s="155">
        <f>M15+N15</f>
        <v>0</v>
      </c>
      <c r="P15" s="155"/>
      <c r="Q15" s="155">
        <f t="shared" si="4"/>
        <v>11931.19</v>
      </c>
      <c r="R15" s="158"/>
      <c r="X15" s="17"/>
    </row>
    <row r="16" spans="1:24" hidden="1">
      <c r="A16" s="97">
        <f t="shared" si="5"/>
        <v>44531</v>
      </c>
      <c r="C16" s="155">
        <f t="shared" si="6"/>
        <v>41001.329999999994</v>
      </c>
      <c r="D16" s="157"/>
      <c r="E16" s="157"/>
      <c r="F16" s="155">
        <f>D16+E16</f>
        <v>0</v>
      </c>
      <c r="H16" s="155">
        <f t="shared" si="1"/>
        <v>41001.329999999994</v>
      </c>
      <c r="J16" s="97">
        <f t="shared" si="2"/>
        <v>44531</v>
      </c>
      <c r="L16" s="155">
        <f t="shared" si="7"/>
        <v>11963.490000000002</v>
      </c>
      <c r="M16" s="201"/>
      <c r="N16" s="201"/>
      <c r="O16" s="155">
        <f t="shared" si="3"/>
        <v>0</v>
      </c>
      <c r="P16" s="155"/>
      <c r="Q16" s="155">
        <f t="shared" si="4"/>
        <v>11963.490000000002</v>
      </c>
      <c r="X16" s="17"/>
    </row>
    <row r="17" spans="1:24" ht="14.45" customHeight="1">
      <c r="A17" s="118" t="s">
        <v>101</v>
      </c>
      <c r="B17" s="113"/>
      <c r="C17" s="159">
        <f>SUM(C5:C7)</f>
        <v>171246.51</v>
      </c>
      <c r="D17" s="159">
        <f>SUM(D5:D7)</f>
        <v>-177851.59</v>
      </c>
      <c r="E17" s="159">
        <f t="shared" ref="E17:F17" si="8">SUM(E5:E7)</f>
        <v>6605.08</v>
      </c>
      <c r="F17" s="159">
        <f t="shared" si="8"/>
        <v>-171246.51</v>
      </c>
      <c r="G17" s="113"/>
      <c r="H17" s="159">
        <f>C17+F17</f>
        <v>0</v>
      </c>
      <c r="I17" s="113"/>
      <c r="J17" s="118" t="s">
        <v>101</v>
      </c>
      <c r="K17" s="113"/>
      <c r="L17" s="159">
        <f>SUM(L5:L7)</f>
        <v>14484.02</v>
      </c>
      <c r="M17" s="159">
        <f t="shared" ref="M17:O17" si="9">SUM(M5:M7)</f>
        <v>-18722.77</v>
      </c>
      <c r="N17" s="159">
        <f t="shared" si="9"/>
        <v>4238.75</v>
      </c>
      <c r="O17" s="159">
        <f t="shared" si="9"/>
        <v>-14484.02</v>
      </c>
      <c r="P17" s="159"/>
      <c r="Q17" s="159">
        <f>L17+O17</f>
        <v>0</v>
      </c>
    </row>
    <row r="18" spans="1:24" ht="14.45" customHeight="1">
      <c r="A18" s="118" t="s">
        <v>106</v>
      </c>
      <c r="B18" s="113"/>
      <c r="C18" s="159">
        <f>SUM(C8:C10)</f>
        <v>155768.95000000001</v>
      </c>
      <c r="D18" s="159">
        <f>SUM(D8:D10)</f>
        <v>-162427.84</v>
      </c>
      <c r="E18" s="159">
        <f t="shared" ref="E18:F18" si="10">SUM(E8:E10)</f>
        <v>6658.88</v>
      </c>
      <c r="F18" s="159">
        <f t="shared" si="10"/>
        <v>-155768.96000000002</v>
      </c>
      <c r="G18" s="113"/>
      <c r="H18" s="159">
        <f t="shared" ref="H18:H21" si="11">C18+F18</f>
        <v>-1.0000000009313226E-2</v>
      </c>
      <c r="I18" s="113"/>
      <c r="J18" s="118" t="s">
        <v>106</v>
      </c>
      <c r="K18" s="113"/>
      <c r="L18" s="159">
        <f>SUM(L8:L10)</f>
        <v>26704.019999999997</v>
      </c>
      <c r="M18" s="159">
        <f t="shared" ref="M18:O18" si="12">SUM(M8:M10)</f>
        <v>-27027.010000000002</v>
      </c>
      <c r="N18" s="159">
        <f t="shared" si="12"/>
        <v>322.99</v>
      </c>
      <c r="O18" s="159">
        <f t="shared" si="12"/>
        <v>-26704.02</v>
      </c>
      <c r="P18" s="159"/>
      <c r="Q18" s="159">
        <f t="shared" ref="Q18:Q21" si="13">L18+O18</f>
        <v>0</v>
      </c>
    </row>
    <row r="19" spans="1:24" ht="14.45" hidden="1" customHeight="1">
      <c r="A19" s="118" t="s">
        <v>107</v>
      </c>
      <c r="B19" s="113"/>
      <c r="C19" s="159">
        <f>SUM(C11:C13)</f>
        <v>121680.72</v>
      </c>
      <c r="D19" s="159">
        <f t="shared" ref="D19:E19" si="14">SUM(D11:D13)</f>
        <v>0</v>
      </c>
      <c r="E19" s="159">
        <f t="shared" si="14"/>
        <v>0</v>
      </c>
      <c r="F19" s="159">
        <f>SUM(F11:F13)</f>
        <v>0</v>
      </c>
      <c r="G19" s="113"/>
      <c r="H19" s="159">
        <f t="shared" si="11"/>
        <v>121680.72</v>
      </c>
      <c r="I19" s="113"/>
      <c r="J19" s="118" t="s">
        <v>108</v>
      </c>
      <c r="K19" s="113"/>
      <c r="L19" s="159">
        <f>SUM(L11:L13)</f>
        <v>35504.39</v>
      </c>
      <c r="M19" s="159">
        <f>SUM(M11:M13)</f>
        <v>0</v>
      </c>
      <c r="N19" s="159">
        <f t="shared" ref="N19:O19" si="15">SUM(N11:N13)</f>
        <v>0</v>
      </c>
      <c r="O19" s="159">
        <f t="shared" si="15"/>
        <v>0</v>
      </c>
      <c r="P19" s="159"/>
      <c r="Q19" s="159">
        <f t="shared" si="13"/>
        <v>35504.39</v>
      </c>
    </row>
    <row r="20" spans="1:24" s="113" customFormat="1" hidden="1">
      <c r="A20" s="118" t="s">
        <v>110</v>
      </c>
      <c r="C20" s="159">
        <f>SUM(C14:C16)</f>
        <v>122672.04000000001</v>
      </c>
      <c r="D20" s="159">
        <f t="shared" ref="D20:F20" si="16">SUM(D14:D16)</f>
        <v>0</v>
      </c>
      <c r="E20" s="159">
        <f t="shared" si="16"/>
        <v>0</v>
      </c>
      <c r="F20" s="159">
        <f t="shared" si="16"/>
        <v>0</v>
      </c>
      <c r="H20" s="159">
        <f t="shared" si="11"/>
        <v>122672.04000000001</v>
      </c>
      <c r="J20" s="118" t="s">
        <v>110</v>
      </c>
      <c r="L20" s="159">
        <f>SUM(L14:L16)</f>
        <v>35793.64</v>
      </c>
      <c r="M20" s="159">
        <f t="shared" ref="M20:O20" si="17">SUM(M14:M16)</f>
        <v>0</v>
      </c>
      <c r="N20" s="159">
        <f t="shared" si="17"/>
        <v>0</v>
      </c>
      <c r="O20" s="159">
        <f t="shared" si="17"/>
        <v>0</v>
      </c>
      <c r="P20" s="159"/>
      <c r="Q20" s="159">
        <f t="shared" si="13"/>
        <v>35793.64</v>
      </c>
    </row>
    <row r="21" spans="1:24" s="113" customFormat="1">
      <c r="A21" s="118" t="s">
        <v>137</v>
      </c>
      <c r="C21" s="159">
        <f>SUM(C5:C16)</f>
        <v>571368.22</v>
      </c>
      <c r="D21" s="159">
        <f t="shared" ref="D21:F21" si="18">SUM(D5:D16)</f>
        <v>-340279.43</v>
      </c>
      <c r="E21" s="159">
        <f t="shared" si="18"/>
        <v>13263.96</v>
      </c>
      <c r="F21" s="159">
        <f t="shared" si="18"/>
        <v>-327015.46999999997</v>
      </c>
      <c r="H21" s="159">
        <f t="shared" si="11"/>
        <v>244352.75</v>
      </c>
      <c r="J21" s="118" t="s">
        <v>137</v>
      </c>
      <c r="L21" s="159">
        <f>SUM(L5:L16)</f>
        <v>112486.06999999999</v>
      </c>
      <c r="M21" s="159">
        <f t="shared" ref="M21:O21" si="19">SUM(M5:M16)</f>
        <v>-45749.78</v>
      </c>
      <c r="N21" s="159">
        <f t="shared" si="19"/>
        <v>4561.74</v>
      </c>
      <c r="O21" s="159">
        <f t="shared" si="19"/>
        <v>-41188.04</v>
      </c>
      <c r="P21" s="159"/>
      <c r="Q21" s="159">
        <f t="shared" si="13"/>
        <v>71298.03</v>
      </c>
    </row>
    <row r="22" spans="1:24">
      <c r="A22" s="210" t="s">
        <v>217</v>
      </c>
      <c r="B22" s="210"/>
      <c r="C22" s="210"/>
      <c r="D22" s="210"/>
      <c r="E22" s="210"/>
      <c r="J22" s="210" t="s">
        <v>218</v>
      </c>
      <c r="K22" s="210"/>
      <c r="L22" s="210"/>
      <c r="M22" s="210"/>
      <c r="N22" s="210"/>
    </row>
    <row r="23" spans="1:24">
      <c r="A23" s="189">
        <v>186328</v>
      </c>
      <c r="B23" s="189" t="s">
        <v>52</v>
      </c>
      <c r="C23" s="156" t="s">
        <v>92</v>
      </c>
      <c r="D23" s="156" t="s">
        <v>93</v>
      </c>
      <c r="E23" s="156"/>
      <c r="F23" s="156" t="s">
        <v>95</v>
      </c>
      <c r="H23" s="190" t="s">
        <v>93</v>
      </c>
      <c r="J23" s="189">
        <f>A23</f>
        <v>186328</v>
      </c>
      <c r="K23" s="189" t="s">
        <v>53</v>
      </c>
      <c r="L23" s="156" t="s">
        <v>92</v>
      </c>
      <c r="M23" s="156" t="s">
        <v>93</v>
      </c>
      <c r="N23" s="156"/>
      <c r="O23" s="156" t="s">
        <v>95</v>
      </c>
      <c r="Q23" s="190" t="s">
        <v>93</v>
      </c>
    </row>
    <row r="24" spans="1:24">
      <c r="A24" s="151" t="s">
        <v>141</v>
      </c>
      <c r="B24" s="113" t="s">
        <v>142</v>
      </c>
      <c r="C24" s="156" t="s">
        <v>96</v>
      </c>
      <c r="D24" s="156" t="s">
        <v>97</v>
      </c>
      <c r="E24" s="156" t="s">
        <v>98</v>
      </c>
      <c r="F24" s="156" t="s">
        <v>94</v>
      </c>
      <c r="H24" s="190" t="s">
        <v>99</v>
      </c>
      <c r="J24" s="152" t="str">
        <f>A24</f>
        <v>Deferral - Residential</v>
      </c>
      <c r="K24" s="113" t="s">
        <v>142</v>
      </c>
      <c r="L24" s="156" t="s">
        <v>96</v>
      </c>
      <c r="M24" s="156" t="s">
        <v>97</v>
      </c>
      <c r="N24" s="156" t="s">
        <v>98</v>
      </c>
      <c r="O24" s="156" t="s">
        <v>94</v>
      </c>
      <c r="Q24" s="190" t="s">
        <v>99</v>
      </c>
    </row>
    <row r="25" spans="1:24" ht="14.45" customHeight="1">
      <c r="A25" s="97">
        <f>EDATE(A5,-1)</f>
        <v>44166</v>
      </c>
      <c r="B25" s="98"/>
      <c r="F25" s="155">
        <v>0</v>
      </c>
      <c r="J25" s="97">
        <f>A25</f>
        <v>44166</v>
      </c>
      <c r="K25" s="98"/>
      <c r="O25" s="155">
        <v>0</v>
      </c>
    </row>
    <row r="26" spans="1:24" ht="14.45" customHeight="1">
      <c r="A26" s="97">
        <f t="shared" ref="A26:A28" si="20">A5</f>
        <v>44197</v>
      </c>
      <c r="C26" s="157">
        <v>2439794.7200000002</v>
      </c>
      <c r="D26" s="155">
        <f>ROUND((F25+(C26+E26)/2)*H26/12,2)</f>
        <v>3303.89</v>
      </c>
      <c r="F26" s="155">
        <f>F25+C26+D26+E26</f>
        <v>2443098.6100000003</v>
      </c>
      <c r="G26" s="158"/>
      <c r="H26" s="124">
        <v>3.2500000000000001E-2</v>
      </c>
      <c r="J26" s="97">
        <f t="shared" ref="J26:J38" si="21">A26</f>
        <v>44197</v>
      </c>
      <c r="L26" s="157">
        <v>852965.56</v>
      </c>
      <c r="M26" s="155">
        <f>ROUND((O25+(L26+N26)/2)*Q26/12,2)</f>
        <v>1155.06</v>
      </c>
      <c r="O26" s="155">
        <f t="shared" ref="O26:O37" si="22">O25+L26+M26+N26</f>
        <v>854120.62000000011</v>
      </c>
      <c r="P26" s="158"/>
      <c r="Q26" s="99">
        <f>H26</f>
        <v>3.2500000000000001E-2</v>
      </c>
      <c r="U26" s="17"/>
      <c r="V26" s="193"/>
      <c r="W26" s="17"/>
      <c r="X26" s="193"/>
    </row>
    <row r="27" spans="1:24" ht="14.45" customHeight="1" thickBot="1">
      <c r="A27" s="97">
        <f t="shared" si="20"/>
        <v>44228</v>
      </c>
      <c r="C27" s="157">
        <v>-2292074.17</v>
      </c>
      <c r="D27" s="155">
        <f t="shared" ref="D27:D37" si="23">ROUND((F26+(C27+E27)/2)*H27/12,2)</f>
        <v>3512.87</v>
      </c>
      <c r="F27" s="155">
        <f t="shared" ref="F27:F38" si="24">F26+C27+D27+E27</f>
        <v>154537.31000000041</v>
      </c>
      <c r="G27" s="158"/>
      <c r="H27" s="99">
        <f>H26</f>
        <v>3.2500000000000001E-2</v>
      </c>
      <c r="J27" s="97">
        <f t="shared" si="21"/>
        <v>44228</v>
      </c>
      <c r="L27" s="157">
        <v>-1826425.34</v>
      </c>
      <c r="M27" s="155">
        <f t="shared" ref="M27:M38" si="25">ROUND((O26+(L27+N27)/2)*Q27/12,2)</f>
        <v>-160.04</v>
      </c>
      <c r="O27" s="155">
        <f t="shared" si="22"/>
        <v>-972464.76</v>
      </c>
      <c r="P27" s="158"/>
      <c r="Q27" s="99">
        <f t="shared" ref="Q27:Q38" si="26">H27</f>
        <v>3.2500000000000001E-2</v>
      </c>
      <c r="U27" s="17"/>
      <c r="V27" s="193"/>
      <c r="W27" s="17"/>
      <c r="X27" s="193"/>
    </row>
    <row r="28" spans="1:24" ht="14.45" customHeight="1">
      <c r="A28" s="97">
        <f t="shared" si="20"/>
        <v>44256</v>
      </c>
      <c r="C28" s="157">
        <v>284934.27</v>
      </c>
      <c r="D28" s="155">
        <f t="shared" si="23"/>
        <v>804.39</v>
      </c>
      <c r="F28" s="155">
        <f>F27+C28+D28+E28</f>
        <v>440275.97000000044</v>
      </c>
      <c r="G28" s="158"/>
      <c r="H28" s="99">
        <f>H27</f>
        <v>3.2500000000000001E-2</v>
      </c>
      <c r="J28" s="97">
        <f t="shared" si="21"/>
        <v>44256</v>
      </c>
      <c r="L28" s="157">
        <v>776708.89</v>
      </c>
      <c r="M28" s="155">
        <f t="shared" si="25"/>
        <v>-1581.97</v>
      </c>
      <c r="O28" s="155">
        <f t="shared" si="22"/>
        <v>-197337.84</v>
      </c>
      <c r="P28" s="158"/>
      <c r="Q28" s="99">
        <f t="shared" si="26"/>
        <v>3.2500000000000001E-2</v>
      </c>
      <c r="U28" s="205" t="s">
        <v>202</v>
      </c>
      <c r="V28" s="206"/>
      <c r="W28" s="17"/>
      <c r="X28" s="193"/>
    </row>
    <row r="29" spans="1:24" ht="14.45" customHeight="1" thickBot="1">
      <c r="A29" s="97" t="s">
        <v>201</v>
      </c>
      <c r="C29" s="157">
        <v>90827.51</v>
      </c>
      <c r="D29" s="157">
        <v>391.07</v>
      </c>
      <c r="F29" s="155">
        <f>F28+C29+D29</f>
        <v>531494.5500000004</v>
      </c>
      <c r="G29" s="209" t="s">
        <v>203</v>
      </c>
      <c r="H29" s="124"/>
      <c r="J29" s="97" t="s">
        <v>201</v>
      </c>
      <c r="L29" s="157">
        <v>60910.89</v>
      </c>
      <c r="M29" s="157">
        <v>269.08</v>
      </c>
      <c r="O29" s="155">
        <f>O28+L29+M29</f>
        <v>-136157.87000000002</v>
      </c>
      <c r="P29" s="209" t="s">
        <v>203</v>
      </c>
      <c r="Q29" s="124"/>
      <c r="U29" s="207">
        <f>F32-'Electric Deferral'!U33</f>
        <v>-3.1836100271902978E-2</v>
      </c>
      <c r="V29" s="208">
        <f>O32-'Nat Gas Deferral'!U31</f>
        <v>1.8865226302295923E-3</v>
      </c>
      <c r="W29" s="17"/>
      <c r="X29" s="193"/>
    </row>
    <row r="30" spans="1:24" ht="14.45" customHeight="1">
      <c r="A30" s="97">
        <f t="shared" ref="A30:A38" si="27">A8</f>
        <v>44287</v>
      </c>
      <c r="C30" s="157">
        <v>775739.5</v>
      </c>
      <c r="D30" s="155">
        <f>ROUND((F29+(C30+E30)/2)*H30/12,2)</f>
        <v>2489.94</v>
      </c>
      <c r="F30" s="155">
        <f>F29+C30+D30+E30</f>
        <v>1309723.9900000002</v>
      </c>
      <c r="G30" s="158"/>
      <c r="H30" s="124">
        <v>3.2500000000000001E-2</v>
      </c>
      <c r="J30" s="97">
        <f t="shared" si="21"/>
        <v>44287</v>
      </c>
      <c r="L30" s="157">
        <v>987611.82</v>
      </c>
      <c r="M30" s="155">
        <f>ROUND((O29+(L30+N30)/2)*Q30/12,2)</f>
        <v>968.63</v>
      </c>
      <c r="O30" s="155">
        <f>O29+L30+M30+N30</f>
        <v>852422.58</v>
      </c>
      <c r="P30" s="158"/>
      <c r="Q30" s="99">
        <f t="shared" si="26"/>
        <v>3.2500000000000001E-2</v>
      </c>
    </row>
    <row r="31" spans="1:24" ht="14.45" customHeight="1">
      <c r="A31" s="97">
        <f t="shared" si="27"/>
        <v>44317</v>
      </c>
      <c r="C31" s="157">
        <v>313118.21999999997</v>
      </c>
      <c r="D31" s="155">
        <f t="shared" si="23"/>
        <v>3971.18</v>
      </c>
      <c r="F31" s="155">
        <f t="shared" si="24"/>
        <v>1626813.3900000001</v>
      </c>
      <c r="G31" s="158"/>
      <c r="H31" s="99">
        <f t="shared" ref="H31:H38" si="28">H30</f>
        <v>3.2500000000000001E-2</v>
      </c>
      <c r="J31" s="97">
        <f t="shared" si="21"/>
        <v>44317</v>
      </c>
      <c r="L31" s="157">
        <v>853311.87</v>
      </c>
      <c r="M31" s="155">
        <f t="shared" si="25"/>
        <v>3464.17</v>
      </c>
      <c r="O31" s="155">
        <f t="shared" si="22"/>
        <v>1709198.6199999999</v>
      </c>
      <c r="P31" s="158"/>
      <c r="Q31" s="99">
        <f t="shared" si="26"/>
        <v>3.2500000000000001E-2</v>
      </c>
    </row>
    <row r="32" spans="1:24" ht="14.45" customHeight="1">
      <c r="A32" s="97">
        <f t="shared" si="27"/>
        <v>44348</v>
      </c>
      <c r="C32" s="157">
        <v>-2169200.09</v>
      </c>
      <c r="D32" s="155">
        <f t="shared" si="23"/>
        <v>1468.49</v>
      </c>
      <c r="F32" s="155">
        <f t="shared" si="24"/>
        <v>-540918.20999999973</v>
      </c>
      <c r="G32" s="158"/>
      <c r="H32" s="99">
        <f t="shared" si="28"/>
        <v>3.2500000000000001E-2</v>
      </c>
      <c r="J32" s="97">
        <f t="shared" si="21"/>
        <v>44348</v>
      </c>
      <c r="L32" s="157">
        <v>305876.19</v>
      </c>
      <c r="M32" s="155">
        <f t="shared" si="25"/>
        <v>5043.29</v>
      </c>
      <c r="O32" s="155">
        <f t="shared" si="22"/>
        <v>2020118.0999999999</v>
      </c>
      <c r="P32" s="158"/>
      <c r="Q32" s="99">
        <f t="shared" si="26"/>
        <v>3.2500000000000001E-2</v>
      </c>
    </row>
    <row r="33" spans="1:24" ht="14.45" hidden="1" customHeight="1">
      <c r="A33" s="97">
        <f t="shared" si="27"/>
        <v>44378</v>
      </c>
      <c r="C33" s="157">
        <v>0</v>
      </c>
      <c r="D33" s="155">
        <f t="shared" si="23"/>
        <v>-1464.99</v>
      </c>
      <c r="F33" s="155">
        <f t="shared" si="24"/>
        <v>-542383.19999999972</v>
      </c>
      <c r="G33" s="158"/>
      <c r="H33" s="124">
        <f t="shared" si="28"/>
        <v>3.2500000000000001E-2</v>
      </c>
      <c r="J33" s="97">
        <f t="shared" si="21"/>
        <v>44378</v>
      </c>
      <c r="L33" s="157">
        <v>0</v>
      </c>
      <c r="M33" s="155">
        <f t="shared" si="25"/>
        <v>5471.15</v>
      </c>
      <c r="O33" s="155">
        <f t="shared" si="22"/>
        <v>2025589.2499999998</v>
      </c>
      <c r="P33" s="158"/>
      <c r="Q33" s="99">
        <f t="shared" si="26"/>
        <v>3.2500000000000001E-2</v>
      </c>
    </row>
    <row r="34" spans="1:24" ht="14.45" hidden="1" customHeight="1">
      <c r="A34" s="97">
        <f t="shared" si="27"/>
        <v>44409</v>
      </c>
      <c r="C34" s="157">
        <v>0</v>
      </c>
      <c r="D34" s="155">
        <f t="shared" si="23"/>
        <v>-1468.95</v>
      </c>
      <c r="F34" s="155">
        <f t="shared" si="24"/>
        <v>-543852.14999999967</v>
      </c>
      <c r="G34" s="158"/>
      <c r="H34" s="99">
        <f t="shared" si="28"/>
        <v>3.2500000000000001E-2</v>
      </c>
      <c r="J34" s="97">
        <f t="shared" si="21"/>
        <v>44409</v>
      </c>
      <c r="L34" s="157">
        <v>0</v>
      </c>
      <c r="M34" s="155">
        <f t="shared" si="25"/>
        <v>5485.97</v>
      </c>
      <c r="O34" s="155">
        <f t="shared" si="22"/>
        <v>2031075.2199999997</v>
      </c>
      <c r="P34" s="158"/>
      <c r="Q34" s="99">
        <f t="shared" si="26"/>
        <v>3.2500000000000001E-2</v>
      </c>
    </row>
    <row r="35" spans="1:24" hidden="1">
      <c r="A35" s="97">
        <f t="shared" si="27"/>
        <v>44440</v>
      </c>
      <c r="C35" s="157">
        <v>0</v>
      </c>
      <c r="D35" s="155">
        <f t="shared" si="23"/>
        <v>-1472.93</v>
      </c>
      <c r="F35" s="155">
        <f t="shared" si="24"/>
        <v>-545325.07999999973</v>
      </c>
      <c r="G35" s="158"/>
      <c r="H35" s="99">
        <f t="shared" si="28"/>
        <v>3.2500000000000001E-2</v>
      </c>
      <c r="J35" s="97">
        <f t="shared" si="21"/>
        <v>44440</v>
      </c>
      <c r="L35" s="157">
        <v>0</v>
      </c>
      <c r="M35" s="155">
        <f t="shared" si="25"/>
        <v>5500.83</v>
      </c>
      <c r="O35" s="155">
        <f t="shared" si="22"/>
        <v>2036576.0499999998</v>
      </c>
      <c r="P35" s="158"/>
      <c r="Q35" s="99">
        <f t="shared" si="26"/>
        <v>3.2500000000000001E-2</v>
      </c>
    </row>
    <row r="36" spans="1:24" hidden="1">
      <c r="A36" s="97">
        <f t="shared" si="27"/>
        <v>44470</v>
      </c>
      <c r="C36" s="157">
        <v>0</v>
      </c>
      <c r="D36" s="155">
        <f t="shared" si="23"/>
        <v>-1476.92</v>
      </c>
      <c r="F36" s="155">
        <f t="shared" si="24"/>
        <v>-546801.99999999977</v>
      </c>
      <c r="G36" s="158"/>
      <c r="H36" s="124">
        <f t="shared" si="28"/>
        <v>3.2500000000000001E-2</v>
      </c>
      <c r="J36" s="97">
        <f t="shared" si="21"/>
        <v>44470</v>
      </c>
      <c r="L36" s="157">
        <v>0</v>
      </c>
      <c r="M36" s="155">
        <f t="shared" si="25"/>
        <v>5515.73</v>
      </c>
      <c r="O36" s="155">
        <f t="shared" si="22"/>
        <v>2042091.7799999998</v>
      </c>
      <c r="P36" s="158"/>
      <c r="Q36" s="99">
        <f t="shared" si="26"/>
        <v>3.2500000000000001E-2</v>
      </c>
    </row>
    <row r="37" spans="1:24" hidden="1">
      <c r="A37" s="97">
        <f t="shared" si="27"/>
        <v>44501</v>
      </c>
      <c r="C37" s="157">
        <v>0</v>
      </c>
      <c r="D37" s="155">
        <f t="shared" si="23"/>
        <v>-1480.92</v>
      </c>
      <c r="F37" s="155">
        <f t="shared" si="24"/>
        <v>-548282.91999999981</v>
      </c>
      <c r="G37" s="158"/>
      <c r="H37" s="99">
        <f t="shared" si="28"/>
        <v>3.2500000000000001E-2</v>
      </c>
      <c r="J37" s="97">
        <f t="shared" si="21"/>
        <v>44501</v>
      </c>
      <c r="L37" s="157">
        <v>0</v>
      </c>
      <c r="M37" s="155">
        <f t="shared" si="25"/>
        <v>5530.67</v>
      </c>
      <c r="O37" s="155">
        <f t="shared" si="22"/>
        <v>2047622.4499999997</v>
      </c>
      <c r="P37" s="158"/>
      <c r="Q37" s="99">
        <f t="shared" si="26"/>
        <v>3.2500000000000001E-2</v>
      </c>
    </row>
    <row r="38" spans="1:24" hidden="1">
      <c r="A38" s="97">
        <f t="shared" si="27"/>
        <v>44531</v>
      </c>
      <c r="B38" s="98"/>
      <c r="C38" s="157">
        <v>0</v>
      </c>
      <c r="D38" s="155">
        <f>ROUND((F37+(C38+E38)/2)*H38/12,2)</f>
        <v>-1484.93</v>
      </c>
      <c r="F38" s="155">
        <f t="shared" si="24"/>
        <v>-549767.84999999986</v>
      </c>
      <c r="H38" s="99">
        <f t="shared" si="28"/>
        <v>3.2500000000000001E-2</v>
      </c>
      <c r="J38" s="97">
        <f t="shared" si="21"/>
        <v>44531</v>
      </c>
      <c r="K38" s="98"/>
      <c r="L38" s="157">
        <v>0</v>
      </c>
      <c r="M38" s="155">
        <f t="shared" si="25"/>
        <v>5545.64</v>
      </c>
      <c r="O38" s="155">
        <f>O37+L38+M38+N38</f>
        <v>2053168.0899999996</v>
      </c>
      <c r="Q38" s="99">
        <f t="shared" si="26"/>
        <v>3.2500000000000001E-2</v>
      </c>
    </row>
    <row r="40" spans="1:24">
      <c r="A40" s="189">
        <v>186338</v>
      </c>
      <c r="B40" s="189" t="s">
        <v>52</v>
      </c>
      <c r="C40" s="156" t="s">
        <v>92</v>
      </c>
      <c r="D40" s="156" t="s">
        <v>93</v>
      </c>
      <c r="E40" s="156"/>
      <c r="F40" s="155" t="s">
        <v>95</v>
      </c>
      <c r="H40" s="190" t="s">
        <v>93</v>
      </c>
      <c r="J40" s="189">
        <f>A40</f>
        <v>186338</v>
      </c>
      <c r="K40" s="189" t="s">
        <v>53</v>
      </c>
      <c r="L40" s="156" t="s">
        <v>92</v>
      </c>
      <c r="M40" s="156" t="s">
        <v>93</v>
      </c>
      <c r="N40" s="156"/>
      <c r="O40" s="155" t="s">
        <v>95</v>
      </c>
      <c r="Q40" s="190" t="s">
        <v>93</v>
      </c>
    </row>
    <row r="41" spans="1:24">
      <c r="A41" s="151" t="s">
        <v>143</v>
      </c>
      <c r="B41" s="113" t="s">
        <v>142</v>
      </c>
      <c r="C41" s="156" t="s">
        <v>96</v>
      </c>
      <c r="D41" s="156" t="s">
        <v>97</v>
      </c>
      <c r="E41" s="156" t="s">
        <v>98</v>
      </c>
      <c r="F41" s="155" t="s">
        <v>94</v>
      </c>
      <c r="H41" s="190" t="s">
        <v>99</v>
      </c>
      <c r="J41" s="152" t="str">
        <f>A41</f>
        <v>Deferral - Non-Residential</v>
      </c>
      <c r="K41" s="113" t="s">
        <v>142</v>
      </c>
      <c r="L41" s="156" t="s">
        <v>96</v>
      </c>
      <c r="M41" s="156" t="s">
        <v>97</v>
      </c>
      <c r="N41" s="156" t="s">
        <v>98</v>
      </c>
      <c r="O41" s="155" t="s">
        <v>94</v>
      </c>
      <c r="Q41" s="190" t="s">
        <v>99</v>
      </c>
    </row>
    <row r="42" spans="1:24" ht="14.45" customHeight="1">
      <c r="A42" s="97">
        <f>A25</f>
        <v>44166</v>
      </c>
      <c r="B42" s="98"/>
      <c r="F42" s="155">
        <v>0</v>
      </c>
      <c r="J42" s="97">
        <f>A42</f>
        <v>44166</v>
      </c>
      <c r="K42" s="98"/>
      <c r="O42" s="155">
        <v>0</v>
      </c>
    </row>
    <row r="43" spans="1:24" ht="14.45" customHeight="1">
      <c r="A43" s="97">
        <f>A26</f>
        <v>44197</v>
      </c>
      <c r="C43" s="157">
        <v>1182852.27</v>
      </c>
      <c r="D43" s="155">
        <f>ROUND((F42+(C43+E43)/2)*H43/12,2)</f>
        <v>1601.78</v>
      </c>
      <c r="F43" s="155">
        <f t="shared" ref="F43:F55" si="29">F42+C43+D43+E43</f>
        <v>1184454.05</v>
      </c>
      <c r="G43" s="158"/>
      <c r="H43" s="99">
        <f>H26</f>
        <v>3.2500000000000001E-2</v>
      </c>
      <c r="J43" s="97">
        <f t="shared" ref="J43:J55" si="30">A43</f>
        <v>44197</v>
      </c>
      <c r="L43" s="157">
        <v>591059.09</v>
      </c>
      <c r="M43" s="155">
        <f>ROUND((O42+(L43+N43)/2)*Q43/12,2)</f>
        <v>800.39</v>
      </c>
      <c r="O43" s="155">
        <f t="shared" ref="O43:O55" si="31">O42+L43+M43+N43</f>
        <v>591859.48</v>
      </c>
      <c r="P43" s="158"/>
      <c r="Q43" s="99">
        <f t="shared" ref="Q43:Q55" si="32">H43</f>
        <v>3.2500000000000001E-2</v>
      </c>
      <c r="U43" s="17"/>
      <c r="V43" s="193"/>
      <c r="W43" s="17"/>
      <c r="X43" s="193"/>
    </row>
    <row r="44" spans="1:24" ht="14.45" customHeight="1" thickBot="1">
      <c r="A44" s="97">
        <f>A27</f>
        <v>44228</v>
      </c>
      <c r="C44" s="157">
        <v>1496346.65</v>
      </c>
      <c r="D44" s="155">
        <f t="shared" ref="D44:D55" si="33">ROUND((F43+(C44+E44)/2)*H44/12,2)</f>
        <v>5234.2</v>
      </c>
      <c r="F44" s="155">
        <f t="shared" si="29"/>
        <v>2686034.9000000004</v>
      </c>
      <c r="G44" s="158"/>
      <c r="H44" s="99">
        <f>H27</f>
        <v>3.2500000000000001E-2</v>
      </c>
      <c r="J44" s="97">
        <f t="shared" si="30"/>
        <v>44228</v>
      </c>
      <c r="L44" s="157">
        <v>7307.47</v>
      </c>
      <c r="M44" s="155">
        <f t="shared" ref="M44:M55" si="34">ROUND((O43+(L44+N44)/2)*Q44/12,2)</f>
        <v>1612.85</v>
      </c>
      <c r="O44" s="155">
        <f t="shared" si="31"/>
        <v>600779.79999999993</v>
      </c>
      <c r="P44" s="158"/>
      <c r="Q44" s="99">
        <f t="shared" si="32"/>
        <v>3.2500000000000001E-2</v>
      </c>
      <c r="U44" s="17"/>
      <c r="V44" s="193"/>
      <c r="W44" s="17"/>
      <c r="X44" s="193"/>
    </row>
    <row r="45" spans="1:24" ht="14.45" customHeight="1">
      <c r="A45" s="97">
        <f>A28</f>
        <v>44256</v>
      </c>
      <c r="C45" s="157">
        <v>-62440</v>
      </c>
      <c r="D45" s="155">
        <f t="shared" si="33"/>
        <v>7190.12</v>
      </c>
      <c r="F45" s="155">
        <f t="shared" si="29"/>
        <v>2630785.0200000005</v>
      </c>
      <c r="G45" s="158"/>
      <c r="H45" s="99">
        <f>H28</f>
        <v>3.2500000000000001E-2</v>
      </c>
      <c r="J45" s="97">
        <f t="shared" si="30"/>
        <v>44256</v>
      </c>
      <c r="L45" s="157">
        <v>-337648.96</v>
      </c>
      <c r="M45" s="155">
        <f t="shared" si="34"/>
        <v>1169.8800000000001</v>
      </c>
      <c r="O45" s="155">
        <f t="shared" si="31"/>
        <v>264300.71999999991</v>
      </c>
      <c r="P45" s="158"/>
      <c r="Q45" s="99">
        <f t="shared" si="32"/>
        <v>3.2500000000000001E-2</v>
      </c>
      <c r="U45" s="205" t="s">
        <v>202</v>
      </c>
      <c r="V45" s="206"/>
      <c r="W45" s="17"/>
      <c r="X45" s="193"/>
    </row>
    <row r="46" spans="1:24" ht="14.45" customHeight="1" thickBot="1">
      <c r="A46" s="97" t="s">
        <v>201</v>
      </c>
      <c r="C46" s="157">
        <v>-62741.22</v>
      </c>
      <c r="D46" s="157">
        <v>-258.51</v>
      </c>
      <c r="F46" s="155">
        <f>F45+C46+D46</f>
        <v>2567785.2900000005</v>
      </c>
      <c r="G46" s="209" t="s">
        <v>203</v>
      </c>
      <c r="H46" s="124"/>
      <c r="J46" s="97" t="s">
        <v>201</v>
      </c>
      <c r="L46" s="157">
        <v>15916.87</v>
      </c>
      <c r="M46" s="157">
        <v>68.67</v>
      </c>
      <c r="O46" s="155">
        <f>O45+L46+M46</f>
        <v>280286.25999999989</v>
      </c>
      <c r="P46" s="209" t="s">
        <v>203</v>
      </c>
      <c r="Q46" s="124"/>
      <c r="U46" s="207">
        <f>F49-'Electric Deferral'!U61</f>
        <v>1.1131574865430593E-2</v>
      </c>
      <c r="V46" s="208">
        <f>O49-'Nat Gas Deferral'!U57</f>
        <v>-7.4134897440671921E-3</v>
      </c>
      <c r="W46" s="17"/>
      <c r="X46" s="193"/>
    </row>
    <row r="47" spans="1:24" ht="14.45" customHeight="1">
      <c r="A47" s="97">
        <f t="shared" ref="A47:A55" si="35">A30</f>
        <v>44287</v>
      </c>
      <c r="C47" s="157">
        <v>659830.04</v>
      </c>
      <c r="D47" s="155">
        <f>ROUND((F46+(C47+E47)/2)*H47/12,2)</f>
        <v>7847.94</v>
      </c>
      <c r="F47" s="155">
        <f>F46+C47+D47+E47</f>
        <v>3235463.2700000005</v>
      </c>
      <c r="G47" s="158"/>
      <c r="H47" s="99">
        <f t="shared" ref="H47:H55" si="36">H30</f>
        <v>3.2500000000000001E-2</v>
      </c>
      <c r="J47" s="97">
        <f t="shared" si="30"/>
        <v>44287</v>
      </c>
      <c r="L47" s="157">
        <v>108063.74</v>
      </c>
      <c r="M47" s="155">
        <f>ROUND((O46+(L47+N47)/2)*Q47/12,2)</f>
        <v>905.44</v>
      </c>
      <c r="O47" s="155">
        <f>O46+L47+M47+N47</f>
        <v>389255.43999999989</v>
      </c>
      <c r="P47" s="158"/>
      <c r="Q47" s="99">
        <f t="shared" si="32"/>
        <v>3.2500000000000001E-2</v>
      </c>
    </row>
    <row r="48" spans="1:24" ht="14.45" customHeight="1">
      <c r="A48" s="97">
        <f t="shared" si="35"/>
        <v>44317</v>
      </c>
      <c r="C48" s="157">
        <v>-155496.65</v>
      </c>
      <c r="D48" s="155">
        <f t="shared" si="33"/>
        <v>8552.14</v>
      </c>
      <c r="F48" s="155">
        <f t="shared" si="29"/>
        <v>3088518.7600000007</v>
      </c>
      <c r="G48" s="158"/>
      <c r="H48" s="99">
        <f t="shared" si="36"/>
        <v>3.2500000000000001E-2</v>
      </c>
      <c r="J48" s="97">
        <f t="shared" si="30"/>
        <v>44317</v>
      </c>
      <c r="L48" s="157">
        <v>160897.41</v>
      </c>
      <c r="M48" s="155">
        <f t="shared" si="34"/>
        <v>1272.1199999999999</v>
      </c>
      <c r="O48" s="155">
        <f t="shared" si="31"/>
        <v>551424.96999999986</v>
      </c>
      <c r="P48" s="158"/>
      <c r="Q48" s="99">
        <f t="shared" si="32"/>
        <v>3.2500000000000001E-2</v>
      </c>
    </row>
    <row r="49" spans="1:24" ht="14.45" customHeight="1">
      <c r="A49" s="97">
        <f t="shared" si="35"/>
        <v>44348</v>
      </c>
      <c r="C49" s="157">
        <v>-1419055.76</v>
      </c>
      <c r="D49" s="155">
        <f t="shared" si="33"/>
        <v>6443.1</v>
      </c>
      <c r="F49" s="155">
        <f t="shared" si="29"/>
        <v>1675906.1000000008</v>
      </c>
      <c r="G49" s="158"/>
      <c r="H49" s="99">
        <f t="shared" si="36"/>
        <v>3.2500000000000001E-2</v>
      </c>
      <c r="J49" s="97">
        <f t="shared" si="30"/>
        <v>44348</v>
      </c>
      <c r="L49" s="157">
        <v>149528.82</v>
      </c>
      <c r="M49" s="155">
        <f t="shared" si="34"/>
        <v>1695.93</v>
      </c>
      <c r="O49" s="155">
        <f t="shared" si="31"/>
        <v>702649.71999999986</v>
      </c>
      <c r="P49" s="158"/>
      <c r="Q49" s="99">
        <f t="shared" si="32"/>
        <v>3.2500000000000001E-2</v>
      </c>
    </row>
    <row r="50" spans="1:24" ht="14.45" hidden="1" customHeight="1">
      <c r="A50" s="97">
        <f t="shared" si="35"/>
        <v>44378</v>
      </c>
      <c r="C50" s="157">
        <v>0</v>
      </c>
      <c r="D50" s="155">
        <f t="shared" si="33"/>
        <v>4538.91</v>
      </c>
      <c r="F50" s="155">
        <f t="shared" si="29"/>
        <v>1680445.0100000007</v>
      </c>
      <c r="G50" s="158"/>
      <c r="H50" s="99">
        <f t="shared" si="36"/>
        <v>3.2500000000000001E-2</v>
      </c>
      <c r="J50" s="97">
        <f t="shared" si="30"/>
        <v>44378</v>
      </c>
      <c r="L50" s="157">
        <v>0</v>
      </c>
      <c r="M50" s="155">
        <f t="shared" si="34"/>
        <v>1903.01</v>
      </c>
      <c r="O50" s="155">
        <f t="shared" si="31"/>
        <v>704552.72999999986</v>
      </c>
      <c r="P50" s="158"/>
      <c r="Q50" s="99">
        <f t="shared" si="32"/>
        <v>3.2500000000000001E-2</v>
      </c>
    </row>
    <row r="51" spans="1:24" ht="14.45" hidden="1" customHeight="1">
      <c r="A51" s="97">
        <f t="shared" si="35"/>
        <v>44409</v>
      </c>
      <c r="C51" s="157">
        <v>0</v>
      </c>
      <c r="D51" s="155">
        <f t="shared" si="33"/>
        <v>4551.21</v>
      </c>
      <c r="F51" s="155">
        <f t="shared" si="29"/>
        <v>1684996.2200000007</v>
      </c>
      <c r="G51" s="158"/>
      <c r="H51" s="99">
        <f t="shared" si="36"/>
        <v>3.2500000000000001E-2</v>
      </c>
      <c r="J51" s="97">
        <f t="shared" si="30"/>
        <v>44409</v>
      </c>
      <c r="L51" s="157">
        <v>0</v>
      </c>
      <c r="M51" s="155">
        <f t="shared" si="34"/>
        <v>1908.16</v>
      </c>
      <c r="O51" s="155">
        <f t="shared" si="31"/>
        <v>706460.8899999999</v>
      </c>
      <c r="P51" s="158"/>
      <c r="Q51" s="99">
        <f t="shared" si="32"/>
        <v>3.2500000000000001E-2</v>
      </c>
    </row>
    <row r="52" spans="1:24" hidden="1">
      <c r="A52" s="97">
        <f t="shared" si="35"/>
        <v>44440</v>
      </c>
      <c r="C52" s="157">
        <v>0</v>
      </c>
      <c r="D52" s="155">
        <f t="shared" si="33"/>
        <v>4563.53</v>
      </c>
      <c r="F52" s="155">
        <f>F51+C52+D52+E52</f>
        <v>1689559.7500000007</v>
      </c>
      <c r="G52" s="158"/>
      <c r="H52" s="99">
        <f t="shared" si="36"/>
        <v>3.2500000000000001E-2</v>
      </c>
      <c r="J52" s="97">
        <f t="shared" si="30"/>
        <v>44440</v>
      </c>
      <c r="L52" s="157">
        <v>0</v>
      </c>
      <c r="M52" s="155">
        <f t="shared" si="34"/>
        <v>1913.33</v>
      </c>
      <c r="O52" s="155">
        <f>O51+L52+M52+N52</f>
        <v>708374.21999999986</v>
      </c>
      <c r="P52" s="158"/>
      <c r="Q52" s="99">
        <f t="shared" si="32"/>
        <v>3.2500000000000001E-2</v>
      </c>
    </row>
    <row r="53" spans="1:24" hidden="1">
      <c r="A53" s="97">
        <f t="shared" si="35"/>
        <v>44470</v>
      </c>
      <c r="C53" s="157">
        <v>0</v>
      </c>
      <c r="D53" s="155">
        <f t="shared" si="33"/>
        <v>4575.8900000000003</v>
      </c>
      <c r="F53" s="155">
        <f t="shared" si="29"/>
        <v>1694135.6400000006</v>
      </c>
      <c r="G53" s="158"/>
      <c r="H53" s="99">
        <f t="shared" si="36"/>
        <v>3.2500000000000001E-2</v>
      </c>
      <c r="J53" s="97">
        <f t="shared" si="30"/>
        <v>44470</v>
      </c>
      <c r="L53" s="157">
        <v>0</v>
      </c>
      <c r="M53" s="155">
        <f t="shared" si="34"/>
        <v>1918.51</v>
      </c>
      <c r="O53" s="155">
        <f t="shared" si="31"/>
        <v>710292.72999999986</v>
      </c>
      <c r="P53" s="158"/>
      <c r="Q53" s="99">
        <f t="shared" si="32"/>
        <v>3.2500000000000001E-2</v>
      </c>
    </row>
    <row r="54" spans="1:24" hidden="1">
      <c r="A54" s="97">
        <f t="shared" si="35"/>
        <v>44501</v>
      </c>
      <c r="C54" s="157">
        <v>0</v>
      </c>
      <c r="D54" s="155">
        <f t="shared" si="33"/>
        <v>4588.28</v>
      </c>
      <c r="F54" s="155">
        <f t="shared" si="29"/>
        <v>1698723.9200000006</v>
      </c>
      <c r="G54" s="158"/>
      <c r="H54" s="99">
        <f t="shared" si="36"/>
        <v>3.2500000000000001E-2</v>
      </c>
      <c r="J54" s="97">
        <f t="shared" si="30"/>
        <v>44501</v>
      </c>
      <c r="L54" s="157">
        <v>0</v>
      </c>
      <c r="M54" s="155">
        <f t="shared" si="34"/>
        <v>1923.71</v>
      </c>
      <c r="O54" s="155">
        <f t="shared" si="31"/>
        <v>712216.43999999983</v>
      </c>
      <c r="P54" s="158"/>
      <c r="Q54" s="99">
        <f t="shared" si="32"/>
        <v>3.2500000000000001E-2</v>
      </c>
    </row>
    <row r="55" spans="1:24" hidden="1">
      <c r="A55" s="97">
        <f t="shared" si="35"/>
        <v>44531</v>
      </c>
      <c r="B55" s="98"/>
      <c r="C55" s="157">
        <v>0</v>
      </c>
      <c r="D55" s="155">
        <f t="shared" si="33"/>
        <v>4600.71</v>
      </c>
      <c r="F55" s="155">
        <f t="shared" si="29"/>
        <v>1703324.6300000006</v>
      </c>
      <c r="H55" s="99">
        <f t="shared" si="36"/>
        <v>3.2500000000000001E-2</v>
      </c>
      <c r="J55" s="97">
        <f t="shared" si="30"/>
        <v>44531</v>
      </c>
      <c r="K55" s="98"/>
      <c r="L55" s="157">
        <v>0</v>
      </c>
      <c r="M55" s="155">
        <f t="shared" si="34"/>
        <v>1928.92</v>
      </c>
      <c r="O55" s="155">
        <f t="shared" si="31"/>
        <v>714145.35999999987</v>
      </c>
      <c r="Q55" s="99">
        <f t="shared" si="32"/>
        <v>3.2500000000000001E-2</v>
      </c>
    </row>
    <row r="56" spans="1:24">
      <c r="A56" s="97"/>
      <c r="B56" s="98"/>
      <c r="C56" s="157"/>
      <c r="H56" s="99"/>
      <c r="J56" s="97"/>
      <c r="K56" s="98"/>
      <c r="L56" s="157"/>
      <c r="Q56" s="99"/>
    </row>
    <row r="57" spans="1:24">
      <c r="A57" s="210" t="s">
        <v>204</v>
      </c>
      <c r="B57" s="211"/>
      <c r="C57" s="212"/>
      <c r="D57" s="212"/>
      <c r="J57" s="210" t="s">
        <v>204</v>
      </c>
    </row>
    <row r="58" spans="1:24">
      <c r="A58" s="117"/>
    </row>
    <row r="59" spans="1:24">
      <c r="A59" s="189">
        <v>182329</v>
      </c>
      <c r="B59" s="189" t="s">
        <v>52</v>
      </c>
      <c r="C59" s="156" t="s">
        <v>92</v>
      </c>
      <c r="D59" s="156" t="s">
        <v>93</v>
      </c>
      <c r="E59" s="156"/>
      <c r="F59" s="155" t="s">
        <v>95</v>
      </c>
      <c r="H59" s="190" t="s">
        <v>93</v>
      </c>
      <c r="J59" s="189">
        <f>A59</f>
        <v>182329</v>
      </c>
      <c r="K59" s="189" t="s">
        <v>53</v>
      </c>
      <c r="L59" s="156" t="s">
        <v>92</v>
      </c>
      <c r="M59" s="156" t="s">
        <v>93</v>
      </c>
      <c r="N59" s="156"/>
      <c r="O59" s="155" t="s">
        <v>95</v>
      </c>
      <c r="Q59" s="190" t="s">
        <v>93</v>
      </c>
    </row>
    <row r="60" spans="1:24">
      <c r="A60" s="153" t="s">
        <v>144</v>
      </c>
      <c r="B60" s="113" t="s">
        <v>142</v>
      </c>
      <c r="C60" s="156" t="s">
        <v>96</v>
      </c>
      <c r="D60" s="156" t="s">
        <v>97</v>
      </c>
      <c r="E60" s="156" t="s">
        <v>98</v>
      </c>
      <c r="F60" s="155" t="s">
        <v>94</v>
      </c>
      <c r="H60" s="190" t="s">
        <v>99</v>
      </c>
      <c r="J60" s="113" t="str">
        <f>A60</f>
        <v>Res Prior Year Pending</v>
      </c>
      <c r="K60" s="113" t="s">
        <v>142</v>
      </c>
      <c r="L60" s="156" t="s">
        <v>96</v>
      </c>
      <c r="M60" s="156" t="s">
        <v>97</v>
      </c>
      <c r="N60" s="156" t="s">
        <v>98</v>
      </c>
      <c r="O60" s="155" t="s">
        <v>94</v>
      </c>
      <c r="Q60" s="190" t="s">
        <v>99</v>
      </c>
    </row>
    <row r="61" spans="1:24" ht="14.45" customHeight="1">
      <c r="A61" s="97">
        <f>$A$25</f>
        <v>44166</v>
      </c>
      <c r="B61" s="98"/>
      <c r="F61" s="194">
        <v>-810734.29</v>
      </c>
      <c r="G61" s="158"/>
      <c r="J61" s="97">
        <f>A61</f>
        <v>44166</v>
      </c>
      <c r="K61" s="98"/>
      <c r="O61" s="194">
        <v>1174438.1299999999</v>
      </c>
      <c r="P61" s="158"/>
    </row>
    <row r="62" spans="1:24" ht="14.45" customHeight="1">
      <c r="A62" s="195" t="s">
        <v>196</v>
      </c>
      <c r="B62" s="98"/>
      <c r="F62" s="157">
        <v>0</v>
      </c>
      <c r="I62" s="122"/>
      <c r="J62" s="117" t="str">
        <f t="shared" ref="J62:J74" si="37">A62</f>
        <v>Provision for Rate Refund - December 2020 Estimate</v>
      </c>
      <c r="K62" s="98"/>
      <c r="O62" s="157">
        <v>0</v>
      </c>
      <c r="R62" s="122"/>
    </row>
    <row r="63" spans="1:24" ht="14.45" customHeight="1">
      <c r="A63" s="97">
        <f>A26</f>
        <v>44197</v>
      </c>
      <c r="D63" s="155">
        <f>ROUND((F61+F$62+(E63)/2)*H63/12,2)</f>
        <v>-2195.7399999999998</v>
      </c>
      <c r="F63" s="155">
        <f>F61+C63+D63+E63</f>
        <v>-812930.03</v>
      </c>
      <c r="G63" s="158"/>
      <c r="H63" s="99">
        <f>H26</f>
        <v>3.2500000000000001E-2</v>
      </c>
      <c r="J63" s="97">
        <f t="shared" si="37"/>
        <v>44197</v>
      </c>
      <c r="L63" s="157"/>
      <c r="M63" s="155">
        <f>ROUND((O61+O$62+(N63)/2)*Q63/12,2)</f>
        <v>3180.77</v>
      </c>
      <c r="O63" s="155">
        <f>O61+L63+M63+N63</f>
        <v>1177618.8999999999</v>
      </c>
      <c r="P63" s="158"/>
      <c r="Q63" s="99">
        <f t="shared" ref="Q63:Q74" si="38">H63</f>
        <v>3.2500000000000001E-2</v>
      </c>
      <c r="U63" s="17"/>
      <c r="V63" s="193"/>
      <c r="W63" s="17"/>
      <c r="X63" s="193"/>
    </row>
    <row r="64" spans="1:24" ht="14.45" customHeight="1">
      <c r="A64" s="97">
        <f>A27</f>
        <v>44228</v>
      </c>
      <c r="D64" s="155">
        <f>ROUND((F63+F$62+(E64)/2)*H64/12,2)</f>
        <v>-2201.69</v>
      </c>
      <c r="F64" s="155">
        <f>F63+C64+D64+E64</f>
        <v>-815131.72</v>
      </c>
      <c r="G64" s="158"/>
      <c r="H64" s="99">
        <f>H27</f>
        <v>3.2500000000000001E-2</v>
      </c>
      <c r="J64" s="97">
        <f t="shared" si="37"/>
        <v>44228</v>
      </c>
      <c r="L64" s="157"/>
      <c r="M64" s="155">
        <f>ROUND((O63+O$62+(N64)/2)*Q64/12,2)</f>
        <v>3189.38</v>
      </c>
      <c r="O64" s="155">
        <f t="shared" ref="O64:O74" si="39">O63+L64+M64+N64</f>
        <v>1180808.2799999998</v>
      </c>
      <c r="P64" s="158"/>
      <c r="Q64" s="99">
        <f t="shared" si="38"/>
        <v>3.2500000000000001E-2</v>
      </c>
      <c r="U64" s="17"/>
      <c r="V64" s="193"/>
      <c r="W64" s="17"/>
      <c r="X64" s="193"/>
    </row>
    <row r="65" spans="1:24" ht="14.45" customHeight="1">
      <c r="A65" s="97">
        <f>A28</f>
        <v>44256</v>
      </c>
      <c r="D65" s="155">
        <f t="shared" ref="D65:D71" si="40">ROUND((F64+F$62+(E65)/2)*H65/12,2)</f>
        <v>-2207.65</v>
      </c>
      <c r="F65" s="155">
        <f t="shared" ref="F65:F74" si="41">F64+C65+D65+E65</f>
        <v>-817339.37</v>
      </c>
      <c r="G65" s="158"/>
      <c r="H65" s="99">
        <f>H28</f>
        <v>3.2500000000000001E-2</v>
      </c>
      <c r="J65" s="97">
        <f t="shared" si="37"/>
        <v>44256</v>
      </c>
      <c r="L65" s="157"/>
      <c r="M65" s="155">
        <f t="shared" ref="M65:M71" si="42">ROUND((O64+O$62+(N65)/2)*Q65/12,2)</f>
        <v>3198.02</v>
      </c>
      <c r="O65" s="155">
        <f t="shared" si="39"/>
        <v>1184006.2999999998</v>
      </c>
      <c r="P65" s="158"/>
      <c r="Q65" s="99">
        <f t="shared" si="38"/>
        <v>3.2500000000000001E-2</v>
      </c>
      <c r="U65" s="17"/>
      <c r="V65" s="193"/>
      <c r="W65" s="17"/>
      <c r="X65" s="193"/>
    </row>
    <row r="66" spans="1:24" ht="14.45" customHeight="1">
      <c r="A66" s="97">
        <f t="shared" ref="A66:A74" si="43">A30</f>
        <v>44287</v>
      </c>
      <c r="D66" s="155">
        <f t="shared" si="40"/>
        <v>-2213.63</v>
      </c>
      <c r="F66" s="155">
        <f t="shared" si="41"/>
        <v>-819553</v>
      </c>
      <c r="G66" s="158"/>
      <c r="H66" s="99">
        <f t="shared" ref="H66:H74" si="44">H30</f>
        <v>3.2500000000000001E-2</v>
      </c>
      <c r="J66" s="97">
        <f t="shared" si="37"/>
        <v>44287</v>
      </c>
      <c r="M66" s="155">
        <f t="shared" si="42"/>
        <v>3206.68</v>
      </c>
      <c r="O66" s="155">
        <f t="shared" si="39"/>
        <v>1187212.9799999997</v>
      </c>
      <c r="P66" s="158"/>
      <c r="Q66" s="99">
        <f t="shared" si="38"/>
        <v>3.2500000000000001E-2</v>
      </c>
    </row>
    <row r="67" spans="1:24" ht="14.45" customHeight="1">
      <c r="A67" s="97">
        <f t="shared" si="43"/>
        <v>44317</v>
      </c>
      <c r="D67" s="155">
        <f t="shared" si="40"/>
        <v>-2219.62</v>
      </c>
      <c r="F67" s="155">
        <f t="shared" si="41"/>
        <v>-821772.62</v>
      </c>
      <c r="G67" s="158"/>
      <c r="H67" s="99">
        <f t="shared" si="44"/>
        <v>3.2500000000000001E-2</v>
      </c>
      <c r="J67" s="97">
        <f t="shared" si="37"/>
        <v>44317</v>
      </c>
      <c r="M67" s="155">
        <f t="shared" si="42"/>
        <v>3215.37</v>
      </c>
      <c r="O67" s="155">
        <f t="shared" si="39"/>
        <v>1190428.3499999999</v>
      </c>
      <c r="P67" s="158"/>
      <c r="Q67" s="99">
        <f t="shared" si="38"/>
        <v>3.2500000000000001E-2</v>
      </c>
    </row>
    <row r="68" spans="1:24" ht="14.45" customHeight="1">
      <c r="A68" s="97">
        <f t="shared" si="43"/>
        <v>44348</v>
      </c>
      <c r="D68" s="155">
        <f t="shared" si="40"/>
        <v>-2225.63</v>
      </c>
      <c r="F68" s="155">
        <f t="shared" si="41"/>
        <v>-823998.25</v>
      </c>
      <c r="G68" s="158"/>
      <c r="H68" s="99">
        <f t="shared" si="44"/>
        <v>3.2500000000000001E-2</v>
      </c>
      <c r="J68" s="97">
        <f t="shared" si="37"/>
        <v>44348</v>
      </c>
      <c r="M68" s="155">
        <f t="shared" si="42"/>
        <v>3224.08</v>
      </c>
      <c r="O68" s="155">
        <f t="shared" si="39"/>
        <v>1193652.43</v>
      </c>
      <c r="P68" s="158"/>
      <c r="Q68" s="99">
        <f t="shared" si="38"/>
        <v>3.2500000000000001E-2</v>
      </c>
    </row>
    <row r="69" spans="1:24" ht="14.45" hidden="1" customHeight="1">
      <c r="A69" s="97">
        <f t="shared" si="43"/>
        <v>44378</v>
      </c>
      <c r="D69" s="155">
        <f t="shared" si="40"/>
        <v>-2231.66</v>
      </c>
      <c r="F69" s="155">
        <f>F68+C69+D69+E69</f>
        <v>-826229.91</v>
      </c>
      <c r="G69" s="158"/>
      <c r="H69" s="99">
        <f t="shared" si="44"/>
        <v>3.2500000000000001E-2</v>
      </c>
      <c r="J69" s="97">
        <f t="shared" si="37"/>
        <v>44378</v>
      </c>
      <c r="M69" s="155">
        <f t="shared" si="42"/>
        <v>3232.81</v>
      </c>
      <c r="O69" s="155">
        <f t="shared" si="39"/>
        <v>1196885.24</v>
      </c>
      <c r="P69" s="158"/>
      <c r="Q69" s="99">
        <f t="shared" si="38"/>
        <v>3.2500000000000001E-2</v>
      </c>
    </row>
    <row r="70" spans="1:24" ht="14.45" hidden="1" customHeight="1">
      <c r="A70" s="97">
        <f t="shared" si="43"/>
        <v>44409</v>
      </c>
      <c r="B70" s="53" t="s">
        <v>126</v>
      </c>
      <c r="C70" s="155">
        <f>-F69</f>
        <v>826229.91</v>
      </c>
      <c r="D70" s="155">
        <f>ROUND((F69+C70+(E70)/2)*H70/12,2)</f>
        <v>0</v>
      </c>
      <c r="F70" s="155">
        <f>F69+C70+D70+E70</f>
        <v>0</v>
      </c>
      <c r="G70" s="158"/>
      <c r="H70" s="99">
        <f t="shared" si="44"/>
        <v>3.2500000000000001E-2</v>
      </c>
      <c r="J70" s="97">
        <f t="shared" si="37"/>
        <v>44409</v>
      </c>
      <c r="K70" s="53" t="s">
        <v>126</v>
      </c>
      <c r="L70" s="155">
        <f>-O69</f>
        <v>-1196885.24</v>
      </c>
      <c r="M70" s="155">
        <f>ROUND((O69+L70+(N70)/2)*Q70/12,2)</f>
        <v>0</v>
      </c>
      <c r="O70" s="155">
        <f>O69+L70+M70+N70</f>
        <v>0</v>
      </c>
      <c r="P70" s="158"/>
      <c r="Q70" s="99">
        <f t="shared" si="38"/>
        <v>3.2500000000000001E-2</v>
      </c>
    </row>
    <row r="71" spans="1:24" hidden="1">
      <c r="A71" s="97">
        <f t="shared" si="43"/>
        <v>44440</v>
      </c>
      <c r="D71" s="155">
        <f t="shared" si="40"/>
        <v>0</v>
      </c>
      <c r="F71" s="155">
        <f>F70+C71+D71+E71</f>
        <v>0</v>
      </c>
      <c r="G71" s="158"/>
      <c r="H71" s="99">
        <f t="shared" si="44"/>
        <v>3.2500000000000001E-2</v>
      </c>
      <c r="J71" s="97">
        <f t="shared" si="37"/>
        <v>44440</v>
      </c>
      <c r="M71" s="155">
        <f t="shared" si="42"/>
        <v>0</v>
      </c>
      <c r="O71" s="155">
        <f t="shared" si="39"/>
        <v>0</v>
      </c>
      <c r="P71" s="158"/>
      <c r="Q71" s="99">
        <f t="shared" si="38"/>
        <v>3.2500000000000001E-2</v>
      </c>
    </row>
    <row r="72" spans="1:24" hidden="1">
      <c r="A72" s="97">
        <f t="shared" si="43"/>
        <v>44470</v>
      </c>
      <c r="D72" s="155">
        <f>ROUND((F71+(E72)/2)*H72/12,2)</f>
        <v>0</v>
      </c>
      <c r="F72" s="155">
        <f t="shared" si="41"/>
        <v>0</v>
      </c>
      <c r="G72" s="158"/>
      <c r="H72" s="99">
        <f t="shared" si="44"/>
        <v>3.2500000000000001E-2</v>
      </c>
      <c r="J72" s="97">
        <f t="shared" si="37"/>
        <v>44470</v>
      </c>
      <c r="M72" s="155">
        <f>ROUND((O71+(N72)/2)*Q72/12,2)</f>
        <v>0</v>
      </c>
      <c r="O72" s="155">
        <f t="shared" si="39"/>
        <v>0</v>
      </c>
      <c r="P72" s="158"/>
      <c r="Q72" s="99">
        <f t="shared" si="38"/>
        <v>3.2500000000000001E-2</v>
      </c>
    </row>
    <row r="73" spans="1:24" hidden="1">
      <c r="A73" s="97">
        <f t="shared" si="43"/>
        <v>44501</v>
      </c>
      <c r="D73" s="155">
        <f>ROUND((F72+(E73)/2)*H73/12,2)</f>
        <v>0</v>
      </c>
      <c r="F73" s="155">
        <f t="shared" si="41"/>
        <v>0</v>
      </c>
      <c r="G73" s="158"/>
      <c r="H73" s="99">
        <f t="shared" si="44"/>
        <v>3.2500000000000001E-2</v>
      </c>
      <c r="J73" s="97">
        <f t="shared" si="37"/>
        <v>44501</v>
      </c>
      <c r="M73" s="155">
        <f>ROUND((O72+(N73)/2)*Q73/12,2)</f>
        <v>0</v>
      </c>
      <c r="O73" s="155">
        <f>O72+L73+M73+N73</f>
        <v>0</v>
      </c>
      <c r="P73" s="158"/>
      <c r="Q73" s="99">
        <f t="shared" si="38"/>
        <v>3.2500000000000001E-2</v>
      </c>
    </row>
    <row r="74" spans="1:24" hidden="1">
      <c r="A74" s="97">
        <f t="shared" si="43"/>
        <v>44531</v>
      </c>
      <c r="B74" s="98"/>
      <c r="D74" s="155">
        <f>ROUND((F73+(E74)/2)*H74/12,2)</f>
        <v>0</v>
      </c>
      <c r="F74" s="155">
        <f t="shared" si="41"/>
        <v>0</v>
      </c>
      <c r="H74" s="99">
        <f t="shared" si="44"/>
        <v>3.2500000000000001E-2</v>
      </c>
      <c r="J74" s="97">
        <f t="shared" si="37"/>
        <v>44531</v>
      </c>
      <c r="K74" s="98"/>
      <c r="M74" s="155">
        <f>ROUND((O73+(N74)/2)*Q74/12,2)</f>
        <v>0</v>
      </c>
      <c r="O74" s="155">
        <f t="shared" si="39"/>
        <v>0</v>
      </c>
      <c r="Q74" s="99">
        <f t="shared" si="38"/>
        <v>3.2500000000000001E-2</v>
      </c>
    </row>
    <row r="75" spans="1:24" ht="30.75" hidden="1" customHeight="1">
      <c r="A75" s="97"/>
      <c r="B75" s="101" t="s">
        <v>126</v>
      </c>
      <c r="C75" s="239" t="s">
        <v>197</v>
      </c>
      <c r="D75" s="239"/>
      <c r="E75" s="239"/>
      <c r="F75" s="239"/>
      <c r="G75" s="239"/>
      <c r="H75" s="239"/>
      <c r="K75" s="101" t="s">
        <v>126</v>
      </c>
      <c r="L75" s="239" t="s">
        <v>197</v>
      </c>
      <c r="M75" s="239"/>
      <c r="N75" s="239"/>
      <c r="O75" s="239"/>
      <c r="P75" s="239"/>
      <c r="Q75" s="239"/>
    </row>
    <row r="76" spans="1:24" ht="14.45" customHeight="1">
      <c r="B76" s="101"/>
      <c r="C76" s="160"/>
      <c r="D76" s="160"/>
      <c r="E76" s="160"/>
      <c r="F76" s="160"/>
      <c r="G76" s="188"/>
      <c r="H76" s="188"/>
    </row>
    <row r="77" spans="1:24">
      <c r="A77" s="189">
        <v>182339</v>
      </c>
      <c r="B77" s="189" t="s">
        <v>52</v>
      </c>
      <c r="C77" s="156" t="s">
        <v>92</v>
      </c>
      <c r="D77" s="156" t="s">
        <v>93</v>
      </c>
      <c r="E77" s="156"/>
      <c r="F77" s="155" t="s">
        <v>95</v>
      </c>
      <c r="H77" s="190" t="s">
        <v>93</v>
      </c>
      <c r="J77" s="189">
        <f>A77</f>
        <v>182339</v>
      </c>
      <c r="K77" s="189" t="s">
        <v>53</v>
      </c>
      <c r="L77" s="156" t="s">
        <v>92</v>
      </c>
      <c r="M77" s="156" t="s">
        <v>93</v>
      </c>
      <c r="N77" s="156"/>
      <c r="O77" s="155" t="s">
        <v>95</v>
      </c>
      <c r="Q77" s="190" t="s">
        <v>93</v>
      </c>
    </row>
    <row r="78" spans="1:24">
      <c r="A78" s="153" t="s">
        <v>145</v>
      </c>
      <c r="B78" s="113" t="s">
        <v>142</v>
      </c>
      <c r="C78" s="156" t="s">
        <v>96</v>
      </c>
      <c r="D78" s="156" t="s">
        <v>97</v>
      </c>
      <c r="E78" s="156" t="s">
        <v>98</v>
      </c>
      <c r="F78" s="155" t="s">
        <v>94</v>
      </c>
      <c r="H78" s="190" t="s">
        <v>99</v>
      </c>
      <c r="J78" s="113" t="str">
        <f>A78</f>
        <v>Non-Res Prior Year Pending</v>
      </c>
      <c r="K78" s="113" t="s">
        <v>142</v>
      </c>
      <c r="L78" s="156" t="s">
        <v>96</v>
      </c>
      <c r="M78" s="156" t="s">
        <v>97</v>
      </c>
      <c r="N78" s="156" t="s">
        <v>98</v>
      </c>
      <c r="O78" s="155" t="s">
        <v>94</v>
      </c>
      <c r="Q78" s="190" t="s">
        <v>99</v>
      </c>
    </row>
    <row r="79" spans="1:24" ht="14.45" customHeight="1">
      <c r="A79" s="97">
        <f>$A$25</f>
        <v>44166</v>
      </c>
      <c r="B79" s="98"/>
      <c r="F79" s="194">
        <v>11263209.41</v>
      </c>
      <c r="G79" s="158"/>
      <c r="J79" s="97">
        <f>A79</f>
        <v>44166</v>
      </c>
      <c r="K79" s="98"/>
      <c r="O79" s="194">
        <v>445000.66</v>
      </c>
      <c r="P79" s="158"/>
    </row>
    <row r="80" spans="1:24" ht="14.45" customHeight="1">
      <c r="A80" s="117" t="str">
        <f>A62</f>
        <v>Provision for Rate Refund - December 2020 Estimate</v>
      </c>
      <c r="B80" s="98"/>
      <c r="F80" s="157">
        <v>0</v>
      </c>
      <c r="J80" s="117" t="str">
        <f t="shared" ref="J80:J92" si="45">A80</f>
        <v>Provision for Rate Refund - December 2020 Estimate</v>
      </c>
      <c r="K80" s="98"/>
      <c r="O80" s="157">
        <v>0</v>
      </c>
    </row>
    <row r="81" spans="1:24" ht="14.45" customHeight="1">
      <c r="A81" s="97">
        <f>A26</f>
        <v>44197</v>
      </c>
      <c r="D81" s="155">
        <f>ROUND((F79+F$62+(E81)/2)*H81/12,2)</f>
        <v>30504.53</v>
      </c>
      <c r="F81" s="155">
        <f>F79+C81+D81+E81</f>
        <v>11293713.939999999</v>
      </c>
      <c r="G81" s="158"/>
      <c r="H81" s="99">
        <f>H26</f>
        <v>3.2500000000000001E-2</v>
      </c>
      <c r="J81" s="97">
        <f t="shared" si="45"/>
        <v>44197</v>
      </c>
      <c r="M81" s="155">
        <f>ROUND((O79+O$62+(N81)/2)*Q81/12,2)</f>
        <v>1205.21</v>
      </c>
      <c r="O81" s="155">
        <f>O79+L81+M81+N81</f>
        <v>446205.87</v>
      </c>
      <c r="P81" s="158"/>
      <c r="Q81" s="99">
        <f t="shared" ref="Q81:Q92" si="46">H81</f>
        <v>3.2500000000000001E-2</v>
      </c>
      <c r="U81" s="17"/>
      <c r="V81" s="193"/>
      <c r="W81" s="17"/>
      <c r="X81" s="193"/>
    </row>
    <row r="82" spans="1:24" ht="14.45" customHeight="1">
      <c r="A82" s="97">
        <f>A27</f>
        <v>44228</v>
      </c>
      <c r="D82" s="155">
        <f>ROUND((F81+F$62+(E82)/2)*H82/12,2)</f>
        <v>30587.14</v>
      </c>
      <c r="F82" s="155">
        <f>F81+C82+D82+E82</f>
        <v>11324301.08</v>
      </c>
      <c r="G82" s="158"/>
      <c r="H82" s="99">
        <f>H27</f>
        <v>3.2500000000000001E-2</v>
      </c>
      <c r="J82" s="97">
        <f t="shared" si="45"/>
        <v>44228</v>
      </c>
      <c r="M82" s="155">
        <f>ROUND((O81+O$62+(N82)/2)*Q82/12,2)</f>
        <v>1208.47</v>
      </c>
      <c r="O82" s="155">
        <f>O81+L82+M82+N82</f>
        <v>447414.33999999997</v>
      </c>
      <c r="P82" s="158"/>
      <c r="Q82" s="99">
        <f t="shared" si="46"/>
        <v>3.2500000000000001E-2</v>
      </c>
      <c r="U82" s="17"/>
      <c r="V82" s="193"/>
      <c r="W82" s="17"/>
      <c r="X82" s="193"/>
    </row>
    <row r="83" spans="1:24" ht="14.45" customHeight="1">
      <c r="A83" s="97">
        <f>A28</f>
        <v>44256</v>
      </c>
      <c r="D83" s="155">
        <f t="shared" ref="D83:D89" si="47">ROUND((F82+F$62+(E83)/2)*H83/12,2)</f>
        <v>30669.98</v>
      </c>
      <c r="F83" s="155">
        <f>F82+C83+D83+E83</f>
        <v>11354971.060000001</v>
      </c>
      <c r="G83" s="158"/>
      <c r="H83" s="99">
        <f>H28</f>
        <v>3.2500000000000001E-2</v>
      </c>
      <c r="J83" s="97">
        <f t="shared" si="45"/>
        <v>44256</v>
      </c>
      <c r="M83" s="155">
        <f t="shared" ref="M83:M89" si="48">ROUND((O82+O$62+(N83)/2)*Q83/12,2)</f>
        <v>1211.75</v>
      </c>
      <c r="O83" s="155">
        <f>O82+L83+M83+N83</f>
        <v>448626.08999999997</v>
      </c>
      <c r="P83" s="158"/>
      <c r="Q83" s="99">
        <f t="shared" si="46"/>
        <v>3.2500000000000001E-2</v>
      </c>
      <c r="U83" s="17"/>
      <c r="V83" s="193"/>
      <c r="W83" s="17"/>
      <c r="X83" s="193"/>
    </row>
    <row r="84" spans="1:24" ht="14.45" customHeight="1">
      <c r="A84" s="97">
        <f t="shared" ref="A84:A92" si="49">A30</f>
        <v>44287</v>
      </c>
      <c r="D84" s="155">
        <f t="shared" si="47"/>
        <v>30753.05</v>
      </c>
      <c r="F84" s="155">
        <f t="shared" ref="F84:F92" si="50">F83+C84+D84+E84</f>
        <v>11385724.110000001</v>
      </c>
      <c r="G84" s="158"/>
      <c r="H84" s="99">
        <f t="shared" ref="H84:H92" si="51">H30</f>
        <v>3.2500000000000001E-2</v>
      </c>
      <c r="J84" s="97">
        <f t="shared" si="45"/>
        <v>44287</v>
      </c>
      <c r="M84" s="155">
        <f t="shared" si="48"/>
        <v>1215.03</v>
      </c>
      <c r="O84" s="155">
        <f t="shared" ref="O84:O90" si="52">O83+L84+M84+N84</f>
        <v>449841.12</v>
      </c>
      <c r="P84" s="158"/>
      <c r="Q84" s="99">
        <f t="shared" si="46"/>
        <v>3.2500000000000001E-2</v>
      </c>
    </row>
    <row r="85" spans="1:24" ht="14.45" customHeight="1">
      <c r="A85" s="97">
        <f t="shared" si="49"/>
        <v>44317</v>
      </c>
      <c r="D85" s="155">
        <f t="shared" si="47"/>
        <v>30836.34</v>
      </c>
      <c r="F85" s="155">
        <f t="shared" si="50"/>
        <v>11416560.450000001</v>
      </c>
      <c r="G85" s="158"/>
      <c r="H85" s="99">
        <f t="shared" si="51"/>
        <v>3.2500000000000001E-2</v>
      </c>
      <c r="J85" s="97">
        <f t="shared" si="45"/>
        <v>44317</v>
      </c>
      <c r="M85" s="155">
        <f t="shared" si="48"/>
        <v>1218.32</v>
      </c>
      <c r="O85" s="155">
        <f t="shared" si="52"/>
        <v>451059.44</v>
      </c>
      <c r="P85" s="158"/>
      <c r="Q85" s="99">
        <f t="shared" si="46"/>
        <v>3.2500000000000001E-2</v>
      </c>
    </row>
    <row r="86" spans="1:24" ht="14.45" customHeight="1">
      <c r="A86" s="97">
        <f t="shared" si="49"/>
        <v>44348</v>
      </c>
      <c r="D86" s="155">
        <f t="shared" si="47"/>
        <v>30919.85</v>
      </c>
      <c r="F86" s="155">
        <f t="shared" si="50"/>
        <v>11447480.300000001</v>
      </c>
      <c r="G86" s="158"/>
      <c r="H86" s="99">
        <f t="shared" si="51"/>
        <v>3.2500000000000001E-2</v>
      </c>
      <c r="J86" s="97">
        <f t="shared" si="45"/>
        <v>44348</v>
      </c>
      <c r="M86" s="155">
        <f t="shared" si="48"/>
        <v>1221.6199999999999</v>
      </c>
      <c r="O86" s="155">
        <f t="shared" si="52"/>
        <v>452281.06</v>
      </c>
      <c r="P86" s="158"/>
      <c r="Q86" s="99">
        <f t="shared" si="46"/>
        <v>3.2500000000000001E-2</v>
      </c>
    </row>
    <row r="87" spans="1:24" ht="14.45" hidden="1" customHeight="1">
      <c r="A87" s="97">
        <f t="shared" si="49"/>
        <v>44378</v>
      </c>
      <c r="D87" s="155">
        <f t="shared" si="47"/>
        <v>31003.59</v>
      </c>
      <c r="F87" s="155">
        <f>F86+C87+D87+E87</f>
        <v>11478483.890000001</v>
      </c>
      <c r="G87" s="158"/>
      <c r="H87" s="99">
        <f t="shared" si="51"/>
        <v>3.2500000000000001E-2</v>
      </c>
      <c r="J87" s="97">
        <f t="shared" si="45"/>
        <v>44378</v>
      </c>
      <c r="M87" s="155">
        <f t="shared" si="48"/>
        <v>1224.93</v>
      </c>
      <c r="O87" s="155">
        <f t="shared" si="52"/>
        <v>453505.99</v>
      </c>
      <c r="P87" s="158"/>
      <c r="Q87" s="99">
        <f t="shared" si="46"/>
        <v>3.2500000000000001E-2</v>
      </c>
    </row>
    <row r="88" spans="1:24" ht="14.45" hidden="1" customHeight="1">
      <c r="A88" s="97">
        <f t="shared" si="49"/>
        <v>44409</v>
      </c>
      <c r="B88" s="53" t="s">
        <v>126</v>
      </c>
      <c r="C88" s="155">
        <f>-F87</f>
        <v>-11478483.890000001</v>
      </c>
      <c r="D88" s="155">
        <f>ROUND((F87+C88+(E88)/2)*H88/12,2)</f>
        <v>0</v>
      </c>
      <c r="F88" s="155">
        <f>F87+C88+D88+E88</f>
        <v>0</v>
      </c>
      <c r="G88" s="158"/>
      <c r="H88" s="99">
        <f t="shared" si="51"/>
        <v>3.2500000000000001E-2</v>
      </c>
      <c r="J88" s="97">
        <f t="shared" si="45"/>
        <v>44409</v>
      </c>
      <c r="K88" s="53" t="s">
        <v>126</v>
      </c>
      <c r="L88" s="155">
        <f>-O87</f>
        <v>-453505.99</v>
      </c>
      <c r="M88" s="155">
        <f>ROUND((O87+L88+(N88)/2)*Q88/12,2)</f>
        <v>0</v>
      </c>
      <c r="O88" s="155">
        <f>O87+L88+M88+N88</f>
        <v>0</v>
      </c>
      <c r="P88" s="158"/>
      <c r="Q88" s="99">
        <f t="shared" si="46"/>
        <v>3.2500000000000001E-2</v>
      </c>
    </row>
    <row r="89" spans="1:24" hidden="1">
      <c r="A89" s="97">
        <f t="shared" si="49"/>
        <v>44440</v>
      </c>
      <c r="D89" s="155">
        <f t="shared" si="47"/>
        <v>0</v>
      </c>
      <c r="F89" s="155">
        <f>F88+C89+D89+E89</f>
        <v>0</v>
      </c>
      <c r="G89" s="158"/>
      <c r="H89" s="99">
        <f t="shared" si="51"/>
        <v>3.2500000000000001E-2</v>
      </c>
      <c r="J89" s="97">
        <f t="shared" si="45"/>
        <v>44440</v>
      </c>
      <c r="M89" s="155">
        <f t="shared" si="48"/>
        <v>0</v>
      </c>
      <c r="O89" s="155">
        <f>O88+L89+M89+N89</f>
        <v>0</v>
      </c>
      <c r="P89" s="158"/>
      <c r="Q89" s="99">
        <f t="shared" si="46"/>
        <v>3.2500000000000001E-2</v>
      </c>
    </row>
    <row r="90" spans="1:24" hidden="1">
      <c r="A90" s="97">
        <f t="shared" si="49"/>
        <v>44470</v>
      </c>
      <c r="D90" s="155">
        <f>ROUND((F89+(E90)/2)*H90/12,2)</f>
        <v>0</v>
      </c>
      <c r="F90" s="155">
        <f>F89+C90+D90+E90</f>
        <v>0</v>
      </c>
      <c r="G90" s="158"/>
      <c r="H90" s="99">
        <f t="shared" si="51"/>
        <v>3.2500000000000001E-2</v>
      </c>
      <c r="J90" s="97">
        <f t="shared" si="45"/>
        <v>44470</v>
      </c>
      <c r="M90" s="155">
        <f>ROUND((O89+(N90)/2)*Q90/12,2)</f>
        <v>0</v>
      </c>
      <c r="O90" s="155">
        <f t="shared" si="52"/>
        <v>0</v>
      </c>
      <c r="P90" s="158"/>
      <c r="Q90" s="99">
        <f t="shared" si="46"/>
        <v>3.2500000000000001E-2</v>
      </c>
    </row>
    <row r="91" spans="1:24" hidden="1">
      <c r="A91" s="97">
        <f t="shared" si="49"/>
        <v>44501</v>
      </c>
      <c r="D91" s="155">
        <f>ROUND((F90+(E91)/2)*H91/12,2)</f>
        <v>0</v>
      </c>
      <c r="E91" s="161"/>
      <c r="F91" s="155">
        <f t="shared" si="50"/>
        <v>0</v>
      </c>
      <c r="G91" s="158"/>
      <c r="H91" s="99">
        <f t="shared" si="51"/>
        <v>3.2500000000000001E-2</v>
      </c>
      <c r="J91" s="97">
        <f t="shared" si="45"/>
        <v>44501</v>
      </c>
      <c r="M91" s="155">
        <f>ROUND((O90+(N91)/2)*Q91/12,2)</f>
        <v>0</v>
      </c>
      <c r="O91" s="155">
        <f>O90+L91+M91+N91</f>
        <v>0</v>
      </c>
      <c r="P91" s="158"/>
      <c r="Q91" s="99">
        <f t="shared" si="46"/>
        <v>3.2500000000000001E-2</v>
      </c>
    </row>
    <row r="92" spans="1:24" hidden="1">
      <c r="A92" s="97">
        <f t="shared" si="49"/>
        <v>44531</v>
      </c>
      <c r="D92" s="155">
        <f>ROUND((F91+(E92)/2)*H92/12,2)</f>
        <v>0</v>
      </c>
      <c r="F92" s="155">
        <f t="shared" si="50"/>
        <v>0</v>
      </c>
      <c r="H92" s="99">
        <f t="shared" si="51"/>
        <v>3.2500000000000001E-2</v>
      </c>
      <c r="J92" s="97">
        <f t="shared" si="45"/>
        <v>44531</v>
      </c>
      <c r="M92" s="155">
        <f>ROUND((O91+(N92)/2)*Q92/12,2)</f>
        <v>0</v>
      </c>
      <c r="O92" s="155">
        <f t="shared" ref="O92" si="53">O91+L92+M92+N92</f>
        <v>0</v>
      </c>
      <c r="Q92" s="99">
        <f t="shared" si="46"/>
        <v>3.2500000000000001E-2</v>
      </c>
    </row>
    <row r="93" spans="1:24" ht="29.25" hidden="1" customHeight="1">
      <c r="A93" s="97"/>
      <c r="B93" s="101" t="s">
        <v>126</v>
      </c>
      <c r="C93" s="239" t="s">
        <v>197</v>
      </c>
      <c r="D93" s="239"/>
      <c r="E93" s="239"/>
      <c r="F93" s="239"/>
      <c r="G93" s="239"/>
      <c r="H93" s="239"/>
      <c r="J93" s="97"/>
      <c r="K93" s="101" t="s">
        <v>126</v>
      </c>
      <c r="L93" s="239" t="s">
        <v>197</v>
      </c>
      <c r="M93" s="239"/>
      <c r="N93" s="239"/>
      <c r="O93" s="239"/>
      <c r="P93" s="239"/>
      <c r="Q93" s="239"/>
    </row>
    <row r="94" spans="1:24" ht="14.45" customHeight="1">
      <c r="A94" s="97"/>
      <c r="B94" s="101"/>
      <c r="C94" s="160"/>
      <c r="D94" s="160"/>
      <c r="E94" s="160"/>
      <c r="F94" s="160"/>
      <c r="G94" s="188"/>
      <c r="H94" s="188"/>
      <c r="J94" s="97"/>
      <c r="Q94" s="99"/>
    </row>
    <row r="95" spans="1:24">
      <c r="A95" s="189">
        <v>182328</v>
      </c>
      <c r="B95" s="189" t="s">
        <v>52</v>
      </c>
      <c r="C95" s="156" t="s">
        <v>92</v>
      </c>
      <c r="D95" s="156" t="s">
        <v>93</v>
      </c>
      <c r="E95" s="156"/>
      <c r="F95" s="155" t="s">
        <v>95</v>
      </c>
      <c r="H95" s="190" t="s">
        <v>93</v>
      </c>
      <c r="J95" s="189">
        <f>A95</f>
        <v>182328</v>
      </c>
      <c r="K95" s="189" t="s">
        <v>53</v>
      </c>
      <c r="L95" s="156" t="s">
        <v>92</v>
      </c>
      <c r="M95" s="156" t="s">
        <v>93</v>
      </c>
      <c r="N95" s="156"/>
      <c r="O95" s="155" t="s">
        <v>95</v>
      </c>
      <c r="Q95" s="190" t="s">
        <v>93</v>
      </c>
    </row>
    <row r="96" spans="1:24">
      <c r="A96" s="113" t="s">
        <v>146</v>
      </c>
      <c r="B96" s="113" t="s">
        <v>142</v>
      </c>
      <c r="C96" s="156" t="s">
        <v>96</v>
      </c>
      <c r="D96" s="156" t="s">
        <v>97</v>
      </c>
      <c r="E96" s="156" t="s">
        <v>98</v>
      </c>
      <c r="F96" s="155" t="s">
        <v>94</v>
      </c>
      <c r="H96" s="190" t="s">
        <v>99</v>
      </c>
      <c r="J96" s="113" t="str">
        <f>A96</f>
        <v xml:space="preserve">Res Surcharge Approved </v>
      </c>
      <c r="K96" s="113" t="s">
        <v>142</v>
      </c>
      <c r="L96" s="156" t="s">
        <v>96</v>
      </c>
      <c r="M96" s="156" t="s">
        <v>97</v>
      </c>
      <c r="N96" s="156" t="s">
        <v>98</v>
      </c>
      <c r="O96" s="155" t="s">
        <v>94</v>
      </c>
      <c r="Q96" s="190" t="s">
        <v>99</v>
      </c>
    </row>
    <row r="97" spans="1:24" ht="14.45" customHeight="1">
      <c r="A97" s="97">
        <f>$A$25</f>
        <v>44166</v>
      </c>
      <c r="B97" s="98"/>
      <c r="F97" s="162">
        <v>3104571.11</v>
      </c>
      <c r="G97" s="158"/>
      <c r="J97" s="97">
        <f t="shared" ref="J97:J109" si="54">A97</f>
        <v>44166</v>
      </c>
      <c r="K97" s="98"/>
      <c r="O97" s="162">
        <v>0</v>
      </c>
      <c r="P97" s="158"/>
    </row>
    <row r="98" spans="1:24" ht="14.45" customHeight="1">
      <c r="A98" s="97">
        <f>A26</f>
        <v>44197</v>
      </c>
      <c r="D98" s="155">
        <f>ROUND((F97+(E98)/2)*H98/12,2)</f>
        <v>7609.64</v>
      </c>
      <c r="E98" s="157">
        <v>-589719.35</v>
      </c>
      <c r="F98" s="155">
        <f t="shared" ref="F98:F109" si="55">F97+C98+D98+E98</f>
        <v>2522461.4</v>
      </c>
      <c r="G98" s="158"/>
      <c r="H98" s="99">
        <f>H26</f>
        <v>3.2500000000000001E-2</v>
      </c>
      <c r="J98" s="97">
        <f t="shared" si="54"/>
        <v>44197</v>
      </c>
      <c r="M98" s="155">
        <f>ROUND((O97+(N98)/2)*Q98/12,2)</f>
        <v>0</v>
      </c>
      <c r="N98" s="157">
        <v>0</v>
      </c>
      <c r="O98" s="155">
        <f t="shared" ref="O98:O109" si="56">O97+L98+M98+N98</f>
        <v>0</v>
      </c>
      <c r="P98" s="158"/>
      <c r="Q98" s="99">
        <f>H98</f>
        <v>3.2500000000000001E-2</v>
      </c>
      <c r="U98" s="17"/>
      <c r="V98" s="193"/>
      <c r="W98" s="17"/>
      <c r="X98" s="193"/>
    </row>
    <row r="99" spans="1:24" ht="14.45" customHeight="1">
      <c r="A99" s="97">
        <f>A27</f>
        <v>44228</v>
      </c>
      <c r="D99" s="155">
        <f t="shared" ref="D99:D109" si="57">ROUND((F98+(E99)/2)*H99/12,2)</f>
        <v>6063.34</v>
      </c>
      <c r="E99" s="157">
        <v>-567377.80000000005</v>
      </c>
      <c r="F99" s="155">
        <f t="shared" si="55"/>
        <v>1961146.9399999997</v>
      </c>
      <c r="G99" s="158"/>
      <c r="H99" s="99">
        <f>H27</f>
        <v>3.2500000000000001E-2</v>
      </c>
      <c r="J99" s="97">
        <f t="shared" si="54"/>
        <v>44228</v>
      </c>
      <c r="M99" s="155">
        <f t="shared" ref="M99:M109" si="58">ROUND((O98+(N99)/2)*Q99/12,2)</f>
        <v>0</v>
      </c>
      <c r="N99" s="157">
        <v>0</v>
      </c>
      <c r="O99" s="155">
        <f t="shared" si="56"/>
        <v>0</v>
      </c>
      <c r="P99" s="158"/>
      <c r="Q99" s="99">
        <f t="shared" ref="Q99:Q109" si="59">H99</f>
        <v>3.2500000000000001E-2</v>
      </c>
      <c r="U99" s="17"/>
      <c r="V99" s="193"/>
      <c r="W99" s="17"/>
      <c r="X99" s="193"/>
    </row>
    <row r="100" spans="1:24" ht="14.45" customHeight="1">
      <c r="A100" s="97">
        <f>A28</f>
        <v>44256</v>
      </c>
      <c r="D100" s="155">
        <f t="shared" si="57"/>
        <v>4583.9399999999996</v>
      </c>
      <c r="E100" s="157">
        <v>-537229.39</v>
      </c>
      <c r="F100" s="155">
        <f t="shared" si="55"/>
        <v>1428501.4899999998</v>
      </c>
      <c r="G100" s="158"/>
      <c r="H100" s="99">
        <f>H28</f>
        <v>3.2500000000000001E-2</v>
      </c>
      <c r="J100" s="97">
        <f t="shared" si="54"/>
        <v>44256</v>
      </c>
      <c r="M100" s="155">
        <f t="shared" si="58"/>
        <v>0</v>
      </c>
      <c r="N100" s="157">
        <v>0</v>
      </c>
      <c r="O100" s="155">
        <f t="shared" si="56"/>
        <v>0</v>
      </c>
      <c r="P100" s="158"/>
      <c r="Q100" s="99">
        <f t="shared" si="59"/>
        <v>3.2500000000000001E-2</v>
      </c>
      <c r="U100" s="17"/>
      <c r="V100" s="193"/>
      <c r="W100" s="17"/>
      <c r="X100" s="193"/>
    </row>
    <row r="101" spans="1:24" ht="14.45" customHeight="1">
      <c r="A101" s="97">
        <f t="shared" ref="A101:A109" si="60">A30</f>
        <v>44287</v>
      </c>
      <c r="D101" s="155">
        <f t="shared" si="57"/>
        <v>3315.17</v>
      </c>
      <c r="E101" s="157">
        <v>-408874.95</v>
      </c>
      <c r="F101" s="155">
        <f>F100+C101+D101+E101</f>
        <v>1022941.7099999997</v>
      </c>
      <c r="G101" s="158"/>
      <c r="H101" s="99">
        <f t="shared" ref="H101:H109" si="61">H30</f>
        <v>3.2500000000000001E-2</v>
      </c>
      <c r="J101" s="97">
        <f t="shared" si="54"/>
        <v>44287</v>
      </c>
      <c r="M101" s="155">
        <f t="shared" si="58"/>
        <v>0</v>
      </c>
      <c r="N101" s="157">
        <v>0</v>
      </c>
      <c r="O101" s="155">
        <f t="shared" si="56"/>
        <v>0</v>
      </c>
      <c r="P101" s="158"/>
      <c r="Q101" s="99">
        <f t="shared" si="59"/>
        <v>3.2500000000000001E-2</v>
      </c>
    </row>
    <row r="102" spans="1:24" ht="14.45" customHeight="1">
      <c r="A102" s="97">
        <f t="shared" si="60"/>
        <v>44317</v>
      </c>
      <c r="D102" s="155">
        <f t="shared" si="57"/>
        <v>2248.5500000000002</v>
      </c>
      <c r="E102" s="157">
        <v>-385413.97</v>
      </c>
      <c r="F102" s="155">
        <f>F101+C102+D102+E102</f>
        <v>639776.2899999998</v>
      </c>
      <c r="G102" s="158"/>
      <c r="H102" s="99">
        <f t="shared" si="61"/>
        <v>3.2500000000000001E-2</v>
      </c>
      <c r="J102" s="97">
        <f t="shared" si="54"/>
        <v>44317</v>
      </c>
      <c r="M102" s="155">
        <f t="shared" si="58"/>
        <v>0</v>
      </c>
      <c r="N102" s="157">
        <v>0</v>
      </c>
      <c r="O102" s="155">
        <f t="shared" si="56"/>
        <v>0</v>
      </c>
      <c r="P102" s="158"/>
      <c r="Q102" s="99">
        <f t="shared" si="59"/>
        <v>3.2500000000000001E-2</v>
      </c>
    </row>
    <row r="103" spans="1:24" ht="14.45" customHeight="1">
      <c r="A103" s="97">
        <f t="shared" si="60"/>
        <v>44348</v>
      </c>
      <c r="D103" s="155">
        <f t="shared" si="57"/>
        <v>1115.19</v>
      </c>
      <c r="E103" s="157">
        <v>-456025.38</v>
      </c>
      <c r="F103" s="155">
        <f t="shared" si="55"/>
        <v>184866.09999999974</v>
      </c>
      <c r="G103" s="158"/>
      <c r="H103" s="99">
        <f t="shared" si="61"/>
        <v>3.2500000000000001E-2</v>
      </c>
      <c r="J103" s="97">
        <f t="shared" si="54"/>
        <v>44348</v>
      </c>
      <c r="M103" s="155">
        <f t="shared" si="58"/>
        <v>0</v>
      </c>
      <c r="N103" s="157">
        <v>0</v>
      </c>
      <c r="O103" s="155">
        <f t="shared" si="56"/>
        <v>0</v>
      </c>
      <c r="P103" s="158"/>
      <c r="Q103" s="99">
        <f t="shared" si="59"/>
        <v>3.2500000000000001E-2</v>
      </c>
    </row>
    <row r="104" spans="1:24" ht="14.45" hidden="1" customHeight="1">
      <c r="A104" s="97">
        <f t="shared" si="60"/>
        <v>44378</v>
      </c>
      <c r="B104" s="53" t="s">
        <v>126</v>
      </c>
      <c r="C104" s="155">
        <f>IF(C70&lt;0,-C70,0)</f>
        <v>0</v>
      </c>
      <c r="D104" s="155">
        <f>ROUND((F103+(E104)/2)*H104/12,2)</f>
        <v>500.68</v>
      </c>
      <c r="E104" s="157">
        <v>0</v>
      </c>
      <c r="F104" s="155">
        <f>F103+D104+E104</f>
        <v>185366.77999999974</v>
      </c>
      <c r="G104" s="158"/>
      <c r="H104" s="99">
        <f t="shared" si="61"/>
        <v>3.2500000000000001E-2</v>
      </c>
      <c r="J104" s="97">
        <f t="shared" si="54"/>
        <v>44378</v>
      </c>
      <c r="K104" s="53" t="s">
        <v>126</v>
      </c>
      <c r="L104" s="155">
        <f>IF(L70&lt;0,-L70,0)</f>
        <v>1196885.24</v>
      </c>
      <c r="M104" s="155">
        <f>ROUND((O103+(N104)/2)*Q104/12,2)</f>
        <v>0</v>
      </c>
      <c r="N104" s="157">
        <f>IF(Current_Month=J104,[1]Summary!$D$47,0)</f>
        <v>0</v>
      </c>
      <c r="O104" s="155">
        <f>O103+M104+N104</f>
        <v>0</v>
      </c>
      <c r="P104" s="158"/>
      <c r="Q104" s="99">
        <f t="shared" si="59"/>
        <v>3.2500000000000001E-2</v>
      </c>
    </row>
    <row r="105" spans="1:24" ht="14.45" hidden="1" customHeight="1">
      <c r="A105" s="97">
        <f t="shared" si="60"/>
        <v>44409</v>
      </c>
      <c r="B105" s="53" t="s">
        <v>126</v>
      </c>
      <c r="C105" s="155">
        <f>IF(F97&gt;0,IF(F69+F104&lt;0,-F104,-C137),IF(F69+F136&lt;0,-F104,-C137))</f>
        <v>-185366.77999999974</v>
      </c>
      <c r="D105" s="155">
        <f>ROUND((F104+C104+C105+(E105)/2)*H105/12,2)</f>
        <v>0</v>
      </c>
      <c r="E105" s="157">
        <v>0</v>
      </c>
      <c r="F105" s="155">
        <f>F104+C104+C105+D105+E105</f>
        <v>0</v>
      </c>
      <c r="G105" s="158"/>
      <c r="H105" s="99">
        <f t="shared" si="61"/>
        <v>3.2500000000000001E-2</v>
      </c>
      <c r="J105" s="97">
        <f t="shared" si="54"/>
        <v>44409</v>
      </c>
      <c r="K105" s="53" t="s">
        <v>126</v>
      </c>
      <c r="L105" s="155">
        <f>IF(O97&gt;0,IF(O69+O104&lt;0,-O104,-L137),IF(O69+O136&lt;0,-O104,-L137))</f>
        <v>-29703.920000000038</v>
      </c>
      <c r="M105" s="155">
        <f>ROUND((O104+L104+L105+(N105)/2)*Q105/12,2)</f>
        <v>3161.12</v>
      </c>
      <c r="N105" s="157">
        <f>IF(Current_Month=J105,[1]Summary!$D$47,0)</f>
        <v>0</v>
      </c>
      <c r="O105" s="155">
        <f>O104+L104+L105+M105+N105</f>
        <v>1170342.4400000002</v>
      </c>
      <c r="P105" s="158"/>
      <c r="Q105" s="99">
        <f t="shared" si="59"/>
        <v>3.2500000000000001E-2</v>
      </c>
    </row>
    <row r="106" spans="1:24" hidden="1">
      <c r="A106" s="97">
        <f t="shared" si="60"/>
        <v>44440</v>
      </c>
      <c r="D106" s="155">
        <f t="shared" si="57"/>
        <v>0</v>
      </c>
      <c r="E106" s="157">
        <v>0</v>
      </c>
      <c r="F106" s="155">
        <f>F105+C106+D106+E106</f>
        <v>0</v>
      </c>
      <c r="G106" s="158"/>
      <c r="H106" s="99">
        <f t="shared" si="61"/>
        <v>3.2500000000000001E-2</v>
      </c>
      <c r="J106" s="97">
        <f t="shared" si="54"/>
        <v>44440</v>
      </c>
      <c r="M106" s="155">
        <f t="shared" si="58"/>
        <v>3169.68</v>
      </c>
      <c r="N106" s="157">
        <f>IF(Current_Month=J106,[1]Summary!$D$47,0)</f>
        <v>0</v>
      </c>
      <c r="O106" s="155">
        <f>O105+L106+M106+N106</f>
        <v>1173512.1200000001</v>
      </c>
      <c r="P106" s="158"/>
      <c r="Q106" s="99">
        <f t="shared" si="59"/>
        <v>3.2500000000000001E-2</v>
      </c>
    </row>
    <row r="107" spans="1:24" hidden="1">
      <c r="A107" s="97">
        <f t="shared" si="60"/>
        <v>44470</v>
      </c>
      <c r="D107" s="155">
        <f t="shared" si="57"/>
        <v>0</v>
      </c>
      <c r="E107" s="157">
        <v>0</v>
      </c>
      <c r="F107" s="155">
        <f>F106+C107+D107+E107</f>
        <v>0</v>
      </c>
      <c r="G107" s="158"/>
      <c r="H107" s="99">
        <f t="shared" si="61"/>
        <v>3.2500000000000001E-2</v>
      </c>
      <c r="J107" s="97">
        <f t="shared" si="54"/>
        <v>44470</v>
      </c>
      <c r="M107" s="155">
        <f t="shared" si="58"/>
        <v>3178.26</v>
      </c>
      <c r="N107" s="157">
        <f>IF(Current_Month=J107,[1]Summary!$D$47,0)</f>
        <v>0</v>
      </c>
      <c r="O107" s="155">
        <f>O106+L107+M107+N107</f>
        <v>1176690.3800000001</v>
      </c>
      <c r="P107" s="158"/>
      <c r="Q107" s="99">
        <f t="shared" si="59"/>
        <v>3.2500000000000001E-2</v>
      </c>
      <c r="T107" s="196"/>
    </row>
    <row r="108" spans="1:24" hidden="1">
      <c r="A108" s="97">
        <f t="shared" si="60"/>
        <v>44501</v>
      </c>
      <c r="D108" s="155">
        <f t="shared" si="57"/>
        <v>0</v>
      </c>
      <c r="E108" s="157">
        <v>0</v>
      </c>
      <c r="F108" s="155">
        <f>F107+C108+D108+E108</f>
        <v>0</v>
      </c>
      <c r="G108" s="158"/>
      <c r="H108" s="99">
        <f t="shared" si="61"/>
        <v>3.2500000000000001E-2</v>
      </c>
      <c r="J108" s="97">
        <f t="shared" si="54"/>
        <v>44501</v>
      </c>
      <c r="M108" s="155">
        <f t="shared" si="58"/>
        <v>3186.87</v>
      </c>
      <c r="N108" s="157">
        <f>IF(Current_Month=J108,[1]Summary!$D$47,0)</f>
        <v>0</v>
      </c>
      <c r="O108" s="155">
        <f>O107+L108+M108+N108</f>
        <v>1179877.2500000002</v>
      </c>
      <c r="P108" s="158"/>
      <c r="Q108" s="99">
        <f t="shared" si="59"/>
        <v>3.2500000000000001E-2</v>
      </c>
      <c r="T108" s="196"/>
    </row>
    <row r="109" spans="1:24" ht="13.9" hidden="1" customHeight="1">
      <c r="A109" s="97">
        <f t="shared" si="60"/>
        <v>44531</v>
      </c>
      <c r="B109" s="98"/>
      <c r="C109" s="161"/>
      <c r="D109" s="155">
        <f t="shared" si="57"/>
        <v>0</v>
      </c>
      <c r="E109" s="157">
        <v>0</v>
      </c>
      <c r="F109" s="155">
        <f t="shared" si="55"/>
        <v>0</v>
      </c>
      <c r="H109" s="99">
        <f t="shared" si="61"/>
        <v>3.2500000000000001E-2</v>
      </c>
      <c r="J109" s="97">
        <f t="shared" si="54"/>
        <v>44531</v>
      </c>
      <c r="K109" s="98"/>
      <c r="L109" s="197"/>
      <c r="M109" s="155">
        <f t="shared" si="58"/>
        <v>3195.5</v>
      </c>
      <c r="N109" s="157">
        <f>IF(Current_Month=J109,[1]Summary!$D$47,0)</f>
        <v>0</v>
      </c>
      <c r="O109" s="155">
        <f t="shared" si="56"/>
        <v>1183072.7500000002</v>
      </c>
      <c r="Q109" s="99">
        <f t="shared" si="59"/>
        <v>3.2500000000000001E-2</v>
      </c>
      <c r="T109" s="196"/>
    </row>
    <row r="110" spans="1:24" ht="11.45" customHeight="1"/>
    <row r="111" spans="1:24" ht="16.149999999999999" customHeight="1">
      <c r="A111" s="189">
        <v>182338</v>
      </c>
      <c r="B111" s="189" t="s">
        <v>52</v>
      </c>
      <c r="C111" s="156" t="s">
        <v>92</v>
      </c>
      <c r="D111" s="156" t="s">
        <v>93</v>
      </c>
      <c r="E111" s="156"/>
      <c r="F111" s="155" t="s">
        <v>95</v>
      </c>
      <c r="H111" s="190" t="s">
        <v>93</v>
      </c>
      <c r="J111" s="189">
        <f>A111</f>
        <v>182338</v>
      </c>
      <c r="K111" s="189" t="s">
        <v>53</v>
      </c>
      <c r="L111" s="156" t="s">
        <v>92</v>
      </c>
      <c r="M111" s="156" t="s">
        <v>93</v>
      </c>
      <c r="N111" s="156"/>
      <c r="O111" s="155" t="s">
        <v>95</v>
      </c>
      <c r="Q111" s="190" t="s">
        <v>93</v>
      </c>
    </row>
    <row r="112" spans="1:24">
      <c r="A112" s="113" t="s">
        <v>147</v>
      </c>
      <c r="B112" s="113" t="s">
        <v>142</v>
      </c>
      <c r="C112" s="156" t="s">
        <v>96</v>
      </c>
      <c r="D112" s="156" t="s">
        <v>97</v>
      </c>
      <c r="E112" s="156" t="s">
        <v>98</v>
      </c>
      <c r="F112" s="155" t="s">
        <v>94</v>
      </c>
      <c r="H112" s="190" t="s">
        <v>99</v>
      </c>
      <c r="J112" s="113" t="str">
        <f>A112</f>
        <v xml:space="preserve">Non-Res Surcharge Approved </v>
      </c>
      <c r="K112" s="113" t="s">
        <v>142</v>
      </c>
      <c r="L112" s="156" t="s">
        <v>96</v>
      </c>
      <c r="M112" s="156" t="s">
        <v>97</v>
      </c>
      <c r="N112" s="156" t="s">
        <v>98</v>
      </c>
      <c r="O112" s="155" t="s">
        <v>94</v>
      </c>
      <c r="Q112" s="190" t="s">
        <v>99</v>
      </c>
    </row>
    <row r="113" spans="1:24">
      <c r="A113" s="97">
        <f>$A$25</f>
        <v>44166</v>
      </c>
      <c r="B113" s="98"/>
      <c r="F113" s="162">
        <v>6526773.75</v>
      </c>
      <c r="G113" s="158"/>
      <c r="J113" s="97">
        <f t="shared" ref="J113:J125" si="62">A113</f>
        <v>44166</v>
      </c>
      <c r="K113" s="98"/>
      <c r="O113" s="162">
        <v>142293.74</v>
      </c>
      <c r="P113" s="158"/>
    </row>
    <row r="114" spans="1:24">
      <c r="A114" s="97">
        <f>A26</f>
        <v>44197</v>
      </c>
      <c r="D114" s="155">
        <f>ROUND((F113+(E114)/2)*H114/12,2)</f>
        <v>16887.669999999998</v>
      </c>
      <c r="E114" s="157">
        <v>-582649.56999999995</v>
      </c>
      <c r="F114" s="155">
        <f>F113+C114+D114+E114</f>
        <v>5961011.8499999996</v>
      </c>
      <c r="G114" s="158"/>
      <c r="H114" s="99">
        <f>H26</f>
        <v>3.2500000000000001E-2</v>
      </c>
      <c r="J114" s="97">
        <f t="shared" si="62"/>
        <v>44197</v>
      </c>
      <c r="M114" s="155">
        <f>ROUND((O113+(N114)/2)*Q114/12,2)</f>
        <v>344.17</v>
      </c>
      <c r="N114" s="157">
        <v>-30427.68</v>
      </c>
      <c r="O114" s="155">
        <f>O113+L114+M114+N114</f>
        <v>112210.23000000001</v>
      </c>
      <c r="P114" s="158"/>
      <c r="Q114" s="99">
        <f>H114</f>
        <v>3.2500000000000001E-2</v>
      </c>
      <c r="U114" s="17"/>
      <c r="V114" s="193"/>
      <c r="W114" s="17"/>
      <c r="X114" s="193"/>
    </row>
    <row r="115" spans="1:24">
      <c r="A115" s="97">
        <f>A27</f>
        <v>44228</v>
      </c>
      <c r="D115" s="155">
        <f t="shared" ref="D115:D125" si="63">ROUND((F114+(E115)/2)*H115/12,2)</f>
        <v>15398.69</v>
      </c>
      <c r="E115" s="157">
        <v>-550684.30000000005</v>
      </c>
      <c r="F115" s="155">
        <f>F114+C115+D115+E115</f>
        <v>5425726.2400000002</v>
      </c>
      <c r="G115" s="158"/>
      <c r="H115" s="99">
        <f>H27</f>
        <v>3.2500000000000001E-2</v>
      </c>
      <c r="J115" s="97">
        <f t="shared" si="62"/>
        <v>44228</v>
      </c>
      <c r="M115" s="155">
        <f t="shared" ref="M115:M125" si="64">ROUND((O114+(N115)/2)*Q115/12,2)</f>
        <v>262.66000000000003</v>
      </c>
      <c r="N115" s="157">
        <v>-30456.01</v>
      </c>
      <c r="O115" s="155">
        <f>O114+L115+M115+N115</f>
        <v>82016.880000000019</v>
      </c>
      <c r="P115" s="158"/>
      <c r="Q115" s="99">
        <f t="shared" ref="Q115:Q125" si="65">H115</f>
        <v>3.2500000000000001E-2</v>
      </c>
      <c r="U115" s="17"/>
      <c r="V115" s="193"/>
      <c r="W115" s="17"/>
      <c r="X115" s="193"/>
    </row>
    <row r="116" spans="1:24">
      <c r="A116" s="97">
        <f>A28</f>
        <v>44256</v>
      </c>
      <c r="D116" s="155">
        <f t="shared" si="63"/>
        <v>13899.41</v>
      </c>
      <c r="E116" s="157">
        <v>-587273.43000000005</v>
      </c>
      <c r="F116" s="155">
        <f>F115+C116+D116+E116</f>
        <v>4852352.2200000007</v>
      </c>
      <c r="G116" s="158"/>
      <c r="H116" s="99">
        <f>H28</f>
        <v>3.2500000000000001E-2</v>
      </c>
      <c r="J116" s="97">
        <f t="shared" si="62"/>
        <v>44256</v>
      </c>
      <c r="M116" s="155">
        <f t="shared" si="64"/>
        <v>184.16</v>
      </c>
      <c r="N116" s="157">
        <v>-28037.07</v>
      </c>
      <c r="O116" s="155">
        <f>O115+L116+M116+N116</f>
        <v>54163.970000000023</v>
      </c>
      <c r="P116" s="158"/>
      <c r="Q116" s="99">
        <f t="shared" si="65"/>
        <v>3.2500000000000001E-2</v>
      </c>
      <c r="U116" s="17"/>
      <c r="V116" s="193"/>
      <c r="W116" s="17"/>
      <c r="X116" s="193"/>
    </row>
    <row r="117" spans="1:24">
      <c r="A117" s="97">
        <f t="shared" ref="A117:A125" si="66">A30</f>
        <v>44287</v>
      </c>
      <c r="D117" s="155">
        <f t="shared" si="63"/>
        <v>12405.83</v>
      </c>
      <c r="E117" s="157">
        <v>-543473.35</v>
      </c>
      <c r="F117" s="155">
        <f>F116+C117+D117+E117</f>
        <v>4321284.7000000011</v>
      </c>
      <c r="G117" s="158"/>
      <c r="H117" s="99">
        <f t="shared" ref="H117:H125" si="67">H30</f>
        <v>3.2500000000000001E-2</v>
      </c>
      <c r="J117" s="97">
        <f t="shared" si="62"/>
        <v>44287</v>
      </c>
      <c r="M117" s="155">
        <f t="shared" si="64"/>
        <v>124.69</v>
      </c>
      <c r="N117" s="157">
        <v>-16248.4</v>
      </c>
      <c r="O117" s="155">
        <f>O116+L117+M117+N117</f>
        <v>38040.260000000024</v>
      </c>
      <c r="P117" s="158"/>
      <c r="Q117" s="99">
        <f t="shared" si="65"/>
        <v>3.2500000000000001E-2</v>
      </c>
    </row>
    <row r="118" spans="1:24">
      <c r="A118" s="97">
        <f t="shared" si="66"/>
        <v>44317</v>
      </c>
      <c r="D118" s="155">
        <f t="shared" si="63"/>
        <v>10862.89</v>
      </c>
      <c r="E118" s="157">
        <v>-620742.46</v>
      </c>
      <c r="F118" s="155">
        <f t="shared" ref="F118:F125" si="68">F117+C118+D118+E118</f>
        <v>3711405.1300000008</v>
      </c>
      <c r="G118" s="158"/>
      <c r="H118" s="99">
        <f t="shared" si="67"/>
        <v>3.2500000000000001E-2</v>
      </c>
      <c r="J118" s="97">
        <f t="shared" si="62"/>
        <v>44317</v>
      </c>
      <c r="M118" s="155">
        <f t="shared" si="64"/>
        <v>87.58</v>
      </c>
      <c r="N118" s="157">
        <v>-11409.09</v>
      </c>
      <c r="O118" s="155">
        <f t="shared" ref="O118:O125" si="69">O117+L118+M118+N118</f>
        <v>26718.750000000025</v>
      </c>
      <c r="P118" s="158"/>
      <c r="Q118" s="99">
        <f t="shared" si="65"/>
        <v>3.2500000000000001E-2</v>
      </c>
    </row>
    <row r="119" spans="1:24">
      <c r="A119" s="97">
        <f t="shared" si="66"/>
        <v>44348</v>
      </c>
      <c r="D119" s="155">
        <f t="shared" si="63"/>
        <v>9065.61</v>
      </c>
      <c r="E119" s="157">
        <v>-728207</v>
      </c>
      <c r="F119" s="155">
        <f t="shared" si="68"/>
        <v>2992263.7400000007</v>
      </c>
      <c r="G119" s="158"/>
      <c r="H119" s="99">
        <f t="shared" si="67"/>
        <v>3.2500000000000001E-2</v>
      </c>
      <c r="J119" s="97">
        <f t="shared" si="62"/>
        <v>44348</v>
      </c>
      <c r="M119" s="155">
        <f t="shared" si="64"/>
        <v>61.66</v>
      </c>
      <c r="N119" s="157">
        <v>-7900.97</v>
      </c>
      <c r="O119" s="155">
        <f t="shared" si="69"/>
        <v>18879.440000000024</v>
      </c>
      <c r="P119" s="158"/>
      <c r="Q119" s="99">
        <f t="shared" si="65"/>
        <v>3.2500000000000001E-2</v>
      </c>
    </row>
    <row r="120" spans="1:24" hidden="1">
      <c r="A120" s="97">
        <f t="shared" si="66"/>
        <v>44378</v>
      </c>
      <c r="B120" s="53" t="s">
        <v>126</v>
      </c>
      <c r="C120" s="155">
        <f>IF(C88&lt;0,-C88,0)</f>
        <v>11478483.890000001</v>
      </c>
      <c r="D120" s="155">
        <f>ROUND((F119+(E120)/2)*H120/12,2)</f>
        <v>8104.05</v>
      </c>
      <c r="E120" s="157">
        <v>0</v>
      </c>
      <c r="F120" s="155">
        <f>F119+D120+E120</f>
        <v>3000367.7900000005</v>
      </c>
      <c r="G120" s="158"/>
      <c r="H120" s="99">
        <f t="shared" si="67"/>
        <v>3.2500000000000001E-2</v>
      </c>
      <c r="J120" s="97">
        <f t="shared" si="62"/>
        <v>44378</v>
      </c>
      <c r="K120" s="53" t="s">
        <v>126</v>
      </c>
      <c r="L120" s="155">
        <f>IF(L88&lt;0,-L88,0)</f>
        <v>453505.99</v>
      </c>
      <c r="M120" s="155">
        <f>ROUND((O119+(N120)/2)*Q120/12,2)</f>
        <v>51.13</v>
      </c>
      <c r="N120" s="157">
        <f>IF(Current_Month=J120,[1]Summary!$D$57,0)</f>
        <v>0</v>
      </c>
      <c r="O120" s="155">
        <f>O119+M120+N120</f>
        <v>18930.570000000025</v>
      </c>
      <c r="P120" s="158"/>
      <c r="Q120" s="99">
        <f t="shared" si="65"/>
        <v>3.2500000000000001E-2</v>
      </c>
      <c r="S120" s="155"/>
    </row>
    <row r="121" spans="1:24" hidden="1">
      <c r="A121" s="97">
        <f t="shared" si="66"/>
        <v>44409</v>
      </c>
      <c r="B121" s="53" t="s">
        <v>126</v>
      </c>
      <c r="C121" s="155">
        <f>IF(F113&gt;0,IF(F87+F120&lt;0,-F120,-C153),IF(F87+F152&lt;0,-F120,-C153))</f>
        <v>0</v>
      </c>
      <c r="D121" s="155">
        <f>ROUND((F120+C120+C121+(E121)/2)*H121/12,2)</f>
        <v>39213.56</v>
      </c>
      <c r="E121" s="157">
        <v>0</v>
      </c>
      <c r="F121" s="155">
        <f>F120+C120+C121+D121+E121</f>
        <v>14518065.240000002</v>
      </c>
      <c r="G121" s="158"/>
      <c r="H121" s="99">
        <f t="shared" si="67"/>
        <v>3.2500000000000001E-2</v>
      </c>
      <c r="J121" s="97">
        <f t="shared" si="62"/>
        <v>44409</v>
      </c>
      <c r="K121" s="53" t="s">
        <v>126</v>
      </c>
      <c r="L121" s="155">
        <f>IF(O113&gt;0,IF(O87+O120&lt;0,-O120,-L153),IF(O87+O152&lt;0,-O120,-L153))</f>
        <v>0</v>
      </c>
      <c r="M121" s="155">
        <f>ROUND((O120+L120+L121+(N121)/2)*Q121/12,2)</f>
        <v>1279.52</v>
      </c>
      <c r="N121" s="157">
        <f>IF(Current_Month=J121,[1]Summary!$D$57,0)</f>
        <v>0</v>
      </c>
      <c r="O121" s="155">
        <f>O120+L120+L121+M121+N121</f>
        <v>473716.08</v>
      </c>
      <c r="P121" s="158"/>
      <c r="Q121" s="99">
        <f t="shared" si="65"/>
        <v>3.2500000000000001E-2</v>
      </c>
    </row>
    <row r="122" spans="1:24" hidden="1">
      <c r="A122" s="97">
        <f t="shared" si="66"/>
        <v>44440</v>
      </c>
      <c r="D122" s="155">
        <f t="shared" si="63"/>
        <v>39319.760000000002</v>
      </c>
      <c r="E122" s="157">
        <v>0</v>
      </c>
      <c r="F122" s="155">
        <f>F121+C122+D122+E122</f>
        <v>14557385.000000002</v>
      </c>
      <c r="G122" s="158"/>
      <c r="H122" s="99">
        <f t="shared" si="67"/>
        <v>3.2500000000000001E-2</v>
      </c>
      <c r="J122" s="97">
        <f t="shared" si="62"/>
        <v>44440</v>
      </c>
      <c r="M122" s="155">
        <f t="shared" si="64"/>
        <v>1282.98</v>
      </c>
      <c r="N122" s="157">
        <f>IF(Current_Month=J122,[1]Summary!$D$57,0)</f>
        <v>0</v>
      </c>
      <c r="O122" s="155">
        <f>O121+L122+M122+N122</f>
        <v>474999.06</v>
      </c>
      <c r="P122" s="158"/>
      <c r="Q122" s="99">
        <f t="shared" si="65"/>
        <v>3.2500000000000001E-2</v>
      </c>
    </row>
    <row r="123" spans="1:24" hidden="1">
      <c r="A123" s="97">
        <f t="shared" si="66"/>
        <v>44470</v>
      </c>
      <c r="D123" s="155">
        <f t="shared" si="63"/>
        <v>39426.25</v>
      </c>
      <c r="E123" s="157">
        <v>0</v>
      </c>
      <c r="F123" s="155">
        <f>F122+C123+D123+E123</f>
        <v>14596811.250000002</v>
      </c>
      <c r="G123" s="198"/>
      <c r="H123" s="99">
        <f t="shared" si="67"/>
        <v>3.2500000000000001E-2</v>
      </c>
      <c r="J123" s="97">
        <f t="shared" si="62"/>
        <v>44470</v>
      </c>
      <c r="M123" s="155">
        <f t="shared" si="64"/>
        <v>1286.46</v>
      </c>
      <c r="N123" s="157">
        <f>IF(Current_Month=J123,[1]Summary!$D$57,0)</f>
        <v>0</v>
      </c>
      <c r="O123" s="155">
        <f>O122+L123+M123+N123</f>
        <v>476285.52</v>
      </c>
      <c r="P123" s="158"/>
      <c r="Q123" s="99">
        <f t="shared" si="65"/>
        <v>3.2500000000000001E-2</v>
      </c>
    </row>
    <row r="124" spans="1:24" hidden="1">
      <c r="A124" s="97">
        <f t="shared" si="66"/>
        <v>44501</v>
      </c>
      <c r="D124" s="155">
        <f t="shared" si="63"/>
        <v>39533.03</v>
      </c>
      <c r="E124" s="157">
        <v>0</v>
      </c>
      <c r="F124" s="155">
        <f t="shared" si="68"/>
        <v>14636344.280000001</v>
      </c>
      <c r="G124" s="198"/>
      <c r="H124" s="99">
        <f t="shared" si="67"/>
        <v>3.2500000000000001E-2</v>
      </c>
      <c r="J124" s="97">
        <f t="shared" si="62"/>
        <v>44501</v>
      </c>
      <c r="M124" s="155">
        <f t="shared" si="64"/>
        <v>1289.94</v>
      </c>
      <c r="N124" s="157">
        <f>IF(Current_Month=J124,[1]Summary!$D$57,0)</f>
        <v>0</v>
      </c>
      <c r="O124" s="155">
        <f t="shared" si="69"/>
        <v>477575.46</v>
      </c>
      <c r="P124" s="158"/>
      <c r="Q124" s="99">
        <f t="shared" si="65"/>
        <v>3.2500000000000001E-2</v>
      </c>
    </row>
    <row r="125" spans="1:24" hidden="1">
      <c r="A125" s="97">
        <f t="shared" si="66"/>
        <v>44531</v>
      </c>
      <c r="D125" s="155">
        <f t="shared" si="63"/>
        <v>39640.1</v>
      </c>
      <c r="E125" s="157">
        <v>0</v>
      </c>
      <c r="F125" s="155">
        <f t="shared" si="68"/>
        <v>14675984.380000001</v>
      </c>
      <c r="H125" s="99">
        <f t="shared" si="67"/>
        <v>3.2500000000000001E-2</v>
      </c>
      <c r="J125" s="97">
        <f t="shared" si="62"/>
        <v>44531</v>
      </c>
      <c r="M125" s="155">
        <f t="shared" si="64"/>
        <v>1293.43</v>
      </c>
      <c r="N125" s="157">
        <f>IF(Current_Month=J125,[1]Summary!$D$57,0)</f>
        <v>0</v>
      </c>
      <c r="O125" s="155">
        <f t="shared" si="69"/>
        <v>478868.89</v>
      </c>
      <c r="Q125" s="99">
        <f t="shared" si="65"/>
        <v>3.2500000000000001E-2</v>
      </c>
    </row>
    <row r="126" spans="1:24">
      <c r="A126" s="97"/>
      <c r="H126" s="99"/>
      <c r="J126" s="97"/>
      <c r="Q126" s="99"/>
    </row>
    <row r="127" spans="1:24">
      <c r="A127" s="189">
        <v>254328</v>
      </c>
      <c r="B127" s="189" t="s">
        <v>52</v>
      </c>
      <c r="C127" s="156" t="s">
        <v>92</v>
      </c>
      <c r="D127" s="156" t="s">
        <v>93</v>
      </c>
      <c r="E127" s="156"/>
      <c r="F127" s="155" t="s">
        <v>95</v>
      </c>
      <c r="H127" s="190" t="s">
        <v>93</v>
      </c>
      <c r="J127" s="189">
        <f>A127</f>
        <v>254328</v>
      </c>
      <c r="K127" s="189" t="s">
        <v>53</v>
      </c>
      <c r="L127" s="156" t="s">
        <v>92</v>
      </c>
      <c r="M127" s="156" t="s">
        <v>93</v>
      </c>
      <c r="N127" s="156"/>
      <c r="O127" s="155" t="s">
        <v>95</v>
      </c>
      <c r="Q127" s="190" t="s">
        <v>93</v>
      </c>
    </row>
    <row r="128" spans="1:24">
      <c r="A128" s="113" t="s">
        <v>148</v>
      </c>
      <c r="B128" s="113" t="s">
        <v>142</v>
      </c>
      <c r="C128" s="156" t="s">
        <v>96</v>
      </c>
      <c r="D128" s="156" t="s">
        <v>97</v>
      </c>
      <c r="E128" s="156" t="s">
        <v>98</v>
      </c>
      <c r="F128" s="155" t="s">
        <v>94</v>
      </c>
      <c r="H128" s="190" t="s">
        <v>99</v>
      </c>
      <c r="J128" s="113" t="str">
        <f>A128</f>
        <v>Res Rebate Approved</v>
      </c>
      <c r="K128" s="113" t="s">
        <v>142</v>
      </c>
      <c r="L128" s="156" t="s">
        <v>96</v>
      </c>
      <c r="M128" s="156" t="s">
        <v>97</v>
      </c>
      <c r="N128" s="156" t="s">
        <v>98</v>
      </c>
      <c r="O128" s="155" t="s">
        <v>94</v>
      </c>
      <c r="Q128" s="190" t="s">
        <v>99</v>
      </c>
    </row>
    <row r="129" spans="1:24">
      <c r="A129" s="97">
        <f>$A$25</f>
        <v>44166</v>
      </c>
      <c r="B129" s="98"/>
      <c r="F129" s="162">
        <v>0</v>
      </c>
      <c r="G129" s="158"/>
      <c r="J129" s="97">
        <f t="shared" ref="J129:J141" si="70">A129</f>
        <v>44166</v>
      </c>
      <c r="K129" s="98"/>
      <c r="O129" s="162">
        <v>-505779.34</v>
      </c>
      <c r="P129" s="158"/>
    </row>
    <row r="130" spans="1:24">
      <c r="A130" s="97">
        <f>A26</f>
        <v>44197</v>
      </c>
      <c r="D130" s="155">
        <f>ROUND((F129+(E130)/2)*H130/12,2)</f>
        <v>0</v>
      </c>
      <c r="E130" s="194">
        <v>0</v>
      </c>
      <c r="F130" s="155">
        <f t="shared" ref="F130:F141" si="71">F129+C130+D130+E130</f>
        <v>0</v>
      </c>
      <c r="G130" s="158"/>
      <c r="H130" s="99">
        <f>H26</f>
        <v>3.2500000000000001E-2</v>
      </c>
      <c r="J130" s="97">
        <f t="shared" si="70"/>
        <v>44197</v>
      </c>
      <c r="M130" s="155">
        <f>ROUND((O129+(N130)/2)*Q130/12,2)</f>
        <v>-1186.26</v>
      </c>
      <c r="N130" s="194">
        <v>135549.79999999999</v>
      </c>
      <c r="O130" s="155">
        <f t="shared" ref="O130:O141" si="72">O129+L130+M130+N130</f>
        <v>-371415.80000000005</v>
      </c>
      <c r="P130" s="158"/>
      <c r="Q130" s="99">
        <f>H130</f>
        <v>3.2500000000000001E-2</v>
      </c>
      <c r="U130" s="17"/>
      <c r="V130" s="193"/>
      <c r="W130" s="17"/>
      <c r="X130" s="193"/>
    </row>
    <row r="131" spans="1:24">
      <c r="A131" s="97">
        <f>A27</f>
        <v>44228</v>
      </c>
      <c r="D131" s="155">
        <f t="shared" ref="D131:D141" si="73">ROUND((F130+(E131)/2)*H131/12,2)</f>
        <v>0</v>
      </c>
      <c r="E131" s="194">
        <v>0</v>
      </c>
      <c r="F131" s="155">
        <f t="shared" si="71"/>
        <v>0</v>
      </c>
      <c r="G131" s="158"/>
      <c r="H131" s="99">
        <f>H27</f>
        <v>3.2500000000000001E-2</v>
      </c>
      <c r="J131" s="97">
        <f t="shared" si="70"/>
        <v>44228</v>
      </c>
      <c r="M131" s="155">
        <f t="shared" ref="M131:M141" si="74">ROUND((O130+(N131)/2)*Q131/12,2)</f>
        <v>-815.07</v>
      </c>
      <c r="N131" s="194">
        <v>140932.98000000001</v>
      </c>
      <c r="O131" s="155">
        <f t="shared" si="72"/>
        <v>-231297.89000000004</v>
      </c>
      <c r="P131" s="158"/>
      <c r="Q131" s="99">
        <f t="shared" ref="Q131:Q141" si="75">H131</f>
        <v>3.2500000000000001E-2</v>
      </c>
      <c r="U131" s="17"/>
      <c r="V131" s="193"/>
      <c r="W131" s="17"/>
      <c r="X131" s="193"/>
    </row>
    <row r="132" spans="1:24">
      <c r="A132" s="97">
        <f>A28</f>
        <v>44256</v>
      </c>
      <c r="D132" s="155">
        <f t="shared" si="73"/>
        <v>0</v>
      </c>
      <c r="E132" s="194">
        <v>0</v>
      </c>
      <c r="F132" s="155">
        <f t="shared" si="71"/>
        <v>0</v>
      </c>
      <c r="G132" s="158"/>
      <c r="H132" s="99">
        <f>H28</f>
        <v>3.2500000000000001E-2</v>
      </c>
      <c r="J132" s="97">
        <f t="shared" si="70"/>
        <v>44256</v>
      </c>
      <c r="M132" s="155">
        <f t="shared" si="74"/>
        <v>-495.41</v>
      </c>
      <c r="N132" s="194">
        <v>96754.66</v>
      </c>
      <c r="O132" s="155">
        <f t="shared" si="72"/>
        <v>-135038.64000000004</v>
      </c>
      <c r="P132" s="158"/>
      <c r="Q132" s="99">
        <f t="shared" si="75"/>
        <v>3.2500000000000001E-2</v>
      </c>
      <c r="U132" s="17"/>
      <c r="V132" s="193"/>
      <c r="W132" s="17"/>
      <c r="X132" s="193"/>
    </row>
    <row r="133" spans="1:24">
      <c r="A133" s="97">
        <f t="shared" ref="A133:A141" si="76">A30</f>
        <v>44287</v>
      </c>
      <c r="D133" s="155">
        <f t="shared" si="73"/>
        <v>0</v>
      </c>
      <c r="E133" s="194">
        <v>0</v>
      </c>
      <c r="F133" s="155">
        <f t="shared" si="71"/>
        <v>0</v>
      </c>
      <c r="G133" s="158"/>
      <c r="H133" s="99">
        <f t="shared" ref="H133:H141" si="77">H30</f>
        <v>3.2500000000000001E-2</v>
      </c>
      <c r="J133" s="97">
        <f t="shared" si="70"/>
        <v>44287</v>
      </c>
      <c r="M133" s="155">
        <f t="shared" si="74"/>
        <v>-286.20999999999998</v>
      </c>
      <c r="N133" s="194">
        <v>58725.59</v>
      </c>
      <c r="O133" s="155">
        <f t="shared" si="72"/>
        <v>-76599.260000000038</v>
      </c>
      <c r="P133" s="158"/>
      <c r="Q133" s="99">
        <f t="shared" si="75"/>
        <v>3.2500000000000001E-2</v>
      </c>
    </row>
    <row r="134" spans="1:24">
      <c r="A134" s="97">
        <f t="shared" si="76"/>
        <v>44317</v>
      </c>
      <c r="D134" s="155">
        <f t="shared" si="73"/>
        <v>0</v>
      </c>
      <c r="E134" s="194">
        <v>0</v>
      </c>
      <c r="F134" s="155">
        <f t="shared" si="71"/>
        <v>0</v>
      </c>
      <c r="G134" s="158"/>
      <c r="H134" s="99">
        <f t="shared" si="77"/>
        <v>3.2500000000000001E-2</v>
      </c>
      <c r="J134" s="97">
        <f t="shared" si="70"/>
        <v>44317</v>
      </c>
      <c r="M134" s="155">
        <f t="shared" si="74"/>
        <v>-167.83</v>
      </c>
      <c r="N134" s="194">
        <v>29261.55</v>
      </c>
      <c r="O134" s="155">
        <f t="shared" si="72"/>
        <v>-47505.540000000037</v>
      </c>
      <c r="P134" s="158"/>
      <c r="Q134" s="99">
        <f t="shared" si="75"/>
        <v>3.2500000000000001E-2</v>
      </c>
    </row>
    <row r="135" spans="1:24">
      <c r="A135" s="97">
        <f t="shared" si="76"/>
        <v>44348</v>
      </c>
      <c r="D135" s="155">
        <f t="shared" si="73"/>
        <v>0</v>
      </c>
      <c r="E135" s="194">
        <v>0</v>
      </c>
      <c r="F135" s="155">
        <f t="shared" si="71"/>
        <v>0</v>
      </c>
      <c r="G135" s="158"/>
      <c r="H135" s="99">
        <f t="shared" si="77"/>
        <v>3.2500000000000001E-2</v>
      </c>
      <c r="J135" s="97">
        <f t="shared" si="70"/>
        <v>44348</v>
      </c>
      <c r="M135" s="155">
        <f t="shared" si="74"/>
        <v>-104.3</v>
      </c>
      <c r="N135" s="194">
        <v>17986.150000000001</v>
      </c>
      <c r="O135" s="155">
        <f t="shared" si="72"/>
        <v>-29623.690000000039</v>
      </c>
      <c r="P135" s="158"/>
      <c r="Q135" s="99">
        <f t="shared" si="75"/>
        <v>3.2500000000000001E-2</v>
      </c>
    </row>
    <row r="136" spans="1:24" hidden="1">
      <c r="A136" s="97">
        <f t="shared" si="76"/>
        <v>44378</v>
      </c>
      <c r="B136" s="53" t="s">
        <v>126</v>
      </c>
      <c r="C136" s="155">
        <f>IF(C70&gt;0,-C70,0)</f>
        <v>-826229.91</v>
      </c>
      <c r="D136" s="155">
        <f>ROUND((F135+(E136)/2)*H136/12,2)</f>
        <v>0</v>
      </c>
      <c r="E136" s="194">
        <v>0</v>
      </c>
      <c r="F136" s="155">
        <f>F135+D136+E136</f>
        <v>0</v>
      </c>
      <c r="G136" s="158"/>
      <c r="H136" s="99">
        <f t="shared" si="77"/>
        <v>3.2500000000000001E-2</v>
      </c>
      <c r="J136" s="97">
        <f t="shared" si="70"/>
        <v>44378</v>
      </c>
      <c r="K136" s="53" t="s">
        <v>126</v>
      </c>
      <c r="L136" s="155">
        <f>IF(L70&gt;0,-L70,0)</f>
        <v>0</v>
      </c>
      <c r="M136" s="155">
        <f>ROUND((O135+(N136)/2)*Q136/12,2)</f>
        <v>-80.23</v>
      </c>
      <c r="N136" s="194">
        <f>IF(Current_Month=J136,[1]Summary!$D$48,0)</f>
        <v>0</v>
      </c>
      <c r="O136" s="155">
        <f>O135+M136+N136</f>
        <v>-29703.920000000038</v>
      </c>
      <c r="P136" s="158"/>
      <c r="Q136" s="99">
        <f t="shared" si="75"/>
        <v>3.2500000000000001E-2</v>
      </c>
    </row>
    <row r="137" spans="1:24" hidden="1">
      <c r="A137" s="97">
        <f t="shared" si="76"/>
        <v>44409</v>
      </c>
      <c r="B137" s="53" t="s">
        <v>126</v>
      </c>
      <c r="C137" s="155">
        <f>IF(F129&gt;=0,IF(F69+F104&lt;0,-C105,-C136),IF(F69+F136&gt;0,-F136,-C105))</f>
        <v>185366.77999999974</v>
      </c>
      <c r="D137" s="155">
        <f>ROUND((F136+C136+C137+(E137)/2)*H137/12,2)</f>
        <v>-1735.67</v>
      </c>
      <c r="E137" s="194">
        <v>0</v>
      </c>
      <c r="F137" s="155">
        <f>F136+C136+C137+D137+E137</f>
        <v>-642598.8000000004</v>
      </c>
      <c r="G137" s="158"/>
      <c r="H137" s="99">
        <f t="shared" si="77"/>
        <v>3.2500000000000001E-2</v>
      </c>
      <c r="J137" s="97">
        <f t="shared" si="70"/>
        <v>44409</v>
      </c>
      <c r="K137" s="53" t="s">
        <v>126</v>
      </c>
      <c r="L137" s="155">
        <f>IF(O129&gt;=0,IF(O69+O104&lt;0,-L105,-L136),IF(O69+O136&gt;0,-O136,-L105))</f>
        <v>29703.920000000038</v>
      </c>
      <c r="M137" s="155">
        <f>ROUND((O136+L136+L137+(N137)/2)*Q137/12,2)</f>
        <v>0</v>
      </c>
      <c r="N137" s="194">
        <f>IF(Current_Month=J137,[1]Summary!$D$48,0)</f>
        <v>0</v>
      </c>
      <c r="O137" s="155">
        <f>O136+L136+L137+M137+N137</f>
        <v>0</v>
      </c>
      <c r="P137" s="198"/>
      <c r="Q137" s="99">
        <f t="shared" si="75"/>
        <v>3.2500000000000001E-2</v>
      </c>
    </row>
    <row r="138" spans="1:24" hidden="1">
      <c r="A138" s="97">
        <f t="shared" si="76"/>
        <v>44440</v>
      </c>
      <c r="D138" s="155">
        <f t="shared" si="73"/>
        <v>-1740.37</v>
      </c>
      <c r="E138" s="194">
        <v>0</v>
      </c>
      <c r="F138" s="155">
        <f t="shared" si="71"/>
        <v>-644339.17000000039</v>
      </c>
      <c r="G138" s="158"/>
      <c r="H138" s="99">
        <f t="shared" si="77"/>
        <v>3.2500000000000001E-2</v>
      </c>
      <c r="J138" s="97">
        <f t="shared" si="70"/>
        <v>44440</v>
      </c>
      <c r="M138" s="155">
        <f t="shared" si="74"/>
        <v>0</v>
      </c>
      <c r="N138" s="194">
        <f>IF(Current_Month=J138,[1]Summary!$D$48,0)</f>
        <v>0</v>
      </c>
      <c r="O138" s="155">
        <f t="shared" si="72"/>
        <v>0</v>
      </c>
      <c r="P138" s="158"/>
      <c r="Q138" s="99">
        <f t="shared" si="75"/>
        <v>3.2500000000000001E-2</v>
      </c>
    </row>
    <row r="139" spans="1:24" hidden="1">
      <c r="A139" s="97">
        <f t="shared" si="76"/>
        <v>44470</v>
      </c>
      <c r="D139" s="155">
        <f t="shared" si="73"/>
        <v>-1745.09</v>
      </c>
      <c r="E139" s="194">
        <v>0</v>
      </c>
      <c r="F139" s="155">
        <f t="shared" si="71"/>
        <v>-646084.26000000036</v>
      </c>
      <c r="G139" s="158"/>
      <c r="H139" s="99">
        <f t="shared" si="77"/>
        <v>3.2500000000000001E-2</v>
      </c>
      <c r="J139" s="97">
        <f t="shared" si="70"/>
        <v>44470</v>
      </c>
      <c r="M139" s="155">
        <f t="shared" si="74"/>
        <v>0</v>
      </c>
      <c r="N139" s="194">
        <f>IF(Current_Month=J139,[1]Summary!$D$48,0)</f>
        <v>0</v>
      </c>
      <c r="O139" s="155">
        <f t="shared" si="72"/>
        <v>0</v>
      </c>
      <c r="P139" s="158"/>
      <c r="Q139" s="99">
        <f t="shared" si="75"/>
        <v>3.2500000000000001E-2</v>
      </c>
    </row>
    <row r="140" spans="1:24" hidden="1">
      <c r="A140" s="97">
        <f t="shared" si="76"/>
        <v>44501</v>
      </c>
      <c r="D140" s="155">
        <f t="shared" si="73"/>
        <v>-1749.81</v>
      </c>
      <c r="E140" s="194">
        <v>0</v>
      </c>
      <c r="F140" s="155">
        <f t="shared" si="71"/>
        <v>-647834.07000000041</v>
      </c>
      <c r="G140" s="158"/>
      <c r="H140" s="99">
        <f t="shared" si="77"/>
        <v>3.2500000000000001E-2</v>
      </c>
      <c r="J140" s="97">
        <f t="shared" si="70"/>
        <v>44501</v>
      </c>
      <c r="M140" s="155">
        <f t="shared" si="74"/>
        <v>0</v>
      </c>
      <c r="N140" s="194">
        <f>IF(Current_Month=J140,[1]Summary!$D$48,0)</f>
        <v>0</v>
      </c>
      <c r="O140" s="155">
        <f t="shared" si="72"/>
        <v>0</v>
      </c>
      <c r="P140" s="158"/>
      <c r="Q140" s="99">
        <f t="shared" si="75"/>
        <v>3.2500000000000001E-2</v>
      </c>
    </row>
    <row r="141" spans="1:24" hidden="1">
      <c r="A141" s="97">
        <f t="shared" si="76"/>
        <v>44531</v>
      </c>
      <c r="B141" s="98"/>
      <c r="D141" s="155">
        <f t="shared" si="73"/>
        <v>-1754.55</v>
      </c>
      <c r="E141" s="194">
        <v>0</v>
      </c>
      <c r="F141" s="155">
        <f t="shared" si="71"/>
        <v>-649588.62000000046</v>
      </c>
      <c r="H141" s="99">
        <f t="shared" si="77"/>
        <v>3.2500000000000001E-2</v>
      </c>
      <c r="J141" s="97">
        <f t="shared" si="70"/>
        <v>44531</v>
      </c>
      <c r="K141" s="98"/>
      <c r="M141" s="155">
        <f t="shared" si="74"/>
        <v>0</v>
      </c>
      <c r="N141" s="194">
        <f>IF(Current_Month=J141,[1]Summary!$D$48,0)</f>
        <v>0</v>
      </c>
      <c r="O141" s="155">
        <f t="shared" si="72"/>
        <v>0</v>
      </c>
      <c r="Q141" s="99">
        <f t="shared" si="75"/>
        <v>3.2500000000000001E-2</v>
      </c>
    </row>
    <row r="142" spans="1:24">
      <c r="A142" s="97"/>
    </row>
    <row r="143" spans="1:24">
      <c r="A143" s="189">
        <v>254338</v>
      </c>
      <c r="B143" s="189" t="s">
        <v>52</v>
      </c>
      <c r="C143" s="156" t="s">
        <v>92</v>
      </c>
      <c r="D143" s="156" t="s">
        <v>93</v>
      </c>
      <c r="E143" s="156"/>
      <c r="F143" s="155" t="s">
        <v>95</v>
      </c>
      <c r="H143" s="190" t="s">
        <v>93</v>
      </c>
      <c r="J143" s="189">
        <f>A143</f>
        <v>254338</v>
      </c>
      <c r="K143" s="189" t="s">
        <v>53</v>
      </c>
      <c r="L143" s="156" t="s">
        <v>92</v>
      </c>
      <c r="M143" s="156" t="s">
        <v>93</v>
      </c>
      <c r="N143" s="156"/>
      <c r="O143" s="155" t="s">
        <v>95</v>
      </c>
      <c r="Q143" s="190" t="s">
        <v>93</v>
      </c>
    </row>
    <row r="144" spans="1:24">
      <c r="A144" s="113" t="s">
        <v>149</v>
      </c>
      <c r="B144" s="113" t="s">
        <v>142</v>
      </c>
      <c r="C144" s="156" t="s">
        <v>96</v>
      </c>
      <c r="D144" s="156" t="s">
        <v>97</v>
      </c>
      <c r="E144" s="156" t="s">
        <v>98</v>
      </c>
      <c r="F144" s="155" t="s">
        <v>94</v>
      </c>
      <c r="H144" s="190" t="s">
        <v>99</v>
      </c>
      <c r="J144" s="113" t="str">
        <f>A144</f>
        <v>Non-Res Rebate Approved</v>
      </c>
      <c r="K144" s="113" t="s">
        <v>142</v>
      </c>
      <c r="L144" s="156" t="s">
        <v>96</v>
      </c>
      <c r="M144" s="156" t="s">
        <v>97</v>
      </c>
      <c r="N144" s="156" t="s">
        <v>98</v>
      </c>
      <c r="O144" s="155" t="s">
        <v>94</v>
      </c>
      <c r="Q144" s="190" t="s">
        <v>99</v>
      </c>
    </row>
    <row r="145" spans="1:24">
      <c r="A145" s="97">
        <f>$A$25</f>
        <v>44166</v>
      </c>
      <c r="B145" s="98"/>
      <c r="F145" s="162">
        <v>0</v>
      </c>
      <c r="G145" s="158"/>
      <c r="J145" s="97">
        <f t="shared" ref="J145:J157" si="78">A145</f>
        <v>44166</v>
      </c>
      <c r="K145" s="98"/>
      <c r="O145" s="162">
        <v>0</v>
      </c>
      <c r="P145" s="158"/>
    </row>
    <row r="146" spans="1:24">
      <c r="A146" s="97">
        <f>A26</f>
        <v>44197</v>
      </c>
      <c r="D146" s="155">
        <f>ROUND((F145+(E146)/2)*H146/12,2)</f>
        <v>0</v>
      </c>
      <c r="E146" s="194">
        <v>0</v>
      </c>
      <c r="F146" s="155">
        <f>F145+C146+D146+E146</f>
        <v>0</v>
      </c>
      <c r="G146" s="158"/>
      <c r="H146" s="99">
        <f>H26</f>
        <v>3.2500000000000001E-2</v>
      </c>
      <c r="J146" s="97">
        <f t="shared" si="78"/>
        <v>44197</v>
      </c>
      <c r="M146" s="155">
        <f>ROUND((O145+(N146)/2)*Q146/12,2)</f>
        <v>0</v>
      </c>
      <c r="N146" s="194">
        <v>0</v>
      </c>
      <c r="O146" s="155">
        <f>O145+L146+M146+N146</f>
        <v>0</v>
      </c>
      <c r="P146" s="158"/>
      <c r="Q146" s="99">
        <f>H146</f>
        <v>3.2500000000000001E-2</v>
      </c>
      <c r="U146" s="17"/>
      <c r="V146" s="193"/>
      <c r="W146" s="17"/>
      <c r="X146" s="193"/>
    </row>
    <row r="147" spans="1:24">
      <c r="A147" s="97">
        <f>A27</f>
        <v>44228</v>
      </c>
      <c r="D147" s="155">
        <f t="shared" ref="D147:D157" si="79">ROUND((F146+(E147)/2)*H147/12,2)</f>
        <v>0</v>
      </c>
      <c r="E147" s="194">
        <v>0</v>
      </c>
      <c r="F147" s="155">
        <f>F146+C147+D147+E147</f>
        <v>0</v>
      </c>
      <c r="G147" s="158"/>
      <c r="H147" s="99">
        <f>H27</f>
        <v>3.2500000000000001E-2</v>
      </c>
      <c r="J147" s="97">
        <f t="shared" si="78"/>
        <v>44228</v>
      </c>
      <c r="M147" s="155">
        <f t="shared" ref="M147:M157" si="80">ROUND((O146+(N147)/2)*Q147/12,2)</f>
        <v>0</v>
      </c>
      <c r="N147" s="194">
        <v>0</v>
      </c>
      <c r="O147" s="155">
        <f>O146+L147+M147+N147</f>
        <v>0</v>
      </c>
      <c r="P147" s="158"/>
      <c r="Q147" s="99">
        <f t="shared" ref="Q147:Q157" si="81">H147</f>
        <v>3.2500000000000001E-2</v>
      </c>
      <c r="U147" s="17"/>
      <c r="V147" s="193"/>
      <c r="W147" s="17"/>
      <c r="X147" s="193"/>
    </row>
    <row r="148" spans="1:24">
      <c r="A148" s="97">
        <f>A28</f>
        <v>44256</v>
      </c>
      <c r="D148" s="155">
        <f t="shared" si="79"/>
        <v>0</v>
      </c>
      <c r="E148" s="194">
        <v>0</v>
      </c>
      <c r="F148" s="155">
        <f>F147+C148+D148+E148</f>
        <v>0</v>
      </c>
      <c r="G148" s="158"/>
      <c r="H148" s="99">
        <f>H28</f>
        <v>3.2500000000000001E-2</v>
      </c>
      <c r="J148" s="97">
        <f t="shared" si="78"/>
        <v>44256</v>
      </c>
      <c r="M148" s="155">
        <f t="shared" si="80"/>
        <v>0</v>
      </c>
      <c r="N148" s="194">
        <v>0</v>
      </c>
      <c r="O148" s="155">
        <f>O147+L148+M148+N148</f>
        <v>0</v>
      </c>
      <c r="P148" s="158"/>
      <c r="Q148" s="99">
        <f t="shared" si="81"/>
        <v>3.2500000000000001E-2</v>
      </c>
      <c r="U148" s="17"/>
      <c r="V148" s="193"/>
      <c r="W148" s="17"/>
      <c r="X148" s="193"/>
    </row>
    <row r="149" spans="1:24">
      <c r="A149" s="97">
        <f t="shared" ref="A149:A157" si="82">A30</f>
        <v>44287</v>
      </c>
      <c r="D149" s="155">
        <f t="shared" si="79"/>
        <v>0</v>
      </c>
      <c r="E149" s="194">
        <v>0</v>
      </c>
      <c r="F149" s="155">
        <f t="shared" ref="F149:F157" si="83">F148+C149+D149+E149</f>
        <v>0</v>
      </c>
      <c r="G149" s="158"/>
      <c r="H149" s="99">
        <f t="shared" ref="H149:H157" si="84">H30</f>
        <v>3.2500000000000001E-2</v>
      </c>
      <c r="J149" s="97">
        <f t="shared" si="78"/>
        <v>44287</v>
      </c>
      <c r="M149" s="155">
        <f t="shared" si="80"/>
        <v>0</v>
      </c>
      <c r="N149" s="194">
        <v>0</v>
      </c>
      <c r="O149" s="155">
        <f t="shared" ref="O149:O157" si="85">O148+L149+M149+N149</f>
        <v>0</v>
      </c>
      <c r="P149" s="158"/>
      <c r="Q149" s="99">
        <f t="shared" si="81"/>
        <v>3.2500000000000001E-2</v>
      </c>
    </row>
    <row r="150" spans="1:24">
      <c r="A150" s="97">
        <f t="shared" si="82"/>
        <v>44317</v>
      </c>
      <c r="D150" s="155">
        <f t="shared" si="79"/>
        <v>0</v>
      </c>
      <c r="E150" s="194">
        <v>0</v>
      </c>
      <c r="F150" s="155">
        <f t="shared" si="83"/>
        <v>0</v>
      </c>
      <c r="G150" s="158"/>
      <c r="H150" s="99">
        <f t="shared" si="84"/>
        <v>3.2500000000000001E-2</v>
      </c>
      <c r="J150" s="97">
        <f t="shared" si="78"/>
        <v>44317</v>
      </c>
      <c r="M150" s="155">
        <f t="shared" si="80"/>
        <v>0</v>
      </c>
      <c r="N150" s="194">
        <v>0</v>
      </c>
      <c r="O150" s="155">
        <f t="shared" si="85"/>
        <v>0</v>
      </c>
      <c r="P150" s="158"/>
      <c r="Q150" s="99">
        <f t="shared" si="81"/>
        <v>3.2500000000000001E-2</v>
      </c>
    </row>
    <row r="151" spans="1:24">
      <c r="A151" s="97">
        <f t="shared" si="82"/>
        <v>44348</v>
      </c>
      <c r="D151" s="155">
        <f t="shared" si="79"/>
        <v>0</v>
      </c>
      <c r="E151" s="194">
        <v>0</v>
      </c>
      <c r="F151" s="155">
        <f t="shared" si="83"/>
        <v>0</v>
      </c>
      <c r="G151" s="158"/>
      <c r="H151" s="99">
        <f t="shared" si="84"/>
        <v>3.2500000000000001E-2</v>
      </c>
      <c r="J151" s="97">
        <f t="shared" si="78"/>
        <v>44348</v>
      </c>
      <c r="M151" s="155">
        <f t="shared" si="80"/>
        <v>0</v>
      </c>
      <c r="N151" s="194">
        <v>0</v>
      </c>
      <c r="O151" s="155">
        <f t="shared" si="85"/>
        <v>0</v>
      </c>
      <c r="P151" s="158"/>
      <c r="Q151" s="99">
        <f t="shared" si="81"/>
        <v>3.2500000000000001E-2</v>
      </c>
    </row>
    <row r="152" spans="1:24" hidden="1">
      <c r="A152" s="97">
        <f t="shared" si="82"/>
        <v>44378</v>
      </c>
      <c r="B152" s="53" t="s">
        <v>126</v>
      </c>
      <c r="C152" s="155">
        <f>IF(C88&gt;0,-C88,0)</f>
        <v>0</v>
      </c>
      <c r="D152" s="155">
        <f>ROUND((F151+(E152)/2)*H152/12,2)</f>
        <v>0</v>
      </c>
      <c r="E152" s="194">
        <v>0</v>
      </c>
      <c r="F152" s="155">
        <f>F151+D152+E152</f>
        <v>0</v>
      </c>
      <c r="G152" s="158"/>
      <c r="H152" s="99">
        <f t="shared" si="84"/>
        <v>3.2500000000000001E-2</v>
      </c>
      <c r="J152" s="97">
        <f t="shared" si="78"/>
        <v>44378</v>
      </c>
      <c r="K152" s="53" t="s">
        <v>126</v>
      </c>
      <c r="L152" s="155">
        <f>IF(L88&gt;0,-L88,0)</f>
        <v>0</v>
      </c>
      <c r="M152" s="155">
        <f>ROUND((O151+(N152)/2)*Q152/12,2)</f>
        <v>0</v>
      </c>
      <c r="N152" s="194">
        <v>0</v>
      </c>
      <c r="O152" s="155">
        <f>O151+M152+N152</f>
        <v>0</v>
      </c>
      <c r="P152" s="158"/>
      <c r="Q152" s="99">
        <f t="shared" si="81"/>
        <v>3.2500000000000001E-2</v>
      </c>
    </row>
    <row r="153" spans="1:24" hidden="1">
      <c r="A153" s="97">
        <f t="shared" si="82"/>
        <v>44409</v>
      </c>
      <c r="B153" s="53" t="s">
        <v>126</v>
      </c>
      <c r="C153" s="155">
        <f>IF(F145&gt;=0,IF(F87+F120&lt;0,-C121,-C152),IF(F87+F152&gt;0,-F152,-C121))</f>
        <v>0</v>
      </c>
      <c r="D153" s="155">
        <f>ROUND((F152+C152+C153+(E153)/2)*H153/12,2)</f>
        <v>0</v>
      </c>
      <c r="E153" s="194">
        <v>0</v>
      </c>
      <c r="F153" s="155">
        <f>F152+C152+C153+D153+E153</f>
        <v>0</v>
      </c>
      <c r="G153" s="158"/>
      <c r="H153" s="99">
        <f t="shared" si="84"/>
        <v>3.2500000000000001E-2</v>
      </c>
      <c r="J153" s="97">
        <f t="shared" si="78"/>
        <v>44409</v>
      </c>
      <c r="K153" s="53" t="s">
        <v>126</v>
      </c>
      <c r="L153" s="155">
        <f>IF(O145&gt;=0,IF(O87+O120&lt;0,-L121,-L152),IF(O87+O152&gt;0,-O152,-L121))</f>
        <v>0</v>
      </c>
      <c r="M153" s="155">
        <f>ROUND((O152+L152+L153+(N153)/2)*Q153/12,2)</f>
        <v>0</v>
      </c>
      <c r="N153" s="194">
        <v>0</v>
      </c>
      <c r="O153" s="155">
        <f>O152+L152+L153+M153+N153</f>
        <v>0</v>
      </c>
      <c r="P153" s="158"/>
      <c r="Q153" s="99">
        <f t="shared" si="81"/>
        <v>3.2500000000000001E-2</v>
      </c>
    </row>
    <row r="154" spans="1:24" hidden="1">
      <c r="A154" s="97">
        <f t="shared" si="82"/>
        <v>44440</v>
      </c>
      <c r="D154" s="155">
        <f t="shared" si="79"/>
        <v>0</v>
      </c>
      <c r="E154" s="194">
        <v>0</v>
      </c>
      <c r="F154" s="155">
        <f t="shared" si="83"/>
        <v>0</v>
      </c>
      <c r="G154" s="158"/>
      <c r="H154" s="99">
        <f t="shared" si="84"/>
        <v>3.2500000000000001E-2</v>
      </c>
      <c r="J154" s="97">
        <f t="shared" si="78"/>
        <v>44440</v>
      </c>
      <c r="M154" s="155">
        <f t="shared" si="80"/>
        <v>0</v>
      </c>
      <c r="N154" s="194">
        <v>0</v>
      </c>
      <c r="O154" s="155">
        <f t="shared" si="85"/>
        <v>0</v>
      </c>
      <c r="P154" s="158"/>
      <c r="Q154" s="99">
        <f t="shared" si="81"/>
        <v>3.2500000000000001E-2</v>
      </c>
    </row>
    <row r="155" spans="1:24" hidden="1">
      <c r="A155" s="97">
        <f t="shared" si="82"/>
        <v>44470</v>
      </c>
      <c r="D155" s="155">
        <f t="shared" si="79"/>
        <v>0</v>
      </c>
      <c r="E155" s="194">
        <v>0</v>
      </c>
      <c r="F155" s="155">
        <f t="shared" si="83"/>
        <v>0</v>
      </c>
      <c r="G155" s="158"/>
      <c r="H155" s="99">
        <f t="shared" si="84"/>
        <v>3.2500000000000001E-2</v>
      </c>
      <c r="J155" s="97">
        <f t="shared" si="78"/>
        <v>44470</v>
      </c>
      <c r="M155" s="155">
        <f t="shared" si="80"/>
        <v>0</v>
      </c>
      <c r="N155" s="194">
        <v>0</v>
      </c>
      <c r="O155" s="155">
        <f t="shared" si="85"/>
        <v>0</v>
      </c>
      <c r="P155" s="158"/>
      <c r="Q155" s="99">
        <f t="shared" si="81"/>
        <v>3.2500000000000001E-2</v>
      </c>
    </row>
    <row r="156" spans="1:24" hidden="1">
      <c r="A156" s="97">
        <f t="shared" si="82"/>
        <v>44501</v>
      </c>
      <c r="D156" s="155">
        <f t="shared" si="79"/>
        <v>0</v>
      </c>
      <c r="E156" s="194">
        <v>0</v>
      </c>
      <c r="F156" s="155">
        <f t="shared" si="83"/>
        <v>0</v>
      </c>
      <c r="G156" s="158"/>
      <c r="H156" s="99">
        <f t="shared" si="84"/>
        <v>3.2500000000000001E-2</v>
      </c>
      <c r="J156" s="97">
        <f t="shared" si="78"/>
        <v>44501</v>
      </c>
      <c r="M156" s="155">
        <f t="shared" si="80"/>
        <v>0</v>
      </c>
      <c r="N156" s="194">
        <v>0</v>
      </c>
      <c r="O156" s="155">
        <f t="shared" si="85"/>
        <v>0</v>
      </c>
      <c r="P156" s="158"/>
      <c r="Q156" s="99">
        <f t="shared" si="81"/>
        <v>3.2500000000000001E-2</v>
      </c>
    </row>
    <row r="157" spans="1:24" hidden="1">
      <c r="A157" s="97">
        <f t="shared" si="82"/>
        <v>44531</v>
      </c>
      <c r="D157" s="155">
        <f t="shared" si="79"/>
        <v>0</v>
      </c>
      <c r="E157" s="194">
        <v>0</v>
      </c>
      <c r="F157" s="155">
        <f t="shared" si="83"/>
        <v>0</v>
      </c>
      <c r="H157" s="99">
        <f t="shared" si="84"/>
        <v>3.2500000000000001E-2</v>
      </c>
      <c r="J157" s="97">
        <f t="shared" si="78"/>
        <v>44531</v>
      </c>
      <c r="M157" s="155">
        <f t="shared" si="80"/>
        <v>0</v>
      </c>
      <c r="N157" s="194">
        <v>0</v>
      </c>
      <c r="O157" s="155">
        <f t="shared" si="85"/>
        <v>0</v>
      </c>
      <c r="Q157" s="99">
        <f t="shared" si="81"/>
        <v>3.2500000000000001E-2</v>
      </c>
    </row>
    <row r="158" spans="1:24">
      <c r="A158" s="97"/>
    </row>
    <row r="159" spans="1:24">
      <c r="A159" s="189">
        <v>253311</v>
      </c>
      <c r="B159" s="189" t="s">
        <v>52</v>
      </c>
      <c r="C159" s="156" t="s">
        <v>92</v>
      </c>
      <c r="D159" s="156" t="s">
        <v>93</v>
      </c>
      <c r="E159" s="156"/>
      <c r="F159" s="155" t="s">
        <v>95</v>
      </c>
      <c r="H159" s="190" t="s">
        <v>93</v>
      </c>
      <c r="J159" s="189">
        <f>A159</f>
        <v>253311</v>
      </c>
      <c r="K159" s="189" t="s">
        <v>53</v>
      </c>
      <c r="L159" s="156" t="s">
        <v>92</v>
      </c>
      <c r="M159" s="156" t="s">
        <v>93</v>
      </c>
      <c r="N159" s="156"/>
      <c r="O159" s="155" t="s">
        <v>95</v>
      </c>
      <c r="Q159" s="190" t="s">
        <v>93</v>
      </c>
    </row>
    <row r="160" spans="1:24">
      <c r="A160" s="113" t="s">
        <v>150</v>
      </c>
      <c r="B160" s="113" t="s">
        <v>142</v>
      </c>
      <c r="C160" s="156" t="s">
        <v>96</v>
      </c>
      <c r="D160" s="156" t="s">
        <v>97</v>
      </c>
      <c r="E160" s="156" t="s">
        <v>98</v>
      </c>
      <c r="F160" s="155" t="s">
        <v>94</v>
      </c>
      <c r="H160" s="190" t="s">
        <v>99</v>
      </c>
      <c r="J160" s="113" t="str">
        <f>A160</f>
        <v>3% Contra Deferral</v>
      </c>
      <c r="K160" s="113" t="s">
        <v>142</v>
      </c>
      <c r="L160" s="156" t="s">
        <v>96</v>
      </c>
      <c r="M160" s="156" t="s">
        <v>97</v>
      </c>
      <c r="N160" s="156" t="s">
        <v>98</v>
      </c>
      <c r="O160" s="155" t="s">
        <v>94</v>
      </c>
      <c r="Q160" s="190" t="s">
        <v>99</v>
      </c>
    </row>
    <row r="161" spans="1:24">
      <c r="A161" s="97">
        <f>$A$25</f>
        <v>44166</v>
      </c>
      <c r="B161" s="98"/>
      <c r="F161" s="199">
        <v>0</v>
      </c>
      <c r="G161" s="158"/>
      <c r="J161" s="97">
        <f t="shared" ref="J161:J173" si="86">A161</f>
        <v>44166</v>
      </c>
      <c r="K161" s="98"/>
      <c r="O161" s="199">
        <v>0</v>
      </c>
      <c r="P161" s="158"/>
    </row>
    <row r="162" spans="1:24">
      <c r="A162" s="97">
        <f>A26</f>
        <v>44197</v>
      </c>
      <c r="C162" s="163">
        <v>0</v>
      </c>
      <c r="D162" s="155">
        <f>ROUND((F161+(C162+E162)/2)*H162/12,2)</f>
        <v>0</v>
      </c>
      <c r="E162" s="157"/>
      <c r="F162" s="155">
        <f>F161+C162+D162+E162</f>
        <v>0</v>
      </c>
      <c r="G162" s="158"/>
      <c r="H162" s="99">
        <v>0</v>
      </c>
      <c r="J162" s="97">
        <f t="shared" si="86"/>
        <v>44197</v>
      </c>
      <c r="L162" s="163">
        <v>0</v>
      </c>
      <c r="M162" s="155">
        <f>ROUND((O161+(L162+N162)/2)*Q162/12,2)</f>
        <v>0</v>
      </c>
      <c r="N162" s="157"/>
      <c r="O162" s="155">
        <f>O161+L162+M162+N162</f>
        <v>0</v>
      </c>
      <c r="P162" s="158"/>
      <c r="Q162" s="99">
        <f>H162</f>
        <v>0</v>
      </c>
      <c r="U162" s="17"/>
      <c r="V162" s="193"/>
      <c r="W162" s="17"/>
      <c r="X162" s="193"/>
    </row>
    <row r="163" spans="1:24">
      <c r="A163" s="97">
        <f>A27</f>
        <v>44228</v>
      </c>
      <c r="C163" s="163">
        <v>0</v>
      </c>
      <c r="D163" s="155">
        <f t="shared" ref="D163:D173" si="87">ROUND((F162+(C163+E163)/2)*H163/12,2)</f>
        <v>0</v>
      </c>
      <c r="E163" s="157"/>
      <c r="F163" s="155">
        <f>F162+C163+D163+E163</f>
        <v>0</v>
      </c>
      <c r="G163" s="158"/>
      <c r="H163" s="99">
        <f>H162</f>
        <v>0</v>
      </c>
      <c r="J163" s="97">
        <f t="shared" si="86"/>
        <v>44228</v>
      </c>
      <c r="L163" s="163">
        <v>0</v>
      </c>
      <c r="M163" s="155">
        <f t="shared" ref="M163:M173" si="88">ROUND((O162+(L163+N163)/2)*Q163/12,2)</f>
        <v>0</v>
      </c>
      <c r="N163" s="157"/>
      <c r="O163" s="155">
        <f>O162+L163+M163+N163</f>
        <v>0</v>
      </c>
      <c r="P163" s="158"/>
      <c r="Q163" s="99">
        <f t="shared" ref="Q163:Q173" si="89">H163</f>
        <v>0</v>
      </c>
      <c r="U163" s="17"/>
      <c r="V163" s="193"/>
      <c r="W163" s="17"/>
      <c r="X163" s="193"/>
    </row>
    <row r="164" spans="1:24">
      <c r="A164" s="97">
        <f>A28</f>
        <v>44256</v>
      </c>
      <c r="C164" s="163">
        <v>0</v>
      </c>
      <c r="D164" s="155">
        <f t="shared" si="87"/>
        <v>0</v>
      </c>
      <c r="E164" s="157"/>
      <c r="F164" s="155">
        <f>F163+C164+D164+E164</f>
        <v>0</v>
      </c>
      <c r="G164" s="158"/>
      <c r="H164" s="99">
        <f t="shared" ref="H164:H173" si="90">H163</f>
        <v>0</v>
      </c>
      <c r="J164" s="97">
        <f t="shared" si="86"/>
        <v>44256</v>
      </c>
      <c r="L164" s="163">
        <v>0</v>
      </c>
      <c r="M164" s="155">
        <f t="shared" si="88"/>
        <v>0</v>
      </c>
      <c r="N164" s="157"/>
      <c r="O164" s="155">
        <f>O163+L164+M164+N164</f>
        <v>0</v>
      </c>
      <c r="P164" s="158"/>
      <c r="Q164" s="99">
        <f t="shared" si="89"/>
        <v>0</v>
      </c>
      <c r="U164" s="17"/>
      <c r="V164" s="193"/>
      <c r="W164" s="17"/>
      <c r="X164" s="193"/>
    </row>
    <row r="165" spans="1:24">
      <c r="A165" s="97">
        <f t="shared" ref="A165:A173" si="91">A30</f>
        <v>44287</v>
      </c>
      <c r="C165" s="163">
        <v>0</v>
      </c>
      <c r="D165" s="155">
        <f t="shared" si="87"/>
        <v>0</v>
      </c>
      <c r="E165" s="157"/>
      <c r="F165" s="155">
        <f t="shared" ref="F165:F173" si="92">F164+C165+D165+E165</f>
        <v>0</v>
      </c>
      <c r="G165" s="158"/>
      <c r="H165" s="99">
        <f t="shared" si="90"/>
        <v>0</v>
      </c>
      <c r="J165" s="97">
        <f t="shared" si="86"/>
        <v>44287</v>
      </c>
      <c r="L165" s="163">
        <v>0</v>
      </c>
      <c r="M165" s="155">
        <f t="shared" si="88"/>
        <v>0</v>
      </c>
      <c r="N165" s="157"/>
      <c r="O165" s="155">
        <f t="shared" ref="O165:O173" si="93">O164+L165+M165+N165</f>
        <v>0</v>
      </c>
      <c r="P165" s="158"/>
      <c r="Q165" s="99">
        <f t="shared" si="89"/>
        <v>0</v>
      </c>
    </row>
    <row r="166" spans="1:24">
      <c r="A166" s="97">
        <f t="shared" si="91"/>
        <v>44317</v>
      </c>
      <c r="C166" s="163">
        <v>0</v>
      </c>
      <c r="D166" s="155">
        <f t="shared" si="87"/>
        <v>0</v>
      </c>
      <c r="E166" s="157"/>
      <c r="F166" s="155">
        <f t="shared" si="92"/>
        <v>0</v>
      </c>
      <c r="G166" s="158"/>
      <c r="H166" s="99">
        <f t="shared" si="90"/>
        <v>0</v>
      </c>
      <c r="J166" s="97">
        <f t="shared" si="86"/>
        <v>44317</v>
      </c>
      <c r="L166" s="163">
        <v>0</v>
      </c>
      <c r="M166" s="155">
        <f t="shared" si="88"/>
        <v>0</v>
      </c>
      <c r="N166" s="157"/>
      <c r="O166" s="155">
        <f t="shared" si="93"/>
        <v>0</v>
      </c>
      <c r="P166" s="158"/>
      <c r="Q166" s="99">
        <f t="shared" si="89"/>
        <v>0</v>
      </c>
    </row>
    <row r="167" spans="1:24">
      <c r="A167" s="97">
        <f t="shared" si="91"/>
        <v>44348</v>
      </c>
      <c r="C167" s="163">
        <v>0</v>
      </c>
      <c r="D167" s="155">
        <f t="shared" si="87"/>
        <v>0</v>
      </c>
      <c r="E167" s="157"/>
      <c r="F167" s="155">
        <f t="shared" si="92"/>
        <v>0</v>
      </c>
      <c r="G167" s="158"/>
      <c r="H167" s="99">
        <f t="shared" si="90"/>
        <v>0</v>
      </c>
      <c r="J167" s="97">
        <f t="shared" si="86"/>
        <v>44348</v>
      </c>
      <c r="L167" s="163">
        <v>0</v>
      </c>
      <c r="M167" s="155">
        <f t="shared" si="88"/>
        <v>0</v>
      </c>
      <c r="N167" s="157"/>
      <c r="O167" s="155">
        <f t="shared" si="93"/>
        <v>0</v>
      </c>
      <c r="P167" s="158"/>
      <c r="Q167" s="99">
        <f t="shared" si="89"/>
        <v>0</v>
      </c>
    </row>
    <row r="168" spans="1:24" hidden="1">
      <c r="A168" s="97">
        <f t="shared" si="91"/>
        <v>44378</v>
      </c>
      <c r="C168" s="163">
        <v>0</v>
      </c>
      <c r="D168" s="155">
        <f t="shared" si="87"/>
        <v>0</v>
      </c>
      <c r="E168" s="157"/>
      <c r="F168" s="155">
        <f t="shared" si="92"/>
        <v>0</v>
      </c>
      <c r="G168" s="158"/>
      <c r="H168" s="99">
        <f t="shared" si="90"/>
        <v>0</v>
      </c>
      <c r="J168" s="97">
        <f t="shared" si="86"/>
        <v>44378</v>
      </c>
      <c r="L168" s="163">
        <v>0</v>
      </c>
      <c r="M168" s="155">
        <f t="shared" si="88"/>
        <v>0</v>
      </c>
      <c r="N168" s="157"/>
      <c r="O168" s="155">
        <f t="shared" si="93"/>
        <v>0</v>
      </c>
      <c r="P168" s="158"/>
      <c r="Q168" s="99">
        <f t="shared" si="89"/>
        <v>0</v>
      </c>
    </row>
    <row r="169" spans="1:24" hidden="1">
      <c r="A169" s="97">
        <f t="shared" si="91"/>
        <v>44409</v>
      </c>
      <c r="C169" s="163">
        <v>0</v>
      </c>
      <c r="D169" s="155">
        <f t="shared" si="87"/>
        <v>0</v>
      </c>
      <c r="E169" s="157"/>
      <c r="F169" s="155">
        <f t="shared" si="92"/>
        <v>0</v>
      </c>
      <c r="G169" s="158"/>
      <c r="H169" s="99">
        <f t="shared" si="90"/>
        <v>0</v>
      </c>
      <c r="J169" s="97">
        <f t="shared" si="86"/>
        <v>44409</v>
      </c>
      <c r="L169" s="163">
        <v>0</v>
      </c>
      <c r="M169" s="155">
        <f t="shared" si="88"/>
        <v>0</v>
      </c>
      <c r="N169" s="157"/>
      <c r="O169" s="155">
        <f t="shared" si="93"/>
        <v>0</v>
      </c>
      <c r="P169" s="158"/>
      <c r="Q169" s="99">
        <f t="shared" si="89"/>
        <v>0</v>
      </c>
    </row>
    <row r="170" spans="1:24" hidden="1">
      <c r="A170" s="97">
        <f t="shared" si="91"/>
        <v>44440</v>
      </c>
      <c r="C170" s="163">
        <v>0</v>
      </c>
      <c r="D170" s="155">
        <f t="shared" si="87"/>
        <v>0</v>
      </c>
      <c r="E170" s="157"/>
      <c r="F170" s="155">
        <f t="shared" si="92"/>
        <v>0</v>
      </c>
      <c r="G170" s="158"/>
      <c r="H170" s="99">
        <f t="shared" si="90"/>
        <v>0</v>
      </c>
      <c r="J170" s="97">
        <f t="shared" si="86"/>
        <v>44440</v>
      </c>
      <c r="L170" s="163">
        <v>0</v>
      </c>
      <c r="M170" s="155">
        <f t="shared" si="88"/>
        <v>0</v>
      </c>
      <c r="N170" s="157"/>
      <c r="O170" s="155">
        <f t="shared" si="93"/>
        <v>0</v>
      </c>
      <c r="P170" s="158"/>
      <c r="Q170" s="99">
        <f t="shared" si="89"/>
        <v>0</v>
      </c>
    </row>
    <row r="171" spans="1:24" hidden="1">
      <c r="A171" s="97">
        <f t="shared" si="91"/>
        <v>44470</v>
      </c>
      <c r="C171" s="163">
        <v>0</v>
      </c>
      <c r="D171" s="155">
        <f t="shared" si="87"/>
        <v>0</v>
      </c>
      <c r="E171" s="157"/>
      <c r="F171" s="155">
        <f t="shared" si="92"/>
        <v>0</v>
      </c>
      <c r="G171" s="158"/>
      <c r="H171" s="99">
        <f t="shared" si="90"/>
        <v>0</v>
      </c>
      <c r="J171" s="97">
        <f t="shared" si="86"/>
        <v>44470</v>
      </c>
      <c r="L171" s="163">
        <v>0</v>
      </c>
      <c r="M171" s="155">
        <f t="shared" si="88"/>
        <v>0</v>
      </c>
      <c r="N171" s="157"/>
      <c r="O171" s="155">
        <f t="shared" si="93"/>
        <v>0</v>
      </c>
      <c r="P171" s="158"/>
      <c r="Q171" s="99">
        <f t="shared" si="89"/>
        <v>0</v>
      </c>
    </row>
    <row r="172" spans="1:24" hidden="1">
      <c r="A172" s="97">
        <f t="shared" si="91"/>
        <v>44501</v>
      </c>
      <c r="C172" s="163">
        <v>0</v>
      </c>
      <c r="D172" s="155">
        <f t="shared" si="87"/>
        <v>0</v>
      </c>
      <c r="E172" s="157"/>
      <c r="F172" s="155">
        <f t="shared" si="92"/>
        <v>0</v>
      </c>
      <c r="G172" s="158"/>
      <c r="H172" s="99">
        <f t="shared" si="90"/>
        <v>0</v>
      </c>
      <c r="J172" s="97">
        <f t="shared" si="86"/>
        <v>44501</v>
      </c>
      <c r="L172" s="163">
        <v>0</v>
      </c>
      <c r="M172" s="155">
        <f t="shared" si="88"/>
        <v>0</v>
      </c>
      <c r="N172" s="157"/>
      <c r="O172" s="155">
        <f t="shared" si="93"/>
        <v>0</v>
      </c>
      <c r="P172" s="158"/>
      <c r="Q172" s="99">
        <f t="shared" si="89"/>
        <v>0</v>
      </c>
    </row>
    <row r="173" spans="1:24" hidden="1">
      <c r="A173" s="97">
        <f t="shared" si="91"/>
        <v>44531</v>
      </c>
      <c r="C173" s="163">
        <v>0</v>
      </c>
      <c r="D173" s="155">
        <f t="shared" si="87"/>
        <v>0</v>
      </c>
      <c r="E173" s="157"/>
      <c r="F173" s="155">
        <f t="shared" si="92"/>
        <v>0</v>
      </c>
      <c r="H173" s="99">
        <f t="shared" si="90"/>
        <v>0</v>
      </c>
      <c r="J173" s="97">
        <f t="shared" si="86"/>
        <v>44531</v>
      </c>
      <c r="L173" s="163">
        <v>0</v>
      </c>
      <c r="M173" s="155">
        <f t="shared" si="88"/>
        <v>0</v>
      </c>
      <c r="N173" s="157"/>
      <c r="O173" s="155">
        <f t="shared" si="93"/>
        <v>0</v>
      </c>
      <c r="Q173" s="99">
        <f t="shared" si="89"/>
        <v>0</v>
      </c>
    </row>
    <row r="175" spans="1:24">
      <c r="A175" s="189">
        <v>253312</v>
      </c>
      <c r="B175" s="189" t="s">
        <v>52</v>
      </c>
      <c r="C175" s="156" t="s">
        <v>92</v>
      </c>
      <c r="D175" s="156" t="s">
        <v>93</v>
      </c>
      <c r="E175" s="156"/>
      <c r="F175" s="155" t="s">
        <v>95</v>
      </c>
      <c r="H175" s="190" t="s">
        <v>93</v>
      </c>
      <c r="J175" s="189">
        <f>A175</f>
        <v>253312</v>
      </c>
      <c r="K175" s="189" t="s">
        <v>53</v>
      </c>
      <c r="L175" s="156" t="s">
        <v>92</v>
      </c>
      <c r="M175" s="156" t="s">
        <v>93</v>
      </c>
      <c r="N175" s="156"/>
      <c r="O175" s="155" t="s">
        <v>95</v>
      </c>
      <c r="Q175" s="190" t="s">
        <v>93</v>
      </c>
    </row>
    <row r="176" spans="1:24">
      <c r="A176" s="113" t="s">
        <v>151</v>
      </c>
      <c r="B176" s="113" t="s">
        <v>142</v>
      </c>
      <c r="C176" s="156" t="s">
        <v>96</v>
      </c>
      <c r="D176" s="156" t="s">
        <v>97</v>
      </c>
      <c r="E176" s="156" t="s">
        <v>98</v>
      </c>
      <c r="F176" s="155" t="s">
        <v>94</v>
      </c>
      <c r="H176" s="190" t="s">
        <v>99</v>
      </c>
      <c r="J176" s="113" t="str">
        <f>A176</f>
        <v>Prior 3% Contra Deferral</v>
      </c>
      <c r="K176" s="113" t="s">
        <v>142</v>
      </c>
      <c r="L176" s="156" t="s">
        <v>96</v>
      </c>
      <c r="M176" s="156" t="s">
        <v>97</v>
      </c>
      <c r="N176" s="156" t="s">
        <v>98</v>
      </c>
      <c r="O176" s="155" t="s">
        <v>94</v>
      </c>
      <c r="Q176" s="190" t="s">
        <v>99</v>
      </c>
    </row>
    <row r="177" spans="1:24">
      <c r="A177" s="97">
        <f>$A$25</f>
        <v>44166</v>
      </c>
      <c r="B177" s="98"/>
      <c r="F177" s="200">
        <v>0</v>
      </c>
      <c r="G177" s="158"/>
      <c r="J177" s="97">
        <f t="shared" ref="J177:J189" si="94">A177</f>
        <v>44166</v>
      </c>
      <c r="K177" s="98"/>
      <c r="O177" s="200">
        <v>0</v>
      </c>
      <c r="P177" s="158"/>
    </row>
    <row r="178" spans="1:24">
      <c r="A178" s="97">
        <f>A26</f>
        <v>44197</v>
      </c>
      <c r="D178" s="155">
        <f>ROUND((F177+(C178+E178)/2)*H178/12,2)</f>
        <v>0</v>
      </c>
      <c r="E178" s="163">
        <v>0</v>
      </c>
      <c r="F178" s="155">
        <f>F177+C178+D178+E178</f>
        <v>0</v>
      </c>
      <c r="G178" s="158"/>
      <c r="H178" s="99">
        <v>0</v>
      </c>
      <c r="J178" s="97">
        <f t="shared" si="94"/>
        <v>44197</v>
      </c>
      <c r="M178" s="155">
        <f>ROUND((O177+(L178+N178)/2)*Q178/12,2)</f>
        <v>0</v>
      </c>
      <c r="N178" s="163">
        <v>0</v>
      </c>
      <c r="O178" s="155">
        <f>O177+L178+M178+N178</f>
        <v>0</v>
      </c>
      <c r="P178" s="158"/>
      <c r="Q178" s="99">
        <f>H178</f>
        <v>0</v>
      </c>
      <c r="U178" s="17"/>
      <c r="V178" s="193"/>
      <c r="W178" s="17"/>
      <c r="X178" s="193"/>
    </row>
    <row r="179" spans="1:24">
      <c r="A179" s="97">
        <f>A27</f>
        <v>44228</v>
      </c>
      <c r="D179" s="155">
        <f t="shared" ref="D179:D189" si="95">ROUND((F178+(C179+E179)/2)*H179/12,2)</f>
        <v>0</v>
      </c>
      <c r="E179" s="163">
        <v>0</v>
      </c>
      <c r="F179" s="155">
        <f>F178+C179+D179+E179</f>
        <v>0</v>
      </c>
      <c r="G179" s="158"/>
      <c r="H179" s="99">
        <f>H178</f>
        <v>0</v>
      </c>
      <c r="J179" s="97">
        <f t="shared" si="94"/>
        <v>44228</v>
      </c>
      <c r="M179" s="155">
        <f t="shared" ref="M179:M189" si="96">ROUND((O178+(L179+N179)/2)*Q179/12,2)</f>
        <v>0</v>
      </c>
      <c r="N179" s="163">
        <v>0</v>
      </c>
      <c r="O179" s="155">
        <f>O178+L179+M179+N179</f>
        <v>0</v>
      </c>
      <c r="P179" s="158"/>
      <c r="Q179" s="99">
        <f t="shared" ref="Q179:Q189" si="97">H179</f>
        <v>0</v>
      </c>
      <c r="U179" s="17"/>
      <c r="V179" s="193"/>
      <c r="W179" s="17"/>
      <c r="X179" s="193"/>
    </row>
    <row r="180" spans="1:24">
      <c r="A180" s="97">
        <f>A28</f>
        <v>44256</v>
      </c>
      <c r="D180" s="155">
        <f t="shared" si="95"/>
        <v>0</v>
      </c>
      <c r="E180" s="163">
        <v>0</v>
      </c>
      <c r="F180" s="155">
        <f>F179+C180+D180+E180</f>
        <v>0</v>
      </c>
      <c r="G180" s="158"/>
      <c r="H180" s="99">
        <f t="shared" ref="H180:H189" si="98">H179</f>
        <v>0</v>
      </c>
      <c r="J180" s="97">
        <f t="shared" si="94"/>
        <v>44256</v>
      </c>
      <c r="M180" s="155">
        <f t="shared" si="96"/>
        <v>0</v>
      </c>
      <c r="N180" s="163">
        <v>0</v>
      </c>
      <c r="O180" s="155">
        <f>O179+L180+M180+N180</f>
        <v>0</v>
      </c>
      <c r="P180" s="158"/>
      <c r="Q180" s="99">
        <f t="shared" si="97"/>
        <v>0</v>
      </c>
      <c r="U180" s="17"/>
      <c r="V180" s="193"/>
      <c r="W180" s="17"/>
      <c r="X180" s="193"/>
    </row>
    <row r="181" spans="1:24">
      <c r="A181" s="97">
        <f t="shared" ref="A181:A189" si="99">A30</f>
        <v>44287</v>
      </c>
      <c r="D181" s="155">
        <f t="shared" si="95"/>
        <v>0</v>
      </c>
      <c r="E181" s="163">
        <v>0</v>
      </c>
      <c r="F181" s="155">
        <f t="shared" ref="F181:F189" si="100">F180+C181+D181+E181</f>
        <v>0</v>
      </c>
      <c r="G181" s="158"/>
      <c r="H181" s="99">
        <f t="shared" si="98"/>
        <v>0</v>
      </c>
      <c r="J181" s="97">
        <f t="shared" si="94"/>
        <v>44287</v>
      </c>
      <c r="M181" s="155">
        <f t="shared" si="96"/>
        <v>0</v>
      </c>
      <c r="N181" s="163">
        <v>0</v>
      </c>
      <c r="O181" s="155">
        <f t="shared" ref="O181:O189" si="101">O180+L181+M181+N181</f>
        <v>0</v>
      </c>
      <c r="P181" s="158"/>
      <c r="Q181" s="99">
        <f t="shared" si="97"/>
        <v>0</v>
      </c>
    </row>
    <row r="182" spans="1:24">
      <c r="A182" s="97">
        <f t="shared" si="99"/>
        <v>44317</v>
      </c>
      <c r="D182" s="155">
        <f t="shared" si="95"/>
        <v>0</v>
      </c>
      <c r="E182" s="163">
        <v>0</v>
      </c>
      <c r="F182" s="155">
        <f t="shared" si="100"/>
        <v>0</v>
      </c>
      <c r="G182" s="158"/>
      <c r="H182" s="99">
        <f t="shared" si="98"/>
        <v>0</v>
      </c>
      <c r="J182" s="97">
        <f t="shared" si="94"/>
        <v>44317</v>
      </c>
      <c r="M182" s="155">
        <f t="shared" si="96"/>
        <v>0</v>
      </c>
      <c r="N182" s="163">
        <v>0</v>
      </c>
      <c r="O182" s="155">
        <f t="shared" si="101"/>
        <v>0</v>
      </c>
      <c r="P182" s="158"/>
      <c r="Q182" s="99">
        <f t="shared" si="97"/>
        <v>0</v>
      </c>
    </row>
    <row r="183" spans="1:24">
      <c r="A183" s="97">
        <f t="shared" si="99"/>
        <v>44348</v>
      </c>
      <c r="D183" s="155">
        <f t="shared" si="95"/>
        <v>0</v>
      </c>
      <c r="E183" s="163">
        <v>0</v>
      </c>
      <c r="F183" s="155">
        <f t="shared" si="100"/>
        <v>0</v>
      </c>
      <c r="G183" s="158"/>
      <c r="H183" s="99">
        <f t="shared" si="98"/>
        <v>0</v>
      </c>
      <c r="J183" s="97">
        <f t="shared" si="94"/>
        <v>44348</v>
      </c>
      <c r="M183" s="155">
        <f t="shared" si="96"/>
        <v>0</v>
      </c>
      <c r="N183" s="163">
        <v>0</v>
      </c>
      <c r="O183" s="155">
        <f t="shared" si="101"/>
        <v>0</v>
      </c>
      <c r="P183" s="158"/>
      <c r="Q183" s="99">
        <f t="shared" si="97"/>
        <v>0</v>
      </c>
    </row>
    <row r="184" spans="1:24" hidden="1">
      <c r="A184" s="97">
        <f t="shared" si="99"/>
        <v>44378</v>
      </c>
      <c r="D184" s="155">
        <f t="shared" si="95"/>
        <v>0</v>
      </c>
      <c r="E184" s="163">
        <v>0</v>
      </c>
      <c r="F184" s="155">
        <f t="shared" si="100"/>
        <v>0</v>
      </c>
      <c r="G184" s="158"/>
      <c r="H184" s="99">
        <f t="shared" si="98"/>
        <v>0</v>
      </c>
      <c r="J184" s="97">
        <f t="shared" si="94"/>
        <v>44378</v>
      </c>
      <c r="M184" s="155">
        <f t="shared" si="96"/>
        <v>0</v>
      </c>
      <c r="N184" s="163">
        <v>0</v>
      </c>
      <c r="O184" s="155">
        <f t="shared" si="101"/>
        <v>0</v>
      </c>
      <c r="P184" s="158"/>
      <c r="Q184" s="99">
        <f t="shared" si="97"/>
        <v>0</v>
      </c>
    </row>
    <row r="185" spans="1:24" hidden="1">
      <c r="A185" s="97">
        <f t="shared" si="99"/>
        <v>44409</v>
      </c>
      <c r="D185" s="155">
        <f t="shared" si="95"/>
        <v>0</v>
      </c>
      <c r="E185" s="163">
        <v>0</v>
      </c>
      <c r="F185" s="155">
        <f t="shared" si="100"/>
        <v>0</v>
      </c>
      <c r="G185" s="158"/>
      <c r="H185" s="99">
        <f t="shared" si="98"/>
        <v>0</v>
      </c>
      <c r="J185" s="97">
        <f t="shared" si="94"/>
        <v>44409</v>
      </c>
      <c r="M185" s="155">
        <f t="shared" si="96"/>
        <v>0</v>
      </c>
      <c r="N185" s="163">
        <v>0</v>
      </c>
      <c r="O185" s="155">
        <f t="shared" si="101"/>
        <v>0</v>
      </c>
      <c r="P185" s="158"/>
      <c r="Q185" s="99">
        <f t="shared" si="97"/>
        <v>0</v>
      </c>
    </row>
    <row r="186" spans="1:24" hidden="1">
      <c r="A186" s="97">
        <f t="shared" si="99"/>
        <v>44440</v>
      </c>
      <c r="D186" s="155">
        <f t="shared" si="95"/>
        <v>0</v>
      </c>
      <c r="E186" s="163">
        <v>0</v>
      </c>
      <c r="F186" s="155">
        <f t="shared" si="100"/>
        <v>0</v>
      </c>
      <c r="G186" s="158"/>
      <c r="H186" s="99">
        <f t="shared" si="98"/>
        <v>0</v>
      </c>
      <c r="J186" s="97">
        <f t="shared" si="94"/>
        <v>44440</v>
      </c>
      <c r="M186" s="155">
        <f t="shared" si="96"/>
        <v>0</v>
      </c>
      <c r="N186" s="163">
        <v>0</v>
      </c>
      <c r="O186" s="155">
        <f t="shared" si="101"/>
        <v>0</v>
      </c>
      <c r="P186" s="158"/>
      <c r="Q186" s="99">
        <f t="shared" si="97"/>
        <v>0</v>
      </c>
    </row>
    <row r="187" spans="1:24" hidden="1">
      <c r="A187" s="97">
        <f t="shared" si="99"/>
        <v>44470</v>
      </c>
      <c r="D187" s="155">
        <f t="shared" si="95"/>
        <v>0</v>
      </c>
      <c r="E187" s="163">
        <v>0</v>
      </c>
      <c r="F187" s="155">
        <f t="shared" si="100"/>
        <v>0</v>
      </c>
      <c r="G187" s="158"/>
      <c r="H187" s="99">
        <f t="shared" si="98"/>
        <v>0</v>
      </c>
      <c r="J187" s="97">
        <f t="shared" si="94"/>
        <v>44470</v>
      </c>
      <c r="M187" s="155">
        <f t="shared" si="96"/>
        <v>0</v>
      </c>
      <c r="N187" s="163">
        <v>0</v>
      </c>
      <c r="O187" s="155">
        <f t="shared" si="101"/>
        <v>0</v>
      </c>
      <c r="P187" s="158"/>
      <c r="Q187" s="99">
        <f t="shared" si="97"/>
        <v>0</v>
      </c>
    </row>
    <row r="188" spans="1:24" hidden="1">
      <c r="A188" s="97">
        <f t="shared" si="99"/>
        <v>44501</v>
      </c>
      <c r="D188" s="155">
        <f t="shared" si="95"/>
        <v>0</v>
      </c>
      <c r="E188" s="163">
        <v>0</v>
      </c>
      <c r="F188" s="155">
        <f t="shared" si="100"/>
        <v>0</v>
      </c>
      <c r="G188" s="158"/>
      <c r="H188" s="99">
        <f t="shared" si="98"/>
        <v>0</v>
      </c>
      <c r="J188" s="97">
        <f t="shared" si="94"/>
        <v>44501</v>
      </c>
      <c r="M188" s="155">
        <f t="shared" si="96"/>
        <v>0</v>
      </c>
      <c r="N188" s="163">
        <v>0</v>
      </c>
      <c r="O188" s="155">
        <f t="shared" si="101"/>
        <v>0</v>
      </c>
      <c r="P188" s="158"/>
      <c r="Q188" s="99">
        <f t="shared" si="97"/>
        <v>0</v>
      </c>
    </row>
    <row r="189" spans="1:24" hidden="1">
      <c r="A189" s="97">
        <f t="shared" si="99"/>
        <v>44531</v>
      </c>
      <c r="D189" s="155">
        <f t="shared" si="95"/>
        <v>0</v>
      </c>
      <c r="E189" s="163">
        <v>0</v>
      </c>
      <c r="F189" s="155">
        <f t="shared" si="100"/>
        <v>0</v>
      </c>
      <c r="H189" s="99">
        <f t="shared" si="98"/>
        <v>0</v>
      </c>
      <c r="J189" s="97">
        <f t="shared" si="94"/>
        <v>44531</v>
      </c>
      <c r="M189" s="155">
        <f t="shared" si="96"/>
        <v>0</v>
      </c>
      <c r="N189" s="163">
        <v>0</v>
      </c>
      <c r="O189" s="155">
        <f t="shared" si="101"/>
        <v>0</v>
      </c>
      <c r="Q189" s="99">
        <f t="shared" si="97"/>
        <v>0</v>
      </c>
    </row>
  </sheetData>
  <mergeCells count="6">
    <mergeCell ref="C75:H75"/>
    <mergeCell ref="C93:H93"/>
    <mergeCell ref="A1:I1"/>
    <mergeCell ref="J1:R1"/>
    <mergeCell ref="L75:Q75"/>
    <mergeCell ref="L93:Q93"/>
  </mergeCells>
  <printOptions horizontalCentered="1"/>
  <pageMargins left="0.7" right="0.71" top="1.0900000000000001" bottom="0.75" header="0.5" footer="0.5"/>
  <pageSetup scale="75" firstPageNumber="9" fitToWidth="0" fitToHeight="0" orientation="portrait" useFirstPageNumber="1" r:id="rId1"/>
  <headerFooter scaleWithDoc="0">
    <oddHeader>&amp;CAvista Corporation Decoupling Mechanism
Washington Jurisdiction
Quarterly Report for 2nd Quarter 2021</oddHeader>
    <oddFooter>&amp;Cfile: &amp;F / &amp;A&amp;RPage &amp;P of 13</oddFooter>
  </headerFooter>
  <rowBreaks count="1" manualBreakCount="1">
    <brk id="95" max="17" man="1"/>
  </rowBreaks>
  <colBreaks count="1" manualBreakCount="1">
    <brk id="9" max="189"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
  <sheetViews>
    <sheetView tabSelected="1" zoomScaleNormal="100" zoomScaleSheetLayoutView="130" workbookViewId="0">
      <selection activeCell="Q14" sqref="Q14"/>
    </sheetView>
  </sheetViews>
  <sheetFormatPr defaultRowHeight="15"/>
  <cols>
    <col min="1" max="1" width="2.85546875" customWidth="1"/>
    <col min="2" max="2" width="20.7109375" customWidth="1"/>
    <col min="3" max="3" width="10.85546875" customWidth="1"/>
    <col min="4" max="4" width="15.28515625" customWidth="1"/>
    <col min="5" max="5" width="9.140625" customWidth="1"/>
    <col min="6" max="6" width="9.28515625" customWidth="1"/>
    <col min="7" max="7" width="8" customWidth="1"/>
    <col min="8" max="8" width="8.28515625" style="53" customWidth="1"/>
    <col min="9" max="9" width="11.5703125" customWidth="1"/>
    <col min="10" max="10" width="8.5703125" customWidth="1"/>
    <col min="11" max="11" width="11.5703125" hidden="1" customWidth="1"/>
    <col min="12" max="12" width="8.5703125" customWidth="1"/>
    <col min="17" max="17" width="13.28515625" bestFit="1" customWidth="1"/>
    <col min="18" max="18" width="11.5703125" bestFit="1" customWidth="1"/>
    <col min="19" max="20" width="13.28515625" bestFit="1" customWidth="1"/>
  </cols>
  <sheetData>
    <row r="1" spans="1:23" ht="28.9" customHeight="1">
      <c r="A1" t="s">
        <v>61</v>
      </c>
    </row>
    <row r="2" spans="1:23" s="19" customFormat="1" ht="14.45" customHeight="1">
      <c r="A2" s="38"/>
      <c r="B2" s="38"/>
      <c r="C2" s="38"/>
      <c r="D2" s="38"/>
      <c r="E2" s="38"/>
      <c r="F2" s="38"/>
      <c r="G2" s="38"/>
      <c r="H2" s="60"/>
      <c r="I2" s="38"/>
      <c r="J2" s="38"/>
      <c r="K2" s="38"/>
    </row>
    <row r="3" spans="1:23" s="19" customFormat="1" ht="111.75" customHeight="1">
      <c r="A3" s="241" t="s">
        <v>219</v>
      </c>
      <c r="B3" s="241"/>
      <c r="C3" s="241"/>
      <c r="D3" s="241"/>
      <c r="E3" s="241"/>
      <c r="F3" s="241"/>
      <c r="G3" s="241"/>
      <c r="H3" s="241"/>
      <c r="I3" s="241"/>
      <c r="J3" s="241"/>
      <c r="K3" s="241"/>
      <c r="M3" s="179"/>
      <c r="N3" s="179"/>
      <c r="O3" s="179"/>
      <c r="P3" s="179"/>
      <c r="Q3" s="179"/>
      <c r="R3" s="179"/>
      <c r="S3" s="179"/>
      <c r="T3" s="179"/>
      <c r="U3" s="179"/>
      <c r="V3" s="179"/>
      <c r="W3" s="179"/>
    </row>
    <row r="4" spans="1:23" ht="14.45" customHeight="1"/>
    <row r="5" spans="1:23" ht="14.45" customHeight="1">
      <c r="A5" s="244" t="s">
        <v>76</v>
      </c>
      <c r="B5" s="244"/>
      <c r="C5" s="244"/>
      <c r="D5" s="244"/>
      <c r="E5" s="244"/>
      <c r="F5" s="244"/>
      <c r="G5" s="244"/>
      <c r="H5" s="244"/>
      <c r="I5" s="244"/>
      <c r="J5" s="244"/>
      <c r="K5" s="244"/>
    </row>
    <row r="6" spans="1:23" s="19" customFormat="1" ht="13.9" customHeight="1">
      <c r="A6" s="244" t="s">
        <v>77</v>
      </c>
      <c r="B6" s="244"/>
      <c r="C6" s="244"/>
      <c r="D6" s="244"/>
      <c r="E6" s="244"/>
      <c r="F6" s="244"/>
      <c r="G6" s="244"/>
      <c r="H6" s="244"/>
      <c r="I6" s="244"/>
      <c r="J6" s="244"/>
      <c r="K6" s="244"/>
    </row>
    <row r="7" spans="1:23" ht="43.5" customHeight="1">
      <c r="A7" s="35"/>
      <c r="B7" s="35"/>
      <c r="C7" s="35"/>
      <c r="E7" s="40" t="s">
        <v>70</v>
      </c>
      <c r="F7" s="40" t="s">
        <v>71</v>
      </c>
      <c r="G7" s="43" t="s">
        <v>80</v>
      </c>
      <c r="H7" s="59" t="s">
        <v>85</v>
      </c>
      <c r="I7" s="81" t="s">
        <v>182</v>
      </c>
      <c r="J7" s="40" t="s">
        <v>72</v>
      </c>
      <c r="K7" s="186" t="s">
        <v>185</v>
      </c>
      <c r="L7" s="35"/>
    </row>
    <row r="8" spans="1:23" ht="14.45" customHeight="1">
      <c r="A8" s="39" t="s">
        <v>68</v>
      </c>
      <c r="B8" s="14"/>
      <c r="C8" s="14"/>
      <c r="E8" s="14"/>
      <c r="F8" s="14"/>
      <c r="G8" s="14"/>
      <c r="H8" s="14"/>
      <c r="I8" s="14"/>
      <c r="J8" s="14"/>
      <c r="K8" s="14"/>
      <c r="L8" s="14"/>
    </row>
    <row r="9" spans="1:23" ht="14.45" customHeight="1">
      <c r="A9" s="36"/>
      <c r="B9" s="36" t="s">
        <v>69</v>
      </c>
      <c r="C9" s="36"/>
      <c r="E9" s="42">
        <v>-126</v>
      </c>
      <c r="F9" s="42">
        <v>171</v>
      </c>
      <c r="G9" s="55"/>
      <c r="H9" s="79"/>
      <c r="I9" s="42">
        <v>46</v>
      </c>
      <c r="J9" s="184">
        <v>8.0000000000000002E-3</v>
      </c>
      <c r="K9" s="36"/>
      <c r="L9" s="36"/>
    </row>
    <row r="10" spans="1:23" ht="14.45" customHeight="1">
      <c r="A10" s="36"/>
      <c r="B10" s="36" t="s">
        <v>78</v>
      </c>
      <c r="C10" s="36"/>
      <c r="E10" s="41">
        <v>-2.52</v>
      </c>
      <c r="F10" s="41">
        <v>5.2</v>
      </c>
      <c r="G10" s="56"/>
      <c r="H10" s="80"/>
      <c r="I10" s="41">
        <v>2.68</v>
      </c>
      <c r="J10" s="184">
        <v>7.0000000000000001E-3</v>
      </c>
      <c r="K10" s="36"/>
      <c r="L10" s="36"/>
    </row>
    <row r="11" spans="1:23">
      <c r="B11" s="19" t="s">
        <v>79</v>
      </c>
      <c r="E11" s="41">
        <v>2.52</v>
      </c>
      <c r="F11" s="41">
        <v>-5.2</v>
      </c>
      <c r="G11" s="41"/>
      <c r="H11" s="41"/>
      <c r="I11" s="41">
        <v>-2.68</v>
      </c>
      <c r="J11" s="53"/>
      <c r="K11" s="41">
        <v>-0.05</v>
      </c>
    </row>
    <row r="12" spans="1:23" s="19" customFormat="1" ht="6" customHeight="1">
      <c r="E12" s="41"/>
      <c r="F12" s="41"/>
      <c r="G12" s="56"/>
      <c r="H12" s="76"/>
      <c r="I12" s="41"/>
      <c r="J12" s="53"/>
    </row>
    <row r="13" spans="1:23">
      <c r="A13" s="39" t="s">
        <v>73</v>
      </c>
      <c r="B13" s="14"/>
      <c r="C13" s="14"/>
      <c r="E13" s="14"/>
      <c r="F13" s="14"/>
      <c r="G13" s="57"/>
      <c r="H13" s="77"/>
      <c r="I13" s="202"/>
      <c r="J13" s="183"/>
      <c r="K13" s="37"/>
      <c r="L13" s="37"/>
    </row>
    <row r="14" spans="1:23">
      <c r="A14" s="36"/>
      <c r="B14" s="36" t="s">
        <v>69</v>
      </c>
      <c r="C14" s="36"/>
      <c r="E14" s="42">
        <v>-1096</v>
      </c>
      <c r="F14" s="42">
        <v>395</v>
      </c>
      <c r="G14" s="55"/>
      <c r="H14" s="79"/>
      <c r="I14" s="42">
        <v>-703</v>
      </c>
      <c r="J14" s="184">
        <v>-2.5000000000000001E-2</v>
      </c>
      <c r="K14" s="37"/>
      <c r="L14" s="37"/>
    </row>
    <row r="15" spans="1:23" ht="14.45" customHeight="1">
      <c r="A15" s="36"/>
      <c r="B15" s="36" t="s">
        <v>78</v>
      </c>
      <c r="C15" s="36"/>
      <c r="E15" s="41">
        <v>-73.78</v>
      </c>
      <c r="F15" s="41">
        <v>26.5</v>
      </c>
      <c r="G15" s="56"/>
      <c r="H15" s="80"/>
      <c r="I15" s="41">
        <v>-47.43</v>
      </c>
      <c r="J15" s="184">
        <v>-2.1999999999999999E-2</v>
      </c>
      <c r="K15" s="37"/>
      <c r="L15" s="37"/>
    </row>
    <row r="16" spans="1:23">
      <c r="B16" s="19" t="s">
        <v>79</v>
      </c>
      <c r="E16" s="41">
        <v>73.78</v>
      </c>
      <c r="F16" s="41">
        <v>-26.5</v>
      </c>
      <c r="G16" s="41"/>
      <c r="H16" s="41"/>
      <c r="I16" s="41">
        <v>47.43</v>
      </c>
      <c r="J16" s="53"/>
      <c r="K16" s="41">
        <v>0.01</v>
      </c>
    </row>
    <row r="17" spans="1:19" s="19" customFormat="1" ht="9" customHeight="1">
      <c r="G17" s="22"/>
      <c r="H17" s="78"/>
      <c r="I17" s="53"/>
      <c r="J17" s="53"/>
    </row>
    <row r="18" spans="1:19" ht="14.45" customHeight="1">
      <c r="A18" s="39" t="s">
        <v>74</v>
      </c>
      <c r="B18" s="14"/>
      <c r="C18" s="14"/>
      <c r="E18" s="14"/>
      <c r="F18" s="14"/>
      <c r="G18" s="57"/>
      <c r="H18" s="77"/>
      <c r="I18" s="202"/>
      <c r="J18" s="183"/>
    </row>
    <row r="19" spans="1:19" ht="14.45" customHeight="1">
      <c r="A19" s="36"/>
      <c r="B19" s="36" t="s">
        <v>69</v>
      </c>
      <c r="C19" s="36"/>
      <c r="E19" s="42">
        <v>-9</v>
      </c>
      <c r="F19" s="42">
        <v>-21</v>
      </c>
      <c r="G19" s="55"/>
      <c r="H19" s="79"/>
      <c r="I19" s="42">
        <v>-29</v>
      </c>
      <c r="J19" s="184">
        <v>-6.4000000000000001E-2</v>
      </c>
    </row>
    <row r="20" spans="1:19">
      <c r="A20" s="36"/>
      <c r="B20" s="36" t="s">
        <v>78</v>
      </c>
      <c r="C20" s="36"/>
      <c r="E20" s="41">
        <v>0.87</v>
      </c>
      <c r="F20" s="41">
        <v>-13.74</v>
      </c>
      <c r="G20" s="56"/>
      <c r="H20" s="80"/>
      <c r="I20" s="41">
        <v>-12.86</v>
      </c>
      <c r="J20" s="184">
        <v>-6.0999999999999999E-2</v>
      </c>
    </row>
    <row r="21" spans="1:19" s="19" customFormat="1">
      <c r="A21" s="36"/>
      <c r="B21" s="19" t="s">
        <v>79</v>
      </c>
      <c r="C21" s="36"/>
      <c r="E21" s="41">
        <v>-0.87</v>
      </c>
      <c r="F21" s="41">
        <v>13.74</v>
      </c>
      <c r="G21" s="41"/>
      <c r="H21" s="41"/>
      <c r="I21" s="41">
        <v>12.86</v>
      </c>
      <c r="J21" s="185"/>
      <c r="K21" s="41">
        <v>-0.12</v>
      </c>
    </row>
    <row r="22" spans="1:19" ht="9" customHeight="1">
      <c r="A22" s="19"/>
      <c r="B22" s="19"/>
      <c r="C22" s="19"/>
      <c r="E22" s="19"/>
      <c r="F22" s="19"/>
      <c r="G22" s="22"/>
      <c r="H22" s="78"/>
      <c r="I22" s="53"/>
      <c r="J22" s="53"/>
    </row>
    <row r="23" spans="1:19">
      <c r="A23" s="39" t="s">
        <v>75</v>
      </c>
      <c r="B23" s="14"/>
      <c r="C23" s="14"/>
      <c r="E23" s="14"/>
      <c r="F23" s="14"/>
      <c r="G23" s="57"/>
      <c r="H23" s="77"/>
      <c r="I23" s="202"/>
      <c r="J23" s="183"/>
    </row>
    <row r="24" spans="1:19">
      <c r="A24" s="36"/>
      <c r="B24" s="36" t="s">
        <v>69</v>
      </c>
      <c r="C24" s="36"/>
      <c r="E24" s="42">
        <v>-30</v>
      </c>
      <c r="F24" s="42">
        <v>-635</v>
      </c>
      <c r="G24" s="55"/>
      <c r="H24" s="79"/>
      <c r="I24" s="42">
        <v>-664</v>
      </c>
      <c r="J24" s="184">
        <v>-6.5000000000000002E-2</v>
      </c>
    </row>
    <row r="25" spans="1:19">
      <c r="A25" s="36"/>
      <c r="B25" s="36" t="s">
        <v>78</v>
      </c>
      <c r="C25" s="36"/>
      <c r="E25" s="41">
        <v>-92.43</v>
      </c>
      <c r="F25" s="41">
        <v>-140.12</v>
      </c>
      <c r="G25" s="56"/>
      <c r="H25" s="80"/>
      <c r="I25" s="41">
        <v>-232.5</v>
      </c>
      <c r="J25" s="184">
        <v>-8.4000000000000005E-2</v>
      </c>
    </row>
    <row r="26" spans="1:19">
      <c r="B26" s="19" t="s">
        <v>79</v>
      </c>
      <c r="E26" s="41">
        <v>92.43</v>
      </c>
      <c r="F26" s="41">
        <v>140.12</v>
      </c>
      <c r="G26" s="41"/>
      <c r="H26" s="41"/>
      <c r="I26" s="41">
        <v>232.5</v>
      </c>
      <c r="J26" s="53"/>
      <c r="K26" s="41">
        <v>-4.07</v>
      </c>
    </row>
    <row r="29" spans="1:19" ht="108.75" customHeight="1">
      <c r="A29" s="242" t="s">
        <v>198</v>
      </c>
      <c r="B29" s="242"/>
      <c r="C29" s="242"/>
      <c r="D29" s="242"/>
      <c r="E29" s="242"/>
      <c r="F29" s="242"/>
      <c r="G29" s="242"/>
      <c r="H29" s="242"/>
      <c r="I29" s="242"/>
      <c r="J29" s="242"/>
      <c r="K29" s="242"/>
      <c r="L29" s="35"/>
      <c r="M29" s="35"/>
      <c r="N29" s="35"/>
      <c r="O29" s="35"/>
      <c r="P29" s="35"/>
      <c r="Q29" s="35"/>
      <c r="R29" s="35"/>
      <c r="S29" s="35"/>
    </row>
    <row r="30" spans="1:19" ht="165" customHeight="1">
      <c r="A30" s="242" t="s">
        <v>213</v>
      </c>
      <c r="B30" s="242"/>
      <c r="C30" s="242"/>
      <c r="D30" s="242"/>
      <c r="E30" s="242"/>
      <c r="F30" s="242"/>
      <c r="G30" s="242"/>
      <c r="H30" s="242"/>
      <c r="I30" s="242"/>
      <c r="J30" s="242"/>
      <c r="K30" s="242"/>
      <c r="L30" s="35"/>
      <c r="M30" s="35"/>
      <c r="N30" s="35"/>
      <c r="O30" s="35"/>
      <c r="P30" s="35"/>
      <c r="Q30" s="35"/>
      <c r="R30" s="35"/>
    </row>
    <row r="31" spans="1:19" ht="15" customHeight="1">
      <c r="A31" s="180"/>
      <c r="B31" s="180"/>
      <c r="C31" s="180"/>
      <c r="D31" s="180"/>
      <c r="E31" s="180"/>
      <c r="F31" s="180"/>
      <c r="G31" s="180"/>
      <c r="H31" s="180"/>
      <c r="I31" s="180"/>
      <c r="J31" s="180"/>
      <c r="K31" s="180"/>
      <c r="L31" s="35"/>
      <c r="M31" s="35"/>
      <c r="N31" s="35"/>
      <c r="O31" s="35"/>
      <c r="P31" s="35"/>
      <c r="Q31" s="35"/>
      <c r="R31" s="35"/>
      <c r="S31" s="35"/>
    </row>
    <row r="32" spans="1:19">
      <c r="A32" s="22"/>
      <c r="B32" s="214"/>
      <c r="C32" s="216" t="s">
        <v>209</v>
      </c>
      <c r="D32" s="22" t="s">
        <v>205</v>
      </c>
      <c r="E32" s="22"/>
      <c r="F32" s="181"/>
      <c r="G32" s="181"/>
      <c r="H32" s="22"/>
      <c r="I32" s="243"/>
      <c r="J32" s="243"/>
      <c r="K32" s="22"/>
      <c r="L32" s="181"/>
      <c r="M32" s="181"/>
      <c r="N32" s="181"/>
      <c r="O32" s="35"/>
      <c r="P32" s="35"/>
      <c r="Q32" s="35"/>
      <c r="R32" s="35"/>
      <c r="S32" s="35"/>
    </row>
    <row r="33" spans="1:20">
      <c r="A33" s="22"/>
      <c r="B33" s="214"/>
      <c r="C33" s="216" t="s">
        <v>210</v>
      </c>
      <c r="D33" s="22" t="s">
        <v>206</v>
      </c>
      <c r="E33" s="22"/>
      <c r="F33" s="22"/>
      <c r="G33" s="22"/>
      <c r="H33" s="22"/>
      <c r="I33" s="22"/>
      <c r="J33" s="22"/>
      <c r="K33" s="22"/>
      <c r="L33" s="181"/>
      <c r="M33" s="181"/>
      <c r="N33" s="181"/>
      <c r="O33" s="35"/>
      <c r="P33" s="35"/>
      <c r="Q33" s="215"/>
      <c r="R33" s="35"/>
      <c r="S33" s="35"/>
    </row>
    <row r="34" spans="1:20">
      <c r="A34" s="22"/>
      <c r="B34" s="214"/>
      <c r="C34" s="216" t="s">
        <v>211</v>
      </c>
      <c r="D34" s="22" t="s">
        <v>207</v>
      </c>
      <c r="E34" s="22"/>
      <c r="F34" s="182"/>
      <c r="G34" s="182"/>
      <c r="H34" s="22"/>
      <c r="I34" s="22"/>
      <c r="J34" s="22"/>
      <c r="K34" s="22"/>
      <c r="L34" s="181"/>
      <c r="M34" s="181"/>
      <c r="N34" s="181"/>
      <c r="O34" s="35"/>
      <c r="P34" s="35"/>
      <c r="Q34" s="215"/>
      <c r="R34" s="215"/>
      <c r="S34" s="215"/>
    </row>
    <row r="35" spans="1:20">
      <c r="B35" s="214"/>
      <c r="C35" s="216" t="s">
        <v>212</v>
      </c>
      <c r="D35" s="22" t="s">
        <v>208</v>
      </c>
      <c r="Q35" s="17"/>
      <c r="R35" s="17"/>
      <c r="S35" s="17"/>
      <c r="T35" s="13"/>
    </row>
    <row r="36" spans="1:20">
      <c r="Q36" s="17"/>
      <c r="R36" s="17"/>
      <c r="S36" s="17"/>
    </row>
    <row r="37" spans="1:20">
      <c r="Q37" s="17"/>
    </row>
    <row r="38" spans="1:20">
      <c r="Q38" s="17"/>
    </row>
  </sheetData>
  <mergeCells count="6">
    <mergeCell ref="A3:K3"/>
    <mergeCell ref="A29:K29"/>
    <mergeCell ref="I32:J32"/>
    <mergeCell ref="A5:K5"/>
    <mergeCell ref="A6:K6"/>
    <mergeCell ref="A30:K30"/>
  </mergeCells>
  <printOptions horizontalCentered="1"/>
  <pageMargins left="0.7" right="0.71" top="1.0900000000000001" bottom="0.75" header="0.5" footer="0.5"/>
  <pageSetup scale="75" firstPageNumber="13" orientation="portrait" useFirstPageNumber="1" r:id="rId1"/>
  <headerFooter scaleWithDoc="0">
    <oddHeader>&amp;CAvista Corporation Decoupling Mechanism
Washington Jurisdiction
Quarterly Report for 2nd Quarter 2021</oddHeader>
    <oddFooter>&amp;Cfile: &amp;F / &amp;A&amp;RPage &amp;P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D2620A671104B4B9DF54F0401262403" ma:contentTypeVersion="48" ma:contentTypeDescription="" ma:contentTypeScope="" ma:versionID="09f5d9fe2b03e31f65e48c88afd7546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2019-04-30T07:00:00+00:00</OpenedDate>
    <SignificantOrder xmlns="dc463f71-b30c-4ab2-9473-d307f9d35888">false</SignificantOrder>
    <Date1 xmlns="dc463f71-b30c-4ab2-9473-d307f9d35888">2021-08-30T07:00:00+00:00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190335</DocketNumber>
    <DelegatedOrder xmlns="dc463f71-b30c-4ab2-9473-d307f9d35888">false</DelegatedOrder>
  </documentManagement>
</p:properties>
</file>

<file path=customXml/itemProps1.xml><?xml version="1.0" encoding="utf-8"?>
<ds:datastoreItem xmlns:ds="http://schemas.openxmlformats.org/officeDocument/2006/customXml" ds:itemID="{BA1A45B7-48A4-4839-B6F0-B484A59100CA}"/>
</file>

<file path=customXml/itemProps2.xml><?xml version="1.0" encoding="utf-8"?>
<ds:datastoreItem xmlns:ds="http://schemas.openxmlformats.org/officeDocument/2006/customXml" ds:itemID="{5A9C2467-664F-48EC-B426-CC72D03B4459}"/>
</file>

<file path=customXml/itemProps3.xml><?xml version="1.0" encoding="utf-8"?>
<ds:datastoreItem xmlns:ds="http://schemas.openxmlformats.org/officeDocument/2006/customXml" ds:itemID="{31DF883D-2714-46D7-95A6-3E6F37F141EE}"/>
</file>

<file path=customXml/itemProps4.xml><?xml version="1.0" encoding="utf-8"?>
<ds:datastoreItem xmlns:ds="http://schemas.openxmlformats.org/officeDocument/2006/customXml" ds:itemID="{CF248BFE-A0A0-4B48-9A06-789975684E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'Electric Deferral'!Print_Titles</vt:lpstr>
      <vt:lpstr>'Interest Reconciliation'!Print_Titles</vt:lpstr>
      <vt:lpstr>'Nat Gas Deferral'!Print_Titles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2021-08-30T15:56:28Z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68e8279a-228d-4ef7-9917-676435e5cd08</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0x0101006E56B4D1795A2E4DB2F0B01679ED314A000D2620A671104B4B9DF54F0401262403</vt:lpwstr>
  </property>
  <property fmtid="{D5CDD505-2E9C-101B-9397-08002B2CF9AE}" pid="6" name="_docset_NoMedatataSyncRequired">
    <vt:lpwstr>False</vt:lpwstr>
  </property>
  <property fmtid="{D5CDD505-2E9C-101B-9397-08002B2CF9AE}" pid="7" name="IsEFSEC">
    <vt:bool>false</vt:bool>
  </property>
</Properties>
</file>