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printerSettings/printerSettings2.bin" ContentType="application/vnd.openxmlformats-officedocument.spreadsheetml.printerSettings"/>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externalLinks/externalLink2.xml" ContentType="application/vnd.openxmlformats-officedocument.spreadsheetml.externalLink+xml"/>
  <Override PartName="/xl/calcChain.xml" ContentType="application/vnd.openxmlformats-officedocument.spreadsheetml.calcChain+xml"/>
  <Override PartName="/xl/printerSettings/printerSettings1.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UBLIC\# Commission Basis Report\Dec_31_21\Dirty 2021 CBR WP\"/>
    </mc:Choice>
  </mc:AlternateContent>
  <bookViews>
    <workbookView xWindow="0" yWindow="0" windowWidth="23040" windowHeight="8748"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 r:id="rId10"/>
  </externalReferences>
  <definedNames>
    <definedName name="SAPCrosstab1">'Other Elec Revenue'!$A$1:$E$51</definedName>
    <definedName name="SAPCrosstab2">'Excise Tax '!$A$1:$E$150</definedName>
    <definedName name="SAPCrosstab3">'Filing Fees'!$A$1:$D$29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E46" i="7"/>
  <c r="E45" i="7"/>
  <c r="E44" i="7"/>
  <c r="D12" i="8"/>
  <c r="D12" i="7"/>
  <c r="I196" i="3" l="1"/>
  <c r="H196" i="3"/>
  <c r="I195" i="3"/>
  <c r="H195" i="3"/>
  <c r="G195" i="3"/>
  <c r="K195" i="3" s="1"/>
  <c r="F195" i="3"/>
  <c r="J195" i="3" s="1"/>
  <c r="I194" i="3"/>
  <c r="H194" i="3"/>
  <c r="G194" i="3"/>
  <c r="F194" i="3"/>
  <c r="I193" i="3"/>
  <c r="H193" i="3"/>
  <c r="I192" i="3"/>
  <c r="H192" i="3"/>
  <c r="G192" i="3"/>
  <c r="F192" i="3"/>
  <c r="I191" i="3"/>
  <c r="H191" i="3"/>
  <c r="G191" i="3"/>
  <c r="F191" i="3"/>
  <c r="I190" i="3"/>
  <c r="H190" i="3"/>
  <c r="G190" i="3"/>
  <c r="F190" i="3"/>
  <c r="I189" i="3"/>
  <c r="H189" i="3"/>
  <c r="G189" i="3"/>
  <c r="F189" i="3"/>
  <c r="I188" i="3"/>
  <c r="H188" i="3"/>
  <c r="G188" i="3"/>
  <c r="F188" i="3"/>
  <c r="I187" i="3"/>
  <c r="H187" i="3"/>
  <c r="I186" i="3"/>
  <c r="H186" i="3"/>
  <c r="I185" i="3"/>
  <c r="H185" i="3"/>
  <c r="G185" i="3"/>
  <c r="F185" i="3"/>
  <c r="J185" i="3" s="1"/>
  <c r="I184" i="3"/>
  <c r="H184" i="3"/>
  <c r="G184" i="3"/>
  <c r="F184" i="3"/>
  <c r="I183" i="3"/>
  <c r="H183" i="3"/>
  <c r="I182" i="3"/>
  <c r="H182" i="3"/>
  <c r="I181" i="3"/>
  <c r="H181" i="3"/>
  <c r="I180" i="3"/>
  <c r="H180" i="3"/>
  <c r="I159" i="3"/>
  <c r="H159" i="3"/>
  <c r="G159" i="3"/>
  <c r="F159" i="3"/>
  <c r="I158" i="3"/>
  <c r="H158" i="3"/>
  <c r="G158" i="3"/>
  <c r="K158" i="3" s="1"/>
  <c r="F158" i="3"/>
  <c r="J158" i="3" s="1"/>
  <c r="I157" i="3"/>
  <c r="H157" i="3"/>
  <c r="G157" i="3"/>
  <c r="F157" i="3"/>
  <c r="I156" i="3"/>
  <c r="H156" i="3"/>
  <c r="G156" i="3"/>
  <c r="K156" i="3" s="1"/>
  <c r="F156" i="3"/>
  <c r="J156" i="3" s="1"/>
  <c r="I163" i="3"/>
  <c r="H163" i="3"/>
  <c r="G163" i="3"/>
  <c r="K163" i="3" s="1"/>
  <c r="F163" i="3"/>
  <c r="J163" i="3" s="1"/>
  <c r="I162" i="3"/>
  <c r="H162" i="3"/>
  <c r="G162" i="3"/>
  <c r="F162" i="3"/>
  <c r="J162" i="3" s="1"/>
  <c r="I161" i="3"/>
  <c r="H161" i="3"/>
  <c r="I160" i="3"/>
  <c r="H160" i="3"/>
  <c r="G160" i="3"/>
  <c r="F160" i="3"/>
  <c r="I167" i="3"/>
  <c r="H167" i="3"/>
  <c r="G167" i="3"/>
  <c r="F167" i="3"/>
  <c r="I166" i="3"/>
  <c r="H166" i="3"/>
  <c r="I165" i="3"/>
  <c r="H165" i="3"/>
  <c r="G165" i="3"/>
  <c r="F165" i="3"/>
  <c r="I164" i="3"/>
  <c r="H164" i="3"/>
  <c r="G164" i="3"/>
  <c r="F164" i="3"/>
  <c r="J164" i="3" s="1"/>
  <c r="I171" i="3"/>
  <c r="H171" i="3"/>
  <c r="G171" i="3"/>
  <c r="F171" i="3"/>
  <c r="J171" i="3" s="1"/>
  <c r="I170" i="3"/>
  <c r="H170" i="3"/>
  <c r="G170" i="3"/>
  <c r="K170" i="3" s="1"/>
  <c r="F170" i="3"/>
  <c r="J170" i="3" s="1"/>
  <c r="I169" i="3"/>
  <c r="H169" i="3"/>
  <c r="I168" i="3"/>
  <c r="H168" i="3"/>
  <c r="G168" i="3"/>
  <c r="K168" i="3" s="1"/>
  <c r="F168" i="3"/>
  <c r="I175" i="3"/>
  <c r="H175" i="3"/>
  <c r="I174" i="3"/>
  <c r="H174" i="3"/>
  <c r="G174" i="3"/>
  <c r="F174" i="3"/>
  <c r="J174" i="3" s="1"/>
  <c r="I173" i="3"/>
  <c r="H173" i="3"/>
  <c r="G173" i="3"/>
  <c r="K173" i="3" s="1"/>
  <c r="F173" i="3"/>
  <c r="J173" i="3" s="1"/>
  <c r="I172" i="3"/>
  <c r="H172" i="3"/>
  <c r="G172" i="3"/>
  <c r="F172" i="3"/>
  <c r="J172" i="3" s="1"/>
  <c r="J160" i="3" l="1"/>
  <c r="K160" i="3"/>
  <c r="J191" i="3"/>
  <c r="J189" i="3"/>
  <c r="K194" i="3"/>
  <c r="K171" i="3"/>
  <c r="K185" i="3"/>
  <c r="K189" i="3"/>
  <c r="K172" i="3"/>
  <c r="J168" i="3"/>
  <c r="K191" i="3"/>
  <c r="J188" i="3"/>
  <c r="J194" i="3"/>
  <c r="K188" i="3"/>
  <c r="J192" i="3"/>
  <c r="K157" i="3"/>
  <c r="K192" i="3"/>
  <c r="J184" i="3"/>
  <c r="J190" i="3"/>
  <c r="K184" i="3"/>
  <c r="K190" i="3"/>
  <c r="K164" i="3"/>
  <c r="J159" i="3"/>
  <c r="K159" i="3"/>
  <c r="J157" i="3"/>
  <c r="K162" i="3"/>
  <c r="J165" i="3"/>
  <c r="K165" i="3"/>
  <c r="J167" i="3"/>
  <c r="K167" i="3"/>
  <c r="K174" i="3"/>
  <c r="I179" i="3"/>
  <c r="H179" i="3"/>
  <c r="E47" i="7"/>
  <c r="F179" i="3" l="1"/>
  <c r="J179" i="3" s="1"/>
  <c r="F196" i="3"/>
  <c r="J196" i="3" s="1"/>
  <c r="F193" i="3"/>
  <c r="J193" i="3" s="1"/>
  <c r="F187" i="3"/>
  <c r="J187" i="3" s="1"/>
  <c r="F181" i="3"/>
  <c r="J181" i="3" s="1"/>
  <c r="F175" i="3"/>
  <c r="J175" i="3" s="1"/>
  <c r="F169" i="3"/>
  <c r="J169" i="3" s="1"/>
  <c r="F186" i="3"/>
  <c r="J186" i="3" s="1"/>
  <c r="F183" i="3"/>
  <c r="J183" i="3" s="1"/>
  <c r="F180" i="3"/>
  <c r="J180" i="3" s="1"/>
  <c r="F182" i="3"/>
  <c r="J182" i="3" s="1"/>
  <c r="F166" i="3"/>
  <c r="J166" i="3" s="1"/>
  <c r="F161" i="3"/>
  <c r="J161" i="3" s="1"/>
  <c r="G179" i="3"/>
  <c r="K179" i="3" s="1"/>
  <c r="G196" i="3"/>
  <c r="K196" i="3" s="1"/>
  <c r="G193" i="3"/>
  <c r="K193" i="3" s="1"/>
  <c r="G187" i="3"/>
  <c r="K187" i="3" s="1"/>
  <c r="G181" i="3"/>
  <c r="K181" i="3" s="1"/>
  <c r="G175" i="3"/>
  <c r="K175" i="3" s="1"/>
  <c r="G169" i="3"/>
  <c r="K169" i="3" s="1"/>
  <c r="G186" i="3"/>
  <c r="K186" i="3" s="1"/>
  <c r="G183" i="3"/>
  <c r="K183" i="3" s="1"/>
  <c r="G180" i="3"/>
  <c r="K180" i="3" s="1"/>
  <c r="G182" i="3"/>
  <c r="K182" i="3" s="1"/>
  <c r="G161" i="3"/>
  <c r="K161" i="3" s="1"/>
  <c r="G166" i="3"/>
  <c r="K166" i="3" s="1"/>
  <c r="I178" i="3" l="1"/>
  <c r="H178" i="3"/>
  <c r="I177" i="3"/>
  <c r="H177" i="3"/>
  <c r="I176" i="3"/>
  <c r="H176" i="3"/>
  <c r="I155" i="3"/>
  <c r="H155" i="3"/>
  <c r="I154" i="3"/>
  <c r="H154" i="3"/>
  <c r="I153" i="3"/>
  <c r="H153" i="3"/>
  <c r="G153" i="3"/>
  <c r="F153" i="3"/>
  <c r="I152" i="3"/>
  <c r="H152" i="3"/>
  <c r="G152" i="3"/>
  <c r="F152" i="3"/>
  <c r="I151" i="3"/>
  <c r="H151" i="3"/>
  <c r="G151" i="3"/>
  <c r="K151" i="3" s="1"/>
  <c r="F151" i="3"/>
  <c r="K153" i="3" l="1"/>
  <c r="J151" i="3"/>
  <c r="J153" i="3"/>
  <c r="J152" i="3"/>
  <c r="K152" i="3"/>
  <c r="G206" i="3"/>
  <c r="G106" i="3"/>
  <c r="G105" i="3"/>
  <c r="G104" i="3"/>
  <c r="G103" i="3"/>
  <c r="G102" i="3"/>
  <c r="G98" i="3"/>
  <c r="G97" i="3"/>
  <c r="G96" i="3"/>
  <c r="G95" i="3"/>
  <c r="G94" i="3"/>
  <c r="G93" i="3"/>
  <c r="G92" i="3"/>
  <c r="G91" i="3"/>
  <c r="G90" i="3"/>
  <c r="G85" i="3"/>
  <c r="G84" i="3"/>
  <c r="G83" i="3"/>
  <c r="G82" i="3"/>
  <c r="G81" i="3"/>
  <c r="G80" i="3"/>
  <c r="G79" i="3"/>
  <c r="G78" i="3"/>
  <c r="G77" i="3"/>
  <c r="G72" i="3"/>
  <c r="G71" i="3"/>
  <c r="G70" i="3"/>
  <c r="G69" i="3"/>
  <c r="G68" i="3"/>
  <c r="G67" i="3"/>
  <c r="G66" i="3"/>
  <c r="G65" i="3"/>
  <c r="G64" i="3"/>
  <c r="G60" i="3"/>
  <c r="G59" i="3"/>
  <c r="G58" i="3"/>
  <c r="G57" i="3"/>
  <c r="G56" i="3"/>
  <c r="G55" i="3"/>
  <c r="G54" i="3"/>
  <c r="G53" i="3"/>
  <c r="G52" i="3"/>
  <c r="G51" i="3"/>
  <c r="G47" i="3"/>
  <c r="G46" i="3"/>
  <c r="G45" i="3"/>
  <c r="G44" i="3"/>
  <c r="G43" i="3"/>
  <c r="G42" i="3"/>
  <c r="G41" i="3"/>
  <c r="G40" i="3"/>
  <c r="G39" i="3"/>
  <c r="G35" i="3"/>
  <c r="G34" i="3"/>
  <c r="G33" i="3"/>
  <c r="G32" i="3"/>
  <c r="G31" i="3"/>
  <c r="G30" i="3"/>
  <c r="G29" i="3"/>
  <c r="G28" i="3"/>
  <c r="G27" i="3"/>
  <c r="G23" i="3"/>
  <c r="G22" i="3"/>
  <c r="G21" i="3"/>
  <c r="G20" i="3"/>
  <c r="G19" i="3"/>
  <c r="G18" i="3"/>
  <c r="G17" i="3"/>
  <c r="G16" i="3"/>
  <c r="G15" i="3"/>
  <c r="G11" i="3"/>
  <c r="G10" i="3"/>
  <c r="G9" i="3"/>
  <c r="G8" i="3"/>
  <c r="G7" i="3"/>
  <c r="G6" i="3"/>
  <c r="G5" i="3"/>
  <c r="G4" i="3"/>
  <c r="G3" i="3"/>
  <c r="F177" i="3" l="1"/>
  <c r="J177" i="3" s="1"/>
  <c r="F154" i="3"/>
  <c r="J154" i="3" s="1"/>
  <c r="F176" i="3"/>
  <c r="J176" i="3" s="1"/>
  <c r="F178" i="3"/>
  <c r="J178" i="3" s="1"/>
  <c r="F155" i="3"/>
  <c r="J155" i="3" s="1"/>
  <c r="G177" i="3"/>
  <c r="K177" i="3" s="1"/>
  <c r="G154" i="3"/>
  <c r="K154" i="3" s="1"/>
  <c r="G178" i="3"/>
  <c r="K178" i="3" s="1"/>
  <c r="G155" i="3"/>
  <c r="K155" i="3" s="1"/>
  <c r="G176" i="3"/>
  <c r="K176" i="3" s="1"/>
  <c r="G50" i="3"/>
  <c r="G36" i="3"/>
  <c r="G88" i="3"/>
  <c r="G86" i="3"/>
  <c r="G14" i="3"/>
  <c r="G49" i="3"/>
  <c r="G74" i="3"/>
  <c r="G73" i="3"/>
  <c r="G13" i="3"/>
  <c r="G48" i="3"/>
  <c r="G26" i="3"/>
  <c r="G76" i="3"/>
  <c r="G61" i="3"/>
  <c r="G12" i="3"/>
  <c r="G101" i="3"/>
  <c r="G89" i="3"/>
  <c r="G62" i="3"/>
  <c r="G25" i="3"/>
  <c r="G24" i="3"/>
  <c r="G100" i="3"/>
  <c r="G38" i="3"/>
  <c r="G37" i="3"/>
  <c r="G99" i="3"/>
  <c r="G87" i="3"/>
  <c r="G75" i="3"/>
  <c r="G63" i="3"/>
  <c r="G150" i="3"/>
  <c r="G146" i="3"/>
  <c r="G142" i="3"/>
  <c r="G138" i="3"/>
  <c r="G134" i="3"/>
  <c r="G130" i="3"/>
  <c r="G126" i="3"/>
  <c r="G122" i="3"/>
  <c r="G118" i="3"/>
  <c r="G114" i="3"/>
  <c r="G110" i="3"/>
  <c r="G135" i="3"/>
  <c r="G119" i="3"/>
  <c r="G107" i="3"/>
  <c r="G149" i="3"/>
  <c r="G145" i="3"/>
  <c r="G141" i="3"/>
  <c r="G137" i="3"/>
  <c r="G133" i="3"/>
  <c r="G129" i="3"/>
  <c r="G125" i="3"/>
  <c r="G121" i="3"/>
  <c r="G117" i="3"/>
  <c r="G113" i="3"/>
  <c r="G109" i="3"/>
  <c r="G143" i="3"/>
  <c r="G139" i="3"/>
  <c r="G127" i="3"/>
  <c r="G115" i="3"/>
  <c r="G148" i="3"/>
  <c r="G144" i="3"/>
  <c r="G140" i="3"/>
  <c r="G136" i="3"/>
  <c r="G132" i="3"/>
  <c r="G128" i="3"/>
  <c r="G124" i="3"/>
  <c r="G120" i="3"/>
  <c r="G116" i="3"/>
  <c r="G112" i="3"/>
  <c r="G108" i="3"/>
  <c r="G147" i="3"/>
  <c r="G131" i="3"/>
  <c r="G123" i="3"/>
  <c r="G111" i="3"/>
  <c r="E48" i="7"/>
  <c r="F18" i="7" s="1"/>
  <c r="F31" i="8"/>
  <c r="F17" i="8"/>
  <c r="F19" i="8" s="1"/>
  <c r="F31" i="7"/>
  <c r="F17" i="7"/>
  <c r="I206" i="3"/>
  <c r="H206" i="3"/>
  <c r="F206" i="3"/>
  <c r="C13" i="6"/>
  <c r="C13" i="5"/>
  <c r="A5" i="6"/>
  <c r="A4" i="6"/>
  <c r="F19" i="7" l="1"/>
  <c r="D24" i="7" s="1"/>
  <c r="F21" i="8"/>
  <c r="D22" i="8"/>
  <c r="F22" i="8" s="1"/>
  <c r="D24" i="8"/>
  <c r="J206" i="3"/>
  <c r="K206"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I11" i="3"/>
  <c r="H11" i="3"/>
  <c r="I10" i="3"/>
  <c r="H10" i="3"/>
  <c r="I9" i="3"/>
  <c r="H9" i="3"/>
  <c r="I8" i="3"/>
  <c r="H8" i="3"/>
  <c r="I7" i="3"/>
  <c r="I6" i="3"/>
  <c r="I5" i="3"/>
  <c r="I4" i="3"/>
  <c r="H4" i="3"/>
  <c r="I3"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G212"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H12" i="3" s="1"/>
  <c r="F11" i="3"/>
  <c r="F10" i="3"/>
  <c r="F9" i="3"/>
  <c r="F8" i="3"/>
  <c r="F7" i="3"/>
  <c r="H7" i="3" s="1"/>
  <c r="F6" i="3"/>
  <c r="H6" i="3" s="1"/>
  <c r="F5" i="3"/>
  <c r="H5" i="3" s="1"/>
  <c r="F4" i="3"/>
  <c r="F3" i="3"/>
  <c r="H3" i="3" s="1"/>
  <c r="F212" i="3" l="1"/>
  <c r="H212" i="3"/>
  <c r="F21" i="7"/>
  <c r="D22" i="7"/>
  <c r="F22" i="7" s="1"/>
  <c r="D25" i="8"/>
  <c r="F25" i="8" s="1"/>
  <c r="D25" i="7"/>
  <c r="F25" i="7" s="1"/>
  <c r="F211" i="3"/>
  <c r="H210" i="3"/>
  <c r="G211" i="3"/>
  <c r="I210" i="3"/>
  <c r="F210" i="3"/>
  <c r="G210" i="3"/>
  <c r="K52" i="3"/>
  <c r="K58" i="3"/>
  <c r="K64" i="3"/>
  <c r="K70" i="3"/>
  <c r="K76" i="3"/>
  <c r="K82" i="3"/>
  <c r="K88" i="3"/>
  <c r="K94" i="3"/>
  <c r="K100" i="3"/>
  <c r="K106" i="3"/>
  <c r="K112" i="3"/>
  <c r="K118" i="3"/>
  <c r="K124" i="3"/>
  <c r="K130" i="3"/>
  <c r="K136" i="3"/>
  <c r="K142" i="3"/>
  <c r="K148" i="3"/>
  <c r="J4" i="3"/>
  <c r="J10" i="3"/>
  <c r="J16" i="3"/>
  <c r="J22" i="3"/>
  <c r="J28" i="3"/>
  <c r="J34" i="3"/>
  <c r="J40" i="3"/>
  <c r="J46" i="3"/>
  <c r="K53" i="3"/>
  <c r="K59" i="3"/>
  <c r="K65" i="3"/>
  <c r="K71" i="3"/>
  <c r="K77" i="3"/>
  <c r="K83" i="3"/>
  <c r="K89" i="3"/>
  <c r="K95" i="3"/>
  <c r="K101" i="3"/>
  <c r="K107" i="3"/>
  <c r="K113" i="3"/>
  <c r="K119" i="3"/>
  <c r="K125" i="3"/>
  <c r="K131" i="3"/>
  <c r="K137" i="3"/>
  <c r="K143" i="3"/>
  <c r="J20" i="3"/>
  <c r="J52" i="3"/>
  <c r="J58" i="3"/>
  <c r="J64" i="3"/>
  <c r="J70" i="3"/>
  <c r="J76" i="3"/>
  <c r="J82" i="3"/>
  <c r="J88" i="3"/>
  <c r="J94" i="3"/>
  <c r="J100" i="3"/>
  <c r="J106" i="3"/>
  <c r="J112" i="3"/>
  <c r="J118" i="3"/>
  <c r="J124" i="3"/>
  <c r="J130" i="3"/>
  <c r="J136" i="3"/>
  <c r="J142" i="3"/>
  <c r="J148" i="3"/>
  <c r="K4" i="3"/>
  <c r="K10" i="3"/>
  <c r="K16" i="3"/>
  <c r="K22" i="3"/>
  <c r="K28" i="3"/>
  <c r="K34" i="3"/>
  <c r="K40" i="3"/>
  <c r="K46" i="3"/>
  <c r="K149" i="3"/>
  <c r="K6" i="3"/>
  <c r="K12" i="3"/>
  <c r="K18" i="3"/>
  <c r="K24" i="3"/>
  <c r="K30" i="3"/>
  <c r="K36" i="3"/>
  <c r="K42" i="3"/>
  <c r="J50" i="3"/>
  <c r="J56" i="3"/>
  <c r="J62" i="3"/>
  <c r="J68" i="3"/>
  <c r="J74" i="3"/>
  <c r="J80" i="3"/>
  <c r="J86" i="3"/>
  <c r="J92" i="3"/>
  <c r="J98" i="3"/>
  <c r="J104" i="3"/>
  <c r="J110" i="3"/>
  <c r="J116" i="3"/>
  <c r="J122" i="3"/>
  <c r="J128" i="3"/>
  <c r="J134" i="3"/>
  <c r="J140" i="3"/>
  <c r="J146" i="3"/>
  <c r="J3" i="3"/>
  <c r="K49" i="3"/>
  <c r="K55" i="3"/>
  <c r="K61" i="3"/>
  <c r="K67" i="3"/>
  <c r="K73" i="3"/>
  <c r="K79" i="3"/>
  <c r="K85" i="3"/>
  <c r="K91" i="3"/>
  <c r="K97" i="3"/>
  <c r="K103" i="3"/>
  <c r="K109" i="3"/>
  <c r="K115" i="3"/>
  <c r="K121" i="3"/>
  <c r="K127" i="3"/>
  <c r="K133" i="3"/>
  <c r="K139" i="3"/>
  <c r="K145" i="3"/>
  <c r="K9" i="3"/>
  <c r="K15" i="3"/>
  <c r="K21" i="3"/>
  <c r="K27" i="3"/>
  <c r="K33" i="3"/>
  <c r="K39" i="3"/>
  <c r="K45" i="3"/>
  <c r="K51" i="3"/>
  <c r="K57" i="3"/>
  <c r="K63" i="3"/>
  <c r="K69" i="3"/>
  <c r="K75" i="3"/>
  <c r="K81" i="3"/>
  <c r="K87" i="3"/>
  <c r="K93" i="3"/>
  <c r="K99" i="3"/>
  <c r="K105" i="3"/>
  <c r="K111" i="3"/>
  <c r="K117" i="3"/>
  <c r="K123" i="3"/>
  <c r="K129" i="3"/>
  <c r="K135" i="3"/>
  <c r="K141" i="3"/>
  <c r="K147" i="3"/>
  <c r="J5" i="3"/>
  <c r="J11" i="3"/>
  <c r="J17" i="3"/>
  <c r="J23" i="3"/>
  <c r="J29" i="3"/>
  <c r="J35" i="3"/>
  <c r="J41" i="3"/>
  <c r="J47" i="3"/>
  <c r="J14" i="3"/>
  <c r="J32" i="3"/>
  <c r="K8" i="3"/>
  <c r="K20" i="3"/>
  <c r="K26" i="3"/>
  <c r="K38" i="3"/>
  <c r="K44" i="3"/>
  <c r="J71" i="3"/>
  <c r="J77" i="3"/>
  <c r="J83" i="3"/>
  <c r="J89" i="3"/>
  <c r="J95" i="3"/>
  <c r="J101" i="3"/>
  <c r="J107" i="3"/>
  <c r="J113" i="3"/>
  <c r="J119" i="3"/>
  <c r="J125" i="3"/>
  <c r="J131" i="3"/>
  <c r="J137" i="3"/>
  <c r="J143" i="3"/>
  <c r="J149" i="3"/>
  <c r="K11" i="3"/>
  <c r="K23" i="3"/>
  <c r="K41" i="3"/>
  <c r="K5" i="3"/>
  <c r="K17" i="3"/>
  <c r="K29" i="3"/>
  <c r="K35" i="3"/>
  <c r="K47" i="3"/>
  <c r="J6" i="3"/>
  <c r="J12" i="3"/>
  <c r="J18" i="3"/>
  <c r="J24" i="3"/>
  <c r="J30" i="3"/>
  <c r="J36" i="3"/>
  <c r="J42" i="3"/>
  <c r="J54" i="3"/>
  <c r="J60" i="3"/>
  <c r="J66" i="3"/>
  <c r="J72" i="3"/>
  <c r="J78" i="3"/>
  <c r="J84" i="3"/>
  <c r="J90" i="3"/>
  <c r="J96" i="3"/>
  <c r="J102" i="3"/>
  <c r="J108" i="3"/>
  <c r="J114" i="3"/>
  <c r="J120" i="3"/>
  <c r="J126" i="3"/>
  <c r="J132" i="3"/>
  <c r="J138" i="3"/>
  <c r="J144" i="3"/>
  <c r="J150" i="3"/>
  <c r="J8" i="3"/>
  <c r="J26" i="3"/>
  <c r="J44" i="3"/>
  <c r="J38" i="3"/>
  <c r="K14" i="3"/>
  <c r="K32" i="3"/>
  <c r="K60" i="3"/>
  <c r="K72" i="3"/>
  <c r="K90" i="3"/>
  <c r="K108" i="3"/>
  <c r="K144" i="3"/>
  <c r="J7" i="3"/>
  <c r="J19" i="3"/>
  <c r="J31" i="3"/>
  <c r="J37" i="3"/>
  <c r="J49" i="3"/>
  <c r="K7" i="3"/>
  <c r="K13" i="3"/>
  <c r="K19" i="3"/>
  <c r="K25" i="3"/>
  <c r="K31" i="3"/>
  <c r="K37" i="3"/>
  <c r="K43" i="3"/>
  <c r="K50" i="3"/>
  <c r="K62" i="3"/>
  <c r="K80" i="3"/>
  <c r="K98" i="3"/>
  <c r="K128" i="3"/>
  <c r="K56" i="3"/>
  <c r="K68" i="3"/>
  <c r="K74" i="3"/>
  <c r="K86" i="3"/>
  <c r="K92" i="3"/>
  <c r="K104" i="3"/>
  <c r="K110" i="3"/>
  <c r="K116" i="3"/>
  <c r="K122" i="3"/>
  <c r="K134" i="3"/>
  <c r="K140" i="3"/>
  <c r="K146" i="3"/>
  <c r="J53" i="3"/>
  <c r="J59" i="3"/>
  <c r="J65" i="3"/>
  <c r="J9" i="3"/>
  <c r="J15" i="3"/>
  <c r="J21" i="3"/>
  <c r="J27" i="3"/>
  <c r="J33" i="3"/>
  <c r="J39" i="3"/>
  <c r="J45" i="3"/>
  <c r="J51" i="3"/>
  <c r="J57" i="3"/>
  <c r="J63" i="3"/>
  <c r="J69" i="3"/>
  <c r="J75" i="3"/>
  <c r="J81" i="3"/>
  <c r="J87" i="3"/>
  <c r="J93" i="3"/>
  <c r="J99" i="3"/>
  <c r="J105" i="3"/>
  <c r="J111" i="3"/>
  <c r="J117" i="3"/>
  <c r="J123" i="3"/>
  <c r="J129" i="3"/>
  <c r="J135" i="3"/>
  <c r="J141" i="3"/>
  <c r="J147" i="3"/>
  <c r="K54" i="3"/>
  <c r="K78" i="3"/>
  <c r="K96" i="3"/>
  <c r="K114" i="3"/>
  <c r="K126" i="3"/>
  <c r="K132" i="3"/>
  <c r="K138" i="3"/>
  <c r="K66" i="3"/>
  <c r="K84" i="3"/>
  <c r="K102" i="3"/>
  <c r="K120" i="3"/>
  <c r="K150" i="3"/>
  <c r="J13" i="3"/>
  <c r="J25" i="3"/>
  <c r="J43" i="3"/>
  <c r="J55" i="3"/>
  <c r="J61" i="3"/>
  <c r="J67" i="3"/>
  <c r="J73" i="3"/>
  <c r="J79" i="3"/>
  <c r="J85" i="3"/>
  <c r="J91" i="3"/>
  <c r="J97" i="3"/>
  <c r="J103" i="3"/>
  <c r="J109" i="3"/>
  <c r="J115" i="3"/>
  <c r="J121" i="3"/>
  <c r="J127" i="3"/>
  <c r="J133" i="3"/>
  <c r="J139" i="3"/>
  <c r="J145" i="3"/>
  <c r="H48" i="3"/>
  <c r="I48" i="3"/>
  <c r="I212" i="3" s="1"/>
  <c r="K3" i="3"/>
  <c r="K212" i="3" l="1"/>
  <c r="D26" i="7"/>
  <c r="F26" i="7" s="1"/>
  <c r="F27" i="7" s="1"/>
  <c r="D26" i="8"/>
  <c r="F26" i="8" s="1"/>
  <c r="F27" i="8" s="1"/>
  <c r="F213" i="3"/>
  <c r="C12" i="5" s="1"/>
  <c r="C14" i="5" s="1"/>
  <c r="K48" i="3"/>
  <c r="K211" i="3" s="1"/>
  <c r="I211" i="3"/>
  <c r="I213" i="3" s="1"/>
  <c r="J48" i="3"/>
  <c r="J211" i="3" s="1"/>
  <c r="H211" i="3"/>
  <c r="H213" i="3" s="1"/>
  <c r="K210" i="3"/>
  <c r="J210" i="3"/>
  <c r="G213" i="3"/>
  <c r="C12" i="6" s="1"/>
  <c r="C14" i="6" s="1"/>
  <c r="J212" i="3" l="1"/>
  <c r="J213" i="3" s="1"/>
  <c r="D12" i="5" s="1"/>
  <c r="F34" i="8"/>
  <c r="F35" i="8" s="1"/>
  <c r="F38" i="8" s="1"/>
  <c r="D13" i="6" s="1"/>
  <c r="F34" i="7"/>
  <c r="F35" i="7" s="1"/>
  <c r="F38" i="7" s="1"/>
  <c r="D13" i="5" s="1"/>
  <c r="K213" i="3"/>
  <c r="D12" i="6" s="1"/>
  <c r="E13" i="6" l="1"/>
  <c r="E13" i="5"/>
  <c r="D14" i="6"/>
  <c r="E12" i="6"/>
  <c r="E14" i="6" s="1"/>
  <c r="E16" i="6" s="1"/>
  <c r="E17" i="6" s="1"/>
  <c r="E18" i="6" s="1"/>
  <c r="D14" i="5"/>
  <c r="E12" i="5"/>
  <c r="E14" i="5" s="1"/>
  <c r="E16" i="5" s="1"/>
  <c r="E17" i="5" s="1"/>
  <c r="E18" i="5" s="1"/>
</calcChain>
</file>

<file path=xl/sharedStrings.xml><?xml version="1.0" encoding="utf-8"?>
<sst xmlns="http://schemas.openxmlformats.org/spreadsheetml/2006/main" count="1254" uniqueCount="333">
  <si>
    <t>Amount</t>
  </si>
  <si>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</si>
  <si>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</si>
  <si>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</si>
  <si>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</si>
  <si>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</si>
  <si>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</si>
  <si>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</si>
  <si>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</si>
  <si>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</si>
  <si>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</si>
  <si>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</si>
  <si>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</si>
  <si>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</si>
  <si>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</si>
  <si>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</si>
  <si>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</si>
  <si>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</si>
  <si>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</si>
  <si>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</si>
  <si>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</si>
  <si>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</si>
  <si>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</si>
  <si>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</si>
  <si>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</si>
  <si>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</si>
  <si>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</si>
  <si>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</si>
  <si>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</si>
  <si>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</si>
  <si>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</si>
  <si>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</si>
  <si>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</si>
  <si>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</si>
  <si>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</si>
  <si>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</si>
  <si>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</si>
  <si>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</si>
  <si>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</si>
  <si>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</si>
  <si>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</si>
  <si>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</si>
  <si>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</si>
  <si>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</si>
  <si>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</si>
  <si>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</si>
  <si>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</si>
  <si>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</si>
  <si>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</si>
  <si>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</si>
  <si>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</si>
  <si>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</si>
  <si>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</si>
  <si>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</si>
  <si>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45600154</t>
  </si>
  <si>
    <t>24M GAAP - E Non-Res Sch 40</t>
  </si>
  <si>
    <t>45600155</t>
  </si>
  <si>
    <t>AMI Return Deferral - Electric</t>
  </si>
  <si>
    <t>45600156</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</si>
  <si>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</si>
  <si>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</si>
  <si>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</si>
  <si>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</si>
  <si>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</si>
  <si>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</si>
  <si>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</si>
  <si>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</si>
  <si>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</si>
  <si>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</si>
  <si>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</si>
  <si>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</si>
  <si>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</si>
  <si>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</si>
  <si>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</si>
  <si>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</si>
  <si>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</si>
  <si>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Doc.number</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</si>
  <si>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</si>
  <si>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</si>
  <si>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</si>
  <si>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</si>
  <si>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</si>
  <si>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</si>
  <si>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</si>
  <si>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</si>
  <si>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</si>
  <si>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</si>
  <si>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</si>
  <si>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</si>
  <si>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</si>
  <si>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</si>
  <si>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</si>
  <si>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</si>
  <si>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</si>
  <si>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</si>
  <si>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</si>
  <si>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</si>
  <si>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</si>
  <si>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</si>
  <si>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</si>
  <si>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</si>
  <si>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State Excise Tax True-Up - Electric</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</si>
  <si>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</si>
  <si>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</si>
  <si>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</si>
  <si>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</si>
  <si>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</si>
  <si>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</si>
  <si>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</si>
  <si>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</si>
  <si>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</si>
  <si>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</si>
  <si>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</si>
  <si>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</si>
  <si>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</si>
  <si>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</si>
  <si>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</si>
  <si>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</si>
  <si>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</si>
  <si>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</si>
  <si>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</si>
  <si>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</si>
  <si>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</si>
  <si>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</si>
  <si>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</si>
  <si>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</si>
  <si>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</si>
  <si>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</si>
  <si>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</si>
  <si>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</si>
  <si>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</si>
  <si>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</si>
  <si>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</si>
  <si>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</si>
  <si>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</si>
  <si>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</si>
  <si>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</si>
  <si>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</si>
  <si>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</si>
  <si>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</si>
  <si>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</si>
  <si>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</si>
  <si>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</si>
  <si>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</si>
  <si>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</si>
  <si>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</si>
  <si>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</si>
  <si>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</si>
  <si>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</si>
  <si>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</si>
  <si>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</si>
  <si>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</si>
  <si>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</si>
  <si>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</si>
  <si>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</si>
  <si>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</si>
  <si>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</si>
  <si>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</si>
  <si>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</si>
  <si>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</si>
  <si>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</si>
  <si>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</si>
  <si>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</si>
  <si>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</si>
  <si>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</si>
  <si>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</si>
  <si>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</si>
  <si>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</si>
  <si>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</si>
  <si>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</si>
  <si>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</si>
  <si>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</si>
  <si>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</si>
  <si>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</si>
  <si>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</si>
  <si>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</si>
  <si>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</si>
  <si>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</si>
  <si>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</si>
  <si>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</si>
  <si>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</si>
  <si>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</si>
  <si>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</si>
  <si>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</si>
  <si>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</si>
  <si>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</si>
  <si>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</si>
  <si>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</si>
  <si>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</si>
  <si>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</si>
  <si>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</si>
  <si>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</si>
  <si>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</si>
  <si>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</si>
  <si>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</si>
  <si>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</si>
  <si>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</si>
  <si>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45600055</t>
  </si>
  <si>
    <t>4050 - Substation JO Revenue</t>
  </si>
  <si>
    <t>45600138</t>
  </si>
  <si>
    <t>Sch 139 Green Direct LD Amort UE-200865</t>
  </si>
  <si>
    <t>45600152</t>
  </si>
  <si>
    <t>24M GAAP-E Non-Res 7A, 11, 25, 29, 35&amp;43</t>
  </si>
  <si>
    <t>45600153</t>
  </si>
  <si>
    <t>24M GAAP - E Non-Res 8&amp;24</t>
  </si>
  <si>
    <t>45600324</t>
  </si>
  <si>
    <t>9900-Elec Resid Decoupl GAAP UnearnedRev</t>
  </si>
  <si>
    <t>45600327</t>
  </si>
  <si>
    <t>9900 - Sch12 &amp; 26 GAAP Unearned Rev</t>
  </si>
  <si>
    <t>45600328</t>
  </si>
  <si>
    <t>9900 - Sch 10 &amp; 31 GAAP Unearned Rev</t>
  </si>
  <si>
    <t>45600094</t>
  </si>
  <si>
    <t>PLR EDIT Electric Other Op Rev</t>
  </si>
  <si>
    <t>EV Sch 551/552 ROI Deferral</t>
  </si>
  <si>
    <t>45600157</t>
  </si>
  <si>
    <t>EV Other Rev Sch. 551/552 Deferral</t>
  </si>
  <si>
    <t xml:space="preserve">          Regulatory Acct 9456020</t>
  </si>
  <si>
    <t>K1/001/2021</t>
  </si>
  <si>
    <t>100016191</t>
  </si>
  <si>
    <t>100019697</t>
  </si>
  <si>
    <t>9800000105</t>
  </si>
  <si>
    <t>9800000223</t>
  </si>
  <si>
    <t>K1/002/2021</t>
  </si>
  <si>
    <t>100030175</t>
  </si>
  <si>
    <t>100037473</t>
  </si>
  <si>
    <t>9800000320</t>
  </si>
  <si>
    <t>9800000443</t>
  </si>
  <si>
    <t>K1/003/2021</t>
  </si>
  <si>
    <t>100053525</t>
  </si>
  <si>
    <t>100058614</t>
  </si>
  <si>
    <t>9800000547</t>
  </si>
  <si>
    <t>9800000658</t>
  </si>
  <si>
    <t>K1/004/2021</t>
  </si>
  <si>
    <t>100070990</t>
  </si>
  <si>
    <t>100078275</t>
  </si>
  <si>
    <t>9800000776</t>
  </si>
  <si>
    <t>9800000889</t>
  </si>
  <si>
    <t>K1/005/2021</t>
  </si>
  <si>
    <t>100091729</t>
  </si>
  <si>
    <t>100096353</t>
  </si>
  <si>
    <t>9800000981</t>
  </si>
  <si>
    <t>9800001099</t>
  </si>
  <si>
    <t>K1/006/2021</t>
  </si>
  <si>
    <t>100113020</t>
  </si>
  <si>
    <t>100116972</t>
  </si>
  <si>
    <t>9800001201</t>
  </si>
  <si>
    <t>9800001323</t>
  </si>
  <si>
    <t>K1/007/2021</t>
  </si>
  <si>
    <t>100132217</t>
  </si>
  <si>
    <t>100137257</t>
  </si>
  <si>
    <t>9800001420</t>
  </si>
  <si>
    <t>9800001548</t>
  </si>
  <si>
    <t>K1/008/2021</t>
  </si>
  <si>
    <t>100148405</t>
  </si>
  <si>
    <t>100157079</t>
  </si>
  <si>
    <t>9800001648</t>
  </si>
  <si>
    <t>9800001753</t>
  </si>
  <si>
    <t>K1/009/2021</t>
  </si>
  <si>
    <t>100164839</t>
  </si>
  <si>
    <t>100177162</t>
  </si>
  <si>
    <t>9800001838</t>
  </si>
  <si>
    <t>9800001954</t>
  </si>
  <si>
    <t>K1/010/2021</t>
  </si>
  <si>
    <t>100195718</t>
  </si>
  <si>
    <t>1900030668</t>
  </si>
  <si>
    <t>9800002050</t>
  </si>
  <si>
    <t>9800002161</t>
  </si>
  <si>
    <t>K1/011/2021</t>
  </si>
  <si>
    <t>100202709</t>
  </si>
  <si>
    <t>100209689</t>
  </si>
  <si>
    <t>100214095</t>
  </si>
  <si>
    <t>9800002258</t>
  </si>
  <si>
    <t>9800002368</t>
  </si>
  <si>
    <t>K1/012/2021</t>
  </si>
  <si>
    <t>100229448</t>
  </si>
  <si>
    <t>100233458</t>
  </si>
  <si>
    <t>100233497</t>
  </si>
  <si>
    <t>9800002462</t>
  </si>
  <si>
    <t>9800002590</t>
  </si>
  <si>
    <t>9800000171</t>
  </si>
  <si>
    <t>9800000380</t>
  </si>
  <si>
    <t>9800000598</t>
  </si>
  <si>
    <t>9800000828</t>
  </si>
  <si>
    <t>9800001034</t>
  </si>
  <si>
    <t>9800001262</t>
  </si>
  <si>
    <t>9800001486</t>
  </si>
  <si>
    <t>9800001696</t>
  </si>
  <si>
    <t>9800001891</t>
  </si>
  <si>
    <t>100191075</t>
  </si>
  <si>
    <t>9800002099</t>
  </si>
  <si>
    <t>9800002321</t>
  </si>
  <si>
    <t>9800002537</t>
  </si>
  <si>
    <t>100030174</t>
  </si>
  <si>
    <t>100053524</t>
  </si>
  <si>
    <t>5100018092</t>
  </si>
  <si>
    <t>100070989</t>
  </si>
  <si>
    <t>100091727</t>
  </si>
  <si>
    <t>100091730</t>
  </si>
  <si>
    <t>100100708</t>
  </si>
  <si>
    <t>100113019</t>
  </si>
  <si>
    <t>5100041237</t>
  </si>
  <si>
    <t>100132216</t>
  </si>
  <si>
    <t>100148403</t>
  </si>
  <si>
    <t>100161126</t>
  </si>
  <si>
    <t>100164837</t>
  </si>
  <si>
    <t>100188611</t>
  </si>
  <si>
    <t>100192277</t>
  </si>
  <si>
    <t>100209688</t>
  </si>
  <si>
    <t>100218583</t>
  </si>
  <si>
    <t>100231845</t>
  </si>
  <si>
    <t>Period</t>
  </si>
  <si>
    <t>1</t>
  </si>
  <si>
    <t>2</t>
  </si>
  <si>
    <t>3</t>
  </si>
  <si>
    <t>4</t>
  </si>
  <si>
    <t>5</t>
  </si>
  <si>
    <t>6</t>
  </si>
  <si>
    <t>7</t>
  </si>
  <si>
    <t>190</t>
  </si>
  <si>
    <t>8</t>
  </si>
  <si>
    <t>9</t>
  </si>
  <si>
    <t>10</t>
  </si>
  <si>
    <t>2597</t>
  </si>
  <si>
    <t>100192276</t>
  </si>
  <si>
    <t>11</t>
  </si>
  <si>
    <t>12</t>
  </si>
  <si>
    <t>4404</t>
  </si>
  <si>
    <t xml:space="preserve">1.  Remove True-ups related to Dec 2020 (reported in Jan 2021) </t>
  </si>
  <si>
    <t>2.  Add True-ups related to December 2021 (reported in January 2022)</t>
  </si>
  <si>
    <t>FERC Amount</t>
  </si>
  <si>
    <t>FOR THE TWELVE MONTHS ENDED DEC 31, 2021</t>
  </si>
  <si>
    <t>DECEMBER 2021 CBR</t>
  </si>
  <si>
    <t xml:space="preserve">               Grand Total Other Operating Revenue on Line 2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</si>
</sst>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s>
  <fonts count="47" x14ac:knownFonts="1">
    <font>
      <sz val="9"/>
      <color theme="1"/>
      <name val="Times New Roman"/>
      <family val="2"/>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s>
  <fills count="56">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6C4C4"/>
        <bgColor indexed="64"/>
      </patternFill>
    </fill>
    <fill>
      <patternFill patternType="solid">
        <fgColor rgb="FFE9EEF4"/>
        <bgColor indexed="64"/>
      </patternFill>
    </fill>
    <fill>
      <patternFill patternType="solid">
        <fgColor rgb="FFFFF843"/>
        <bgColor indexed="64"/>
      </patternFill>
    </fill>
  </fills>
  <borders count="40">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AEAEAE"/>
      </left>
      <right style="medium">
        <color rgb="FFAEAEAE"/>
      </right>
      <top style="medium">
        <color rgb="FFAEAEAE"/>
      </top>
      <bottom style="medium">
        <color rgb="FFAEAEAE"/>
      </bottom>
      <diagonal/>
    </border>
    <border>
      <left style="medium">
        <color rgb="FFAEAEAE"/>
      </left>
      <right/>
      <top style="medium">
        <color rgb="FFAEAEAE"/>
      </top>
      <bottom style="medium">
        <color rgb="FFAEAEAE"/>
      </bottom>
      <diagonal/>
    </border>
    <border>
      <left/>
      <right/>
      <top style="medium">
        <color rgb="FFAEAEAE"/>
      </top>
      <bottom style="medium">
        <color rgb="FFAEAEAE"/>
      </bottom>
      <diagonal/>
    </border>
    <border>
      <left/>
      <right style="medium">
        <color rgb="FFAEAEAE"/>
      </right>
      <top style="medium">
        <color rgb="FFAEAEAE"/>
      </top>
      <bottom style="medium">
        <color rgb="FFAEAEAE"/>
      </bottom>
      <diagonal/>
    </border>
  </borders>
  <cellStyleXfs count="105">
    <xf numFmtId="0" fontId="0" fillId="0" borderId="0"/>
    <xf numFmtId="43" fontId="3" fillId="0" borderId="0" applyFont="0" applyFill="0" applyBorder="0" applyAlignment="0" applyProtection="0"/>
    <xf numFmtId="0" fontId="4" fillId="2" borderId="1" applyNumberFormat="0" applyAlignment="0" applyProtection="0">
      <alignment horizontal="left" vertical="center" indent="1"/>
    </xf>
    <xf numFmtId="164" fontId="5" fillId="0" borderId="2" applyNumberFormat="0" applyProtection="0">
      <alignment horizontal="right" vertical="center"/>
    </xf>
    <xf numFmtId="164" fontId="4" fillId="0" borderId="3" applyNumberFormat="0" applyProtection="0">
      <alignment horizontal="right" vertical="center"/>
    </xf>
    <xf numFmtId="164" fontId="5" fillId="3" borderId="1" applyNumberFormat="0" applyAlignment="0" applyProtection="0">
      <alignment horizontal="left" vertical="center" indent="1"/>
    </xf>
    <xf numFmtId="0" fontId="6" fillId="4" borderId="3" applyNumberFormat="0" applyAlignment="0">
      <alignment horizontal="left" vertical="center" indent="1"/>
      <protection locked="0"/>
    </xf>
    <xf numFmtId="0" fontId="6" fillId="5" borderId="3" applyNumberFormat="0" applyAlignment="0" applyProtection="0">
      <alignment horizontal="left" vertical="center" indent="1"/>
    </xf>
    <xf numFmtId="164" fontId="5" fillId="6" borderId="2" applyNumberFormat="0" applyBorder="0">
      <alignment horizontal="right" vertical="center"/>
      <protection locked="0"/>
    </xf>
    <xf numFmtId="0" fontId="6" fillId="4" borderId="3" applyNumberFormat="0" applyAlignment="0">
      <alignment horizontal="left" vertical="center" indent="1"/>
      <protection locked="0"/>
    </xf>
    <xf numFmtId="164" fontId="4" fillId="5" borderId="3" applyNumberFormat="0" applyProtection="0">
      <alignment horizontal="right" vertical="center"/>
    </xf>
    <xf numFmtId="164" fontId="4" fillId="6" borderId="3" applyNumberFormat="0" applyBorder="0">
      <alignment horizontal="right" vertical="center"/>
      <protection locked="0"/>
    </xf>
    <xf numFmtId="164" fontId="7" fillId="7" borderId="4" applyNumberFormat="0" applyBorder="0" applyAlignment="0" applyProtection="0">
      <alignment horizontal="right" vertical="center" indent="1"/>
    </xf>
    <xf numFmtId="164" fontId="8" fillId="8" borderId="4" applyNumberFormat="0" applyBorder="0" applyAlignment="0" applyProtection="0">
      <alignment horizontal="right" vertical="center" indent="1"/>
    </xf>
    <xf numFmtId="164" fontId="8" fillId="9" borderId="4" applyNumberFormat="0" applyBorder="0" applyAlignment="0" applyProtection="0">
      <alignment horizontal="right" vertical="center" indent="1"/>
    </xf>
    <xf numFmtId="164" fontId="9" fillId="10" borderId="4" applyNumberFormat="0" applyBorder="0" applyAlignment="0" applyProtection="0">
      <alignment horizontal="right" vertical="center" indent="1"/>
    </xf>
    <xf numFmtId="164" fontId="9" fillId="11" borderId="4" applyNumberFormat="0" applyBorder="0" applyAlignment="0" applyProtection="0">
      <alignment horizontal="right" vertical="center" indent="1"/>
    </xf>
    <xf numFmtId="164" fontId="9" fillId="12" borderId="4" applyNumberFormat="0" applyBorder="0" applyAlignment="0" applyProtection="0">
      <alignment horizontal="right" vertical="center" indent="1"/>
    </xf>
    <xf numFmtId="164" fontId="10" fillId="13" borderId="4" applyNumberFormat="0" applyBorder="0" applyAlignment="0" applyProtection="0">
      <alignment horizontal="right" vertical="center" indent="1"/>
    </xf>
    <xf numFmtId="164" fontId="10" fillId="14" borderId="4" applyNumberFormat="0" applyBorder="0" applyAlignment="0" applyProtection="0">
      <alignment horizontal="right" vertical="center" indent="1"/>
    </xf>
    <xf numFmtId="164" fontId="10" fillId="15" borderId="4" applyNumberFormat="0" applyBorder="0" applyAlignment="0" applyProtection="0">
      <alignment horizontal="right" vertical="center" indent="1"/>
    </xf>
    <xf numFmtId="0" fontId="12" fillId="0" borderId="1" applyNumberFormat="0" applyFont="0" applyFill="0" applyAlignment="0" applyProtection="0"/>
    <xf numFmtId="164" fontId="13" fillId="3" borderId="0" applyNumberFormat="0" applyAlignment="0" applyProtection="0">
      <alignment horizontal="left" vertical="center" indent="1"/>
    </xf>
    <xf numFmtId="0" fontId="12" fillId="0" borderId="5" applyNumberFormat="0" applyFont="0" applyFill="0" applyAlignment="0" applyProtection="0"/>
    <xf numFmtId="164" fontId="5" fillId="0" borderId="2" applyNumberFormat="0" applyFill="0" applyBorder="0" applyAlignment="0" applyProtection="0">
      <alignment horizontal="right" vertical="center"/>
    </xf>
    <xf numFmtId="164" fontId="5" fillId="3" borderId="1" applyNumberFormat="0" applyAlignment="0" applyProtection="0">
      <alignment horizontal="left" vertical="center" indent="1"/>
    </xf>
    <xf numFmtId="0" fontId="4" fillId="2" borderId="3" applyNumberFormat="0" applyAlignment="0" applyProtection="0">
      <alignment horizontal="left" vertical="center" indent="1"/>
    </xf>
    <xf numFmtId="0" fontId="6" fillId="16" borderId="1" applyNumberFormat="0" applyAlignment="0" applyProtection="0">
      <alignment horizontal="left" vertical="center" indent="1"/>
    </xf>
    <xf numFmtId="0" fontId="6" fillId="17" borderId="1" applyNumberFormat="0" applyAlignment="0" applyProtection="0">
      <alignment horizontal="left" vertical="center" indent="1"/>
    </xf>
    <xf numFmtId="0" fontId="6" fillId="18" borderId="1" applyNumberFormat="0" applyAlignment="0" applyProtection="0">
      <alignment horizontal="left" vertical="center" indent="1"/>
    </xf>
    <xf numFmtId="0" fontId="6" fillId="6" borderId="1" applyNumberFormat="0" applyAlignment="0" applyProtection="0">
      <alignment horizontal="left" vertical="center" indent="1"/>
    </xf>
    <xf numFmtId="0" fontId="6" fillId="5" borderId="3" applyNumberFormat="0" applyAlignment="0" applyProtection="0">
      <alignment horizontal="left" vertical="center" indent="1"/>
    </xf>
    <xf numFmtId="0" fontId="14" fillId="0" borderId="6" applyNumberFormat="0" applyFill="0" applyBorder="0" applyAlignment="0" applyProtection="0"/>
    <xf numFmtId="0" fontId="15" fillId="0" borderId="6" applyNumberFormat="0" applyBorder="0" applyAlignment="0" applyProtection="0"/>
    <xf numFmtId="0" fontId="14" fillId="4" borderId="3" applyNumberFormat="0" applyAlignment="0">
      <alignment horizontal="left" vertical="center" indent="1"/>
      <protection locked="0"/>
    </xf>
    <xf numFmtId="0" fontId="14" fillId="4" borderId="3" applyNumberFormat="0" applyAlignment="0">
      <alignment horizontal="left" vertical="center" indent="1"/>
      <protection locked="0"/>
    </xf>
    <xf numFmtId="0" fontId="14" fillId="5" borderId="3" applyNumberFormat="0" applyAlignment="0" applyProtection="0">
      <alignment horizontal="left" vertical="center" indent="1"/>
    </xf>
    <xf numFmtId="164" fontId="16" fillId="5" borderId="3" applyNumberFormat="0" applyProtection="0">
      <alignment horizontal="right" vertical="center"/>
    </xf>
    <xf numFmtId="164" fontId="17" fillId="6" borderId="2" applyNumberFormat="0" applyBorder="0">
      <alignment horizontal="right" vertical="center"/>
      <protection locked="0"/>
    </xf>
    <xf numFmtId="164" fontId="16" fillId="6" borderId="3" applyNumberFormat="0" applyBorder="0">
      <alignment horizontal="right" vertical="center"/>
      <protection locked="0"/>
    </xf>
    <xf numFmtId="164" fontId="5" fillId="0" borderId="2" applyNumberFormat="0" applyFill="0" applyBorder="0" applyAlignment="0" applyProtection="0">
      <alignment horizontal="right" vertical="center"/>
    </xf>
    <xf numFmtId="0" fontId="18" fillId="0" borderId="0"/>
    <xf numFmtId="43" fontId="18" fillId="0" borderId="0" applyFont="0" applyFill="0" applyBorder="0" applyAlignment="0" applyProtection="0"/>
    <xf numFmtId="0" fontId="18" fillId="0" borderId="0"/>
    <xf numFmtId="43" fontId="20" fillId="0" borderId="0" applyFont="0" applyFill="0" applyBorder="0" applyAlignment="0" applyProtection="0"/>
    <xf numFmtId="0" fontId="20" fillId="0" borderId="0"/>
    <xf numFmtId="44" fontId="20" fillId="0" borderId="0" applyFont="0" applyFill="0" applyBorder="0" applyAlignment="0" applyProtection="0"/>
    <xf numFmtId="0" fontId="18" fillId="0" borderId="0"/>
    <xf numFmtId="0" fontId="23" fillId="0" borderId="0"/>
    <xf numFmtId="0" fontId="32" fillId="0" borderId="0" applyNumberFormat="0" applyFill="0" applyBorder="0" applyAlignment="0" applyProtection="0"/>
    <xf numFmtId="0" fontId="33" fillId="0" borderId="27" applyNumberFormat="0" applyFill="0" applyAlignment="0" applyProtection="0"/>
    <xf numFmtId="0" fontId="34" fillId="0" borderId="28" applyNumberFormat="0" applyFill="0" applyAlignment="0" applyProtection="0"/>
    <xf numFmtId="0" fontId="35" fillId="0" borderId="29" applyNumberFormat="0" applyFill="0" applyAlignment="0" applyProtection="0"/>
    <xf numFmtId="0" fontId="35" fillId="0" borderId="0" applyNumberFormat="0" applyFill="0" applyBorder="0" applyAlignment="0" applyProtection="0"/>
    <xf numFmtId="0" fontId="36" fillId="21" borderId="0" applyNumberFormat="0" applyBorder="0" applyAlignment="0" applyProtection="0"/>
    <xf numFmtId="0" fontId="37" fillId="22" borderId="0" applyNumberFormat="0" applyBorder="0" applyAlignment="0" applyProtection="0"/>
    <xf numFmtId="0" fontId="38" fillId="23" borderId="0" applyNumberFormat="0" applyBorder="0" applyAlignment="0" applyProtection="0"/>
    <xf numFmtId="0" fontId="39" fillId="24" borderId="30" applyNumberFormat="0" applyAlignment="0" applyProtection="0"/>
    <xf numFmtId="0" fontId="40" fillId="25" borderId="31" applyNumberFormat="0" applyAlignment="0" applyProtection="0"/>
    <xf numFmtId="0" fontId="41" fillId="25" borderId="30" applyNumberFormat="0" applyAlignment="0" applyProtection="0"/>
    <xf numFmtId="0" fontId="42" fillId="0" borderId="32" applyNumberFormat="0" applyFill="0" applyAlignment="0" applyProtection="0"/>
    <xf numFmtId="0" fontId="43" fillId="26" borderId="3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0" borderId="35" applyNumberFormat="0" applyFill="0" applyAlignment="0" applyProtection="0"/>
    <xf numFmtId="0" fontId="4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46" fillId="51" borderId="0" applyNumberFormat="0" applyBorder="0" applyAlignment="0" applyProtection="0"/>
    <xf numFmtId="0" fontId="2" fillId="0" borderId="0"/>
    <xf numFmtId="0" fontId="2" fillId="27" borderId="34" applyNumberFormat="0" applyFont="0" applyAlignment="0" applyProtection="0"/>
    <xf numFmtId="0" fontId="1" fillId="0" borderId="0"/>
    <xf numFmtId="0" fontId="1" fillId="27" borderId="34"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cellStyleXfs>
  <cellXfs count="136">
    <xf numFmtId="0" fontId="0" fillId="0" borderId="0" xfId="0"/>
    <xf numFmtId="0" fontId="19" fillId="0" borderId="0" xfId="0" applyFont="1"/>
    <xf numFmtId="43" fontId="11" fillId="0" borderId="9" xfId="1" applyFont="1" applyBorder="1"/>
    <xf numFmtId="43" fontId="11" fillId="0" borderId="10" xfId="1" applyFont="1" applyBorder="1"/>
    <xf numFmtId="0" fontId="11" fillId="0" borderId="12" xfId="0" applyFont="1" applyBorder="1" applyAlignment="1">
      <alignment horizontal="center"/>
    </xf>
    <xf numFmtId="0" fontId="19" fillId="0" borderId="12" xfId="0" applyFont="1" applyFill="1" applyBorder="1" applyAlignment="1">
      <alignment horizontal="center"/>
    </xf>
    <xf numFmtId="0" fontId="19" fillId="0" borderId="7" xfId="0" applyFont="1" applyFill="1" applyBorder="1" applyAlignment="1">
      <alignment horizontal="center"/>
    </xf>
    <xf numFmtId="0" fontId="19" fillId="0" borderId="8" xfId="0" applyFont="1" applyFill="1" applyBorder="1" applyAlignment="1">
      <alignment horizontal="center"/>
    </xf>
    <xf numFmtId="0" fontId="19" fillId="0" borderId="11" xfId="0" applyFont="1" applyFill="1" applyBorder="1" applyAlignment="1">
      <alignment horizontal="center"/>
    </xf>
    <xf numFmtId="0" fontId="11" fillId="0" borderId="0" xfId="0" applyFont="1"/>
    <xf numFmtId="43" fontId="11" fillId="0" borderId="0" xfId="1" applyFont="1"/>
    <xf numFmtId="0" fontId="11" fillId="0" borderId="16" xfId="0" applyFont="1" applyBorder="1"/>
    <xf numFmtId="0" fontId="11" fillId="0" borderId="17" xfId="0" applyFont="1" applyBorder="1"/>
    <xf numFmtId="0" fontId="11" fillId="0" borderId="18" xfId="0" applyFont="1" applyBorder="1"/>
    <xf numFmtId="0" fontId="11" fillId="0" borderId="9" xfId="0" applyFont="1" applyBorder="1"/>
    <xf numFmtId="43" fontId="11" fillId="0" borderId="14" xfId="1" applyFont="1" applyBorder="1"/>
    <xf numFmtId="43" fontId="11" fillId="0" borderId="19" xfId="1" applyFont="1" applyBorder="1"/>
    <xf numFmtId="43" fontId="11" fillId="0" borderId="20" xfId="1" applyFont="1" applyBorder="1"/>
    <xf numFmtId="0" fontId="11" fillId="0" borderId="10" xfId="0" applyFont="1" applyBorder="1"/>
    <xf numFmtId="43" fontId="11" fillId="0" borderId="21" xfId="1" applyFont="1" applyBorder="1"/>
    <xf numFmtId="43" fontId="11" fillId="0" borderId="22" xfId="1" applyFont="1" applyBorder="1"/>
    <xf numFmtId="43" fontId="11" fillId="0" borderId="23" xfId="1" applyFont="1" applyBorder="1"/>
    <xf numFmtId="0" fontId="11" fillId="0" borderId="12" xfId="0" applyFont="1" applyBorder="1"/>
    <xf numFmtId="17" fontId="11" fillId="0" borderId="0" xfId="0" applyNumberFormat="1" applyFont="1"/>
    <xf numFmtId="3" fontId="21" fillId="0" borderId="0" xfId="44" applyNumberFormat="1" applyFont="1" applyFill="1" applyBorder="1" applyAlignment="1"/>
    <xf numFmtId="41" fontId="21" fillId="0" borderId="0" xfId="45" applyNumberFormat="1" applyFont="1" applyFill="1" applyBorder="1"/>
    <xf numFmtId="0" fontId="21" fillId="0" borderId="0" xfId="45" applyFont="1" applyFill="1" applyBorder="1" applyAlignment="1"/>
    <xf numFmtId="0" fontId="22" fillId="0" borderId="24" xfId="45" applyFont="1" applyFill="1" applyBorder="1" applyAlignment="1">
      <alignment horizontal="right"/>
    </xf>
    <xf numFmtId="0" fontId="23" fillId="0" borderId="0" xfId="45" applyFont="1" applyFill="1" applyBorder="1"/>
    <xf numFmtId="0" fontId="20" fillId="0" borderId="0" xfId="45"/>
    <xf numFmtId="3" fontId="22" fillId="0" borderId="0" xfId="44" applyNumberFormat="1" applyFont="1" applyFill="1" applyBorder="1" applyAlignment="1">
      <alignment horizontal="centerContinuous"/>
    </xf>
    <xf numFmtId="3" fontId="21" fillId="0" borderId="0" xfId="44" applyNumberFormat="1" applyFont="1" applyFill="1" applyBorder="1" applyAlignment="1">
      <alignment horizontal="centerContinuous"/>
    </xf>
    <xf numFmtId="41" fontId="21"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2" fillId="0" borderId="0" xfId="45" applyFont="1" applyFill="1" applyBorder="1" applyAlignment="1">
      <alignment horizontal="centerContinuous"/>
    </xf>
    <xf numFmtId="0" fontId="24" fillId="0" borderId="0" xfId="45" applyFont="1" applyFill="1" applyBorder="1" applyAlignment="1">
      <alignment horizontal="centerContinuous"/>
    </xf>
    <xf numFmtId="0" fontId="20" fillId="0" borderId="0" xfId="45" applyAlignment="1">
      <alignment horizontal="centerContinuous"/>
    </xf>
    <xf numFmtId="42" fontId="21" fillId="0" borderId="0" xfId="45" applyNumberFormat="1" applyFont="1" applyFill="1" applyBorder="1" applyAlignment="1">
      <alignment horizontal="centerContinuous"/>
    </xf>
    <xf numFmtId="0" fontId="23" fillId="0" borderId="0" xfId="45" applyFont="1" applyFill="1" applyBorder="1" applyAlignment="1">
      <alignment horizontal="centerContinuous"/>
    </xf>
    <xf numFmtId="0" fontId="22" fillId="0" borderId="0" xfId="45" applyFont="1" applyFill="1" applyBorder="1" applyAlignment="1">
      <alignment horizontal="centerContinuous" vertical="center" wrapText="1"/>
    </xf>
    <xf numFmtId="42" fontId="21" fillId="0" borderId="0" xfId="45" applyNumberFormat="1" applyFont="1" applyFill="1" applyBorder="1"/>
    <xf numFmtId="0" fontId="22" fillId="0" borderId="0" xfId="45" applyFont="1" applyFill="1" applyBorder="1" applyAlignment="1"/>
    <xf numFmtId="0" fontId="22" fillId="0" borderId="0" xfId="45" applyFont="1" applyFill="1" applyBorder="1" applyAlignment="1" applyProtection="1">
      <protection locked="0"/>
    </xf>
    <xf numFmtId="0" fontId="24" fillId="0" borderId="0" xfId="45" applyFont="1" applyFill="1" applyBorder="1"/>
    <xf numFmtId="0" fontId="22" fillId="0" borderId="0" xfId="45" applyFont="1" applyFill="1" applyBorder="1" applyAlignment="1">
      <alignment horizontal="center"/>
    </xf>
    <xf numFmtId="41" fontId="22" fillId="0" borderId="0" xfId="45" applyNumberFormat="1" applyFont="1" applyFill="1" applyBorder="1" applyAlignment="1">
      <alignment horizontal="center"/>
    </xf>
    <xf numFmtId="0" fontId="22" fillId="0" borderId="15" xfId="45" applyFont="1" applyFill="1" applyBorder="1" applyAlignment="1">
      <alignment horizontal="center"/>
    </xf>
    <xf numFmtId="0" fontId="22" fillId="0" borderId="15" xfId="45" applyFont="1" applyFill="1" applyBorder="1" applyAlignment="1" applyProtection="1">
      <protection locked="0"/>
    </xf>
    <xf numFmtId="41" fontId="22" fillId="0" borderId="15" xfId="45" applyNumberFormat="1" applyFont="1" applyFill="1" applyBorder="1" applyAlignment="1">
      <alignment horizontal="center"/>
    </xf>
    <xf numFmtId="0" fontId="21" fillId="0" borderId="0" xfId="45" applyFont="1" applyFill="1" applyBorder="1"/>
    <xf numFmtId="0" fontId="21" fillId="0" borderId="0" xfId="45" applyFont="1" applyFill="1" applyBorder="1" applyAlignment="1">
      <alignment horizontal="center"/>
    </xf>
    <xf numFmtId="0" fontId="21" fillId="0" borderId="0" xfId="46" applyNumberFormat="1" applyFont="1" applyFill="1" applyBorder="1" applyAlignment="1" applyProtection="1">
      <protection locked="0"/>
    </xf>
    <xf numFmtId="165" fontId="21" fillId="0" borderId="0" xfId="45" applyNumberFormat="1" applyFont="1" applyFill="1" applyBorder="1"/>
    <xf numFmtId="0" fontId="21" fillId="0" borderId="0" xfId="45" applyNumberFormat="1" applyFont="1" applyFill="1" applyBorder="1" applyAlignment="1" applyProtection="1">
      <protection locked="0"/>
    </xf>
    <xf numFmtId="41" fontId="21" fillId="0" borderId="15" xfId="45" applyNumberFormat="1" applyFont="1" applyFill="1" applyBorder="1"/>
    <xf numFmtId="165" fontId="21" fillId="0" borderId="15" xfId="45" applyNumberFormat="1" applyFont="1" applyFill="1" applyBorder="1"/>
    <xf numFmtId="41" fontId="21" fillId="0" borderId="0" xfId="46" applyNumberFormat="1" applyFont="1" applyFill="1" applyBorder="1" applyProtection="1">
      <protection locked="0"/>
    </xf>
    <xf numFmtId="165" fontId="24" fillId="0" borderId="0" xfId="45" applyNumberFormat="1" applyFont="1" applyFill="1" applyBorder="1"/>
    <xf numFmtId="0" fontId="21" fillId="0" borderId="0" xfId="45" applyFont="1" applyFill="1" applyBorder="1" applyAlignment="1">
      <alignment horizontal="left"/>
    </xf>
    <xf numFmtId="41" fontId="21" fillId="0" borderId="0" xfId="45" applyNumberFormat="1" applyFont="1" applyFill="1" applyBorder="1" applyAlignment="1"/>
    <xf numFmtId="9" fontId="21" fillId="0" borderId="0" xfId="45" applyNumberFormat="1" applyFont="1" applyFill="1" applyBorder="1" applyAlignment="1">
      <alignment horizontal="center"/>
    </xf>
    <xf numFmtId="41" fontId="21" fillId="0" borderId="0" xfId="45" applyNumberFormat="1" applyFont="1" applyFill="1" applyBorder="1" applyAlignment="1" applyProtection="1">
      <protection locked="0"/>
    </xf>
    <xf numFmtId="42" fontId="21" fillId="0" borderId="25" xfId="45" applyNumberFormat="1" applyFont="1" applyFill="1" applyBorder="1" applyAlignment="1"/>
    <xf numFmtId="0" fontId="20" fillId="0" borderId="0" xfId="45" applyFill="1"/>
    <xf numFmtId="165" fontId="21" fillId="0" borderId="0" xfId="44" applyNumberFormat="1" applyFont="1" applyFill="1" applyBorder="1"/>
    <xf numFmtId="166" fontId="0" fillId="0" borderId="0" xfId="44" applyNumberFormat="1" applyFont="1" applyFill="1"/>
    <xf numFmtId="165" fontId="21" fillId="0" borderId="15" xfId="44" applyNumberFormat="1" applyFont="1" applyFill="1" applyBorder="1"/>
    <xf numFmtId="165" fontId="21" fillId="0" borderId="0" xfId="44" applyNumberFormat="1" applyFont="1" applyFill="1" applyBorder="1" applyProtection="1">
      <protection locked="0"/>
    </xf>
    <xf numFmtId="165" fontId="24" fillId="0" borderId="0" xfId="44" applyNumberFormat="1" applyFont="1" applyFill="1" applyBorder="1"/>
    <xf numFmtId="166" fontId="0" fillId="0" borderId="0" xfId="44" applyNumberFormat="1" applyFont="1"/>
    <xf numFmtId="165" fontId="21" fillId="0" borderId="0" xfId="44" applyNumberFormat="1" applyFont="1" applyFill="1" applyBorder="1" applyAlignment="1"/>
    <xf numFmtId="165" fontId="21" fillId="0" borderId="0" xfId="44" applyNumberFormat="1" applyFont="1" applyFill="1" applyBorder="1" applyAlignment="1" applyProtection="1">
      <protection locked="0"/>
    </xf>
    <xf numFmtId="165" fontId="21" fillId="0" borderId="25" xfId="44" applyNumberFormat="1" applyFont="1" applyFill="1" applyBorder="1" applyAlignment="1"/>
    <xf numFmtId="166" fontId="21" fillId="0" borderId="0" xfId="44" applyNumberFormat="1" applyFont="1" applyFill="1" applyBorder="1"/>
    <xf numFmtId="166" fontId="24" fillId="0" borderId="0" xfId="44" applyNumberFormat="1" applyFont="1" applyFill="1" applyBorder="1"/>
    <xf numFmtId="0" fontId="25" fillId="20" borderId="0" xfId="41" applyFont="1" applyFill="1" applyAlignment="1">
      <alignment vertical="top"/>
    </xf>
    <xf numFmtId="0" fontId="19" fillId="20" borderId="0" xfId="0" applyFont="1" applyFill="1"/>
    <xf numFmtId="0" fontId="26" fillId="0" borderId="0" xfId="45" applyFont="1" applyFill="1" applyAlignment="1">
      <alignment horizontal="centerContinuous"/>
    </xf>
    <xf numFmtId="0" fontId="20" fillId="0" borderId="0" xfId="45" applyFill="1" applyAlignment="1">
      <alignment horizontal="centerContinuous"/>
    </xf>
    <xf numFmtId="0" fontId="20" fillId="0" borderId="0" xfId="45" applyFill="1" applyAlignment="1"/>
    <xf numFmtId="0" fontId="20" fillId="0" borderId="0" xfId="45" applyFill="1" applyAlignment="1">
      <alignment horizontal="left"/>
    </xf>
    <xf numFmtId="0" fontId="20" fillId="0" borderId="0" xfId="45" applyFill="1" applyAlignment="1">
      <alignment horizontal="center"/>
    </xf>
    <xf numFmtId="0" fontId="27" fillId="0" borderId="0" xfId="47" applyFont="1" applyFill="1" applyAlignment="1">
      <alignment horizontal="right"/>
    </xf>
    <xf numFmtId="42" fontId="27" fillId="0" borderId="13" xfId="47" applyNumberFormat="1" applyFont="1" applyFill="1" applyBorder="1" applyProtection="1">
      <protection locked="0"/>
    </xf>
    <xf numFmtId="0" fontId="27" fillId="0" borderId="13" xfId="47" applyFont="1" applyFill="1" applyBorder="1" applyAlignment="1" applyProtection="1">
      <alignment horizontal="center"/>
      <protection locked="0"/>
    </xf>
    <xf numFmtId="0" fontId="26" fillId="0" borderId="0" xfId="45" applyFont="1" applyFill="1"/>
    <xf numFmtId="167" fontId="27" fillId="0" borderId="26" xfId="47" applyNumberFormat="1" applyFont="1" applyFill="1" applyBorder="1"/>
    <xf numFmtId="167" fontId="27" fillId="0" borderId="11" xfId="47" applyNumberFormat="1" applyFont="1" applyFill="1" applyBorder="1"/>
    <xf numFmtId="0" fontId="27" fillId="0" borderId="14" xfId="47" applyFont="1" applyFill="1" applyBorder="1"/>
    <xf numFmtId="0" fontId="20" fillId="0" borderId="0" xfId="45" applyFill="1" applyAlignment="1">
      <alignment horizontal="right"/>
    </xf>
    <xf numFmtId="167" fontId="27" fillId="0" borderId="13" xfId="47" applyNumberFormat="1" applyFont="1" applyFill="1" applyBorder="1" applyAlignment="1">
      <alignment horizontal="center"/>
    </xf>
    <xf numFmtId="167" fontId="27" fillId="0" borderId="13" xfId="47" applyNumberFormat="1" applyFont="1" applyFill="1" applyBorder="1"/>
    <xf numFmtId="44" fontId="27" fillId="0" borderId="13" xfId="47" applyNumberFormat="1" applyFont="1" applyFill="1" applyBorder="1"/>
    <xf numFmtId="0" fontId="30" fillId="0" borderId="13" xfId="47" applyFont="1" applyFill="1" applyBorder="1" applyAlignment="1">
      <alignment horizontal="center"/>
    </xf>
    <xf numFmtId="0" fontId="31" fillId="0" borderId="13" xfId="47" applyFont="1" applyFill="1" applyBorder="1" applyAlignment="1">
      <alignment horizontal="center"/>
    </xf>
    <xf numFmtId="44" fontId="27" fillId="0" borderId="13" xfId="47" applyNumberFormat="1" applyFont="1" applyFill="1" applyBorder="1" applyProtection="1">
      <protection locked="0"/>
    </xf>
    <xf numFmtId="1" fontId="27" fillId="0" borderId="13" xfId="47" applyNumberFormat="1" applyFont="1" applyFill="1" applyBorder="1" applyProtection="1">
      <protection locked="0"/>
    </xf>
    <xf numFmtId="43" fontId="0" fillId="0" borderId="0" xfId="44" applyFont="1" applyFill="1"/>
    <xf numFmtId="0" fontId="20" fillId="0" borderId="0" xfId="45" applyFill="1" applyAlignment="1">
      <alignment wrapText="1"/>
    </xf>
    <xf numFmtId="43" fontId="26" fillId="0" borderId="0" xfId="44" applyFont="1" applyFill="1"/>
    <xf numFmtId="168" fontId="27" fillId="0" borderId="0" xfId="48" applyNumberFormat="1" applyFont="1" applyFill="1" applyAlignment="1">
      <alignment horizontal="left"/>
    </xf>
    <xf numFmtId="165" fontId="11" fillId="0" borderId="0" xfId="44" applyNumberFormat="1" applyFont="1" applyFill="1" applyAlignment="1">
      <alignment horizontal="right"/>
    </xf>
    <xf numFmtId="165" fontId="20" fillId="0" borderId="25" xfId="45" applyNumberFormat="1" applyFill="1" applyBorder="1"/>
    <xf numFmtId="0" fontId="20" fillId="0" borderId="0" xfId="45" applyFill="1" applyBorder="1"/>
    <xf numFmtId="43" fontId="11" fillId="19" borderId="0" xfId="1" applyFont="1" applyFill="1"/>
    <xf numFmtId="49" fontId="2" fillId="53" borderId="36" xfId="89" applyNumberFormat="1" applyFill="1" applyBorder="1" applyAlignment="1">
      <alignment horizontal="right" vertical="center" wrapText="1"/>
    </xf>
    <xf numFmtId="49" fontId="12" fillId="53" borderId="36" xfId="89" applyNumberFormat="1" applyFont="1" applyFill="1" applyBorder="1" applyAlignment="1">
      <alignment horizontal="right" vertical="center" wrapText="1"/>
    </xf>
    <xf numFmtId="49" fontId="12" fillId="53" borderId="36" xfId="89" applyNumberFormat="1" applyFont="1" applyFill="1" applyBorder="1" applyAlignment="1">
      <alignment horizontal="left" vertical="center" wrapText="1"/>
    </xf>
    <xf numFmtId="169" fontId="12" fillId="52" borderId="36" xfId="89" applyNumberFormat="1" applyFont="1" applyFill="1" applyBorder="1" applyAlignment="1">
      <alignment horizontal="right" vertical="center" wrapText="1"/>
    </xf>
    <xf numFmtId="169" fontId="12" fillId="54" borderId="36" xfId="89" applyNumberFormat="1" applyFont="1" applyFill="1" applyBorder="1" applyAlignment="1">
      <alignment horizontal="right" vertical="center" wrapText="1"/>
    </xf>
    <xf numFmtId="43" fontId="11" fillId="0" borderId="0" xfId="1" applyFont="1" applyFill="1"/>
    <xf numFmtId="49" fontId="12" fillId="53" borderId="36" xfId="91" applyNumberFormat="1" applyFont="1" applyFill="1" applyBorder="1" applyAlignment="1">
      <alignment horizontal="right" vertical="center" wrapText="1"/>
    </xf>
    <xf numFmtId="49" fontId="12" fillId="53" borderId="36" xfId="91" applyNumberFormat="1" applyFont="1" applyFill="1" applyBorder="1" applyAlignment="1">
      <alignment horizontal="left" vertical="center" wrapText="1"/>
    </xf>
    <xf numFmtId="169" fontId="12" fillId="52" borderId="36" xfId="91" applyNumberFormat="1" applyFont="1" applyFill="1" applyBorder="1" applyAlignment="1">
      <alignment horizontal="right" vertical="center" wrapText="1"/>
    </xf>
    <xf numFmtId="169" fontId="12" fillId="54" borderId="36" xfId="91" applyNumberFormat="1" applyFont="1" applyFill="1" applyBorder="1" applyAlignment="1">
      <alignment horizontal="right" vertical="center" wrapText="1"/>
    </xf>
    <xf numFmtId="49" fontId="12" fillId="55" borderId="36" xfId="91" applyNumberFormat="1" applyFont="1" applyFill="1" applyBorder="1" applyAlignment="1">
      <alignment horizontal="left" vertical="center" wrapText="1"/>
    </xf>
    <xf numFmtId="169" fontId="12" fillId="55" borderId="36" xfId="91" applyNumberFormat="1" applyFont="1" applyFill="1" applyBorder="1" applyAlignment="1">
      <alignment horizontal="right" vertical="center" wrapText="1"/>
    </xf>
    <xf numFmtId="49" fontId="12" fillId="53" borderId="36" xfId="91" applyNumberFormat="1" applyFont="1" applyFill="1" applyBorder="1" applyAlignment="1">
      <alignment horizontal="left" vertical="center" wrapText="1"/>
    </xf>
    <xf numFmtId="169" fontId="12" fillId="52" borderId="36" xfId="91" applyNumberFormat="1" applyFont="1" applyFill="1" applyBorder="1" applyAlignment="1">
      <alignment horizontal="right" vertical="center" wrapText="1"/>
    </xf>
    <xf numFmtId="169" fontId="12" fillId="54" borderId="36" xfId="91" applyNumberFormat="1" applyFont="1" applyFill="1" applyBorder="1" applyAlignment="1">
      <alignment horizontal="right" vertical="center" wrapText="1"/>
    </xf>
    <xf numFmtId="169" fontId="12" fillId="55" borderId="36" xfId="91" applyNumberFormat="1" applyFont="1" applyFill="1" applyBorder="1" applyAlignment="1">
      <alignment horizontal="right" vertical="center" wrapText="1"/>
    </xf>
    <xf numFmtId="10" fontId="19" fillId="0" borderId="0" xfId="0" applyNumberFormat="1" applyFont="1" applyFill="1"/>
    <xf numFmtId="0" fontId="19" fillId="0" borderId="9" xfId="0" applyFont="1" applyFill="1" applyBorder="1" applyAlignment="1">
      <alignment horizontal="center"/>
    </xf>
    <xf numFmtId="0" fontId="19" fillId="0" borderId="10" xfId="0" applyFont="1" applyFill="1" applyBorder="1" applyAlignment="1">
      <alignment horizontal="center"/>
    </xf>
    <xf numFmtId="49" fontId="2" fillId="53" borderId="37" xfId="89" applyNumberFormat="1" applyFill="1" applyBorder="1" applyAlignment="1">
      <alignment horizontal="left" vertical="center" wrapText="1"/>
    </xf>
    <xf numFmtId="49" fontId="2" fillId="53" borderId="38" xfId="89" applyNumberFormat="1" applyFill="1" applyBorder="1" applyAlignment="1">
      <alignment horizontal="left" vertical="center" wrapText="1"/>
    </xf>
    <xf numFmtId="49" fontId="2" fillId="53" borderId="39" xfId="89" applyNumberFormat="1" applyFill="1" applyBorder="1" applyAlignment="1">
      <alignment horizontal="left" vertical="center" wrapText="1"/>
    </xf>
    <xf numFmtId="49" fontId="12" fillId="53" borderId="37" xfId="89" applyNumberFormat="1" applyFont="1" applyFill="1" applyBorder="1" applyAlignment="1">
      <alignment horizontal="left" vertical="center" wrapText="1"/>
    </xf>
    <xf numFmtId="49" fontId="12" fillId="53" borderId="39" xfId="89" applyNumberFormat="1" applyFont="1" applyFill="1" applyBorder="1" applyAlignment="1">
      <alignment horizontal="left" vertical="center" wrapText="1"/>
    </xf>
    <xf numFmtId="49" fontId="12" fillId="55" borderId="37" xfId="91" applyNumberFormat="1" applyFont="1" applyFill="1" applyBorder="1" applyAlignment="1">
      <alignment horizontal="left" vertical="center" wrapText="1"/>
    </xf>
    <xf numFmtId="49" fontId="12" fillId="55" borderId="38" xfId="91" applyNumberFormat="1" applyFont="1" applyFill="1" applyBorder="1" applyAlignment="1">
      <alignment horizontal="left" vertical="center" wrapText="1"/>
    </xf>
    <xf numFmtId="49" fontId="12" fillId="55" borderId="39" xfId="91" applyNumberFormat="1" applyFont="1" applyFill="1" applyBorder="1" applyAlignment="1">
      <alignment horizontal="left" vertical="center" wrapText="1"/>
    </xf>
    <xf numFmtId="49" fontId="1" fillId="53" borderId="37" xfId="91" applyNumberFormat="1" applyFill="1" applyBorder="1" applyAlignment="1">
      <alignment horizontal="left" vertical="center" wrapText="1"/>
    </xf>
    <xf numFmtId="49" fontId="1" fillId="53" borderId="39" xfId="91" applyNumberFormat="1" applyFill="1" applyBorder="1" applyAlignment="1">
      <alignment horizontal="left" vertical="center" wrapText="1"/>
    </xf>
    <xf numFmtId="49" fontId="12" fillId="53" borderId="37" xfId="91" applyNumberFormat="1" applyFont="1" applyFill="1" applyBorder="1" applyAlignment="1">
      <alignment horizontal="left" vertical="center" wrapText="1"/>
    </xf>
    <xf numFmtId="49" fontId="12" fillId="53" borderId="39" xfId="91" applyNumberFormat="1" applyFont="1" applyFill="1" applyBorder="1" applyAlignment="1">
      <alignment horizontal="left" vertical="center" wrapText="1"/>
    </xf>
  </cellXfs>
  <cellStyles count="105">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218</xdr:row>
      <xdr:rowOff>53339</xdr:rowOff>
    </xdr:from>
    <xdr:to>
      <xdr:col>11</xdr:col>
      <xdr:colOff>641760</xdr:colOff>
      <xdr:row>259</xdr:row>
      <xdr:rowOff>114300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33246059"/>
          <a:ext cx="10966860" cy="5996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20Allocation%20Method%20CBR%20Dec%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0Income%20Statement%20Dec%202021%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E &amp; G RB"/>
      <sheetName val="2021 Dec BS"/>
      <sheetName val="2021 Dec IS "/>
      <sheetName val="SAP DL Downld"/>
      <sheetName val="Meter Count"/>
      <sheetName val="Electric"/>
      <sheetName val="Gas"/>
      <sheetName val="Combined-2021"/>
      <sheetName val="DLReconBBS"/>
      <sheetName val="Elect. Customer Counts Pg 10a "/>
      <sheetName val="Gas Customer Counts Pg 10b"/>
    </sheetNames>
    <sheetDataSet>
      <sheetData sheetId="0">
        <row r="35">
          <cell r="E35">
            <v>0.65980000000000005</v>
          </cell>
          <cell r="F35">
            <v>0.3402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Journal Report 475,482,483,488,"/>
      <sheetName val="==&gt;"/>
      <sheetName val="Allocators (CBR)"/>
      <sheetName val="FM"/>
      <sheetName val="December YTD"/>
    </sheetNames>
    <sheetDataSet>
      <sheetData sheetId="0"/>
      <sheetData sheetId="1">
        <row r="9">
          <cell r="B9">
            <v>2356568375.2400002</v>
          </cell>
          <cell r="C9">
            <v>1055975870.63</v>
          </cell>
        </row>
      </sheetData>
      <sheetData sheetId="2">
        <row r="29">
          <cell r="G29">
            <v>-2300.27</v>
          </cell>
        </row>
        <row r="30">
          <cell r="G30">
            <v>15612318.02</v>
          </cell>
        </row>
        <row r="31">
          <cell r="G31">
            <v>18912458.850000001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13" sqref="D13"/>
    </sheetView>
  </sheetViews>
  <sheetFormatPr defaultRowHeight="14.4" x14ac:dyDescent="0.3"/>
  <cols>
    <col min="1" max="1" width="9.140625" style="29"/>
    <col min="2" max="2" width="72.85546875" style="29" customWidth="1"/>
    <col min="3" max="3" width="15.85546875" style="29" bestFit="1" customWidth="1"/>
    <col min="4" max="4" width="18.42578125" style="29" bestFit="1" customWidth="1"/>
    <col min="5" max="5" width="17.42578125" style="29" bestFit="1" customWidth="1"/>
    <col min="6" max="16384" width="9.140625" style="29"/>
  </cols>
  <sheetData>
    <row r="1" spans="1:6" ht="15.6" thickTop="1" thickBot="1" x14ac:dyDescent="0.35">
      <c r="A1" s="24"/>
      <c r="B1" s="24"/>
      <c r="C1" s="25"/>
      <c r="D1" s="26"/>
      <c r="E1" s="27" t="s">
        <v>102</v>
      </c>
      <c r="F1" s="28"/>
    </row>
    <row r="2" spans="1:6" ht="15" thickTop="1" x14ac:dyDescent="0.3">
      <c r="A2" s="30" t="s">
        <v>103</v>
      </c>
      <c r="B2" s="31"/>
      <c r="C2" s="32"/>
      <c r="D2" s="33"/>
      <c r="E2" s="34"/>
      <c r="F2" s="28"/>
    </row>
    <row r="3" spans="1:6" x14ac:dyDescent="0.3">
      <c r="A3" s="34" t="s">
        <v>104</v>
      </c>
      <c r="B3" s="34"/>
      <c r="C3" s="32"/>
      <c r="D3" s="35"/>
      <c r="E3" s="36"/>
      <c r="F3" s="28"/>
    </row>
    <row r="4" spans="1:6" x14ac:dyDescent="0.3">
      <c r="A4" s="30" t="s">
        <v>330</v>
      </c>
      <c r="B4" s="31"/>
      <c r="C4" s="37"/>
      <c r="D4" s="38"/>
      <c r="E4" s="38"/>
      <c r="F4" s="28"/>
    </row>
    <row r="5" spans="1:6" x14ac:dyDescent="0.3">
      <c r="A5" s="30" t="s">
        <v>331</v>
      </c>
      <c r="B5" s="39"/>
      <c r="C5" s="37"/>
      <c r="D5" s="38"/>
      <c r="E5" s="38"/>
      <c r="F5" s="28"/>
    </row>
    <row r="6" spans="1:6" x14ac:dyDescent="0.3">
      <c r="A6" s="24"/>
      <c r="B6" s="39"/>
      <c r="C6" s="40"/>
      <c r="D6" s="28"/>
      <c r="E6" s="28"/>
      <c r="F6" s="28"/>
    </row>
    <row r="7" spans="1:6" x14ac:dyDescent="0.3">
      <c r="A7" s="24"/>
      <c r="B7" s="39"/>
      <c r="C7" s="40"/>
      <c r="D7" s="28"/>
      <c r="E7" s="28"/>
      <c r="F7" s="28"/>
    </row>
    <row r="8" spans="1:6" x14ac:dyDescent="0.3">
      <c r="A8" s="41"/>
      <c r="B8" s="42"/>
      <c r="C8" s="25"/>
      <c r="D8" s="43"/>
      <c r="E8" s="43"/>
      <c r="F8" s="28"/>
    </row>
    <row r="9" spans="1:6" x14ac:dyDescent="0.3">
      <c r="A9" s="44" t="s">
        <v>105</v>
      </c>
      <c r="B9" s="41"/>
      <c r="C9" s="45"/>
      <c r="D9" s="43"/>
      <c r="E9" s="43"/>
      <c r="F9" s="28"/>
    </row>
    <row r="10" spans="1:6" x14ac:dyDescent="0.3">
      <c r="A10" s="46" t="s">
        <v>106</v>
      </c>
      <c r="B10" s="47" t="s">
        <v>107</v>
      </c>
      <c r="C10" s="48" t="s">
        <v>108</v>
      </c>
      <c r="D10" s="46" t="s">
        <v>109</v>
      </c>
      <c r="E10" s="46" t="s">
        <v>110</v>
      </c>
      <c r="F10" s="28"/>
    </row>
    <row r="11" spans="1:6" x14ac:dyDescent="0.3">
      <c r="A11" s="26"/>
      <c r="B11" s="26"/>
      <c r="C11" s="25"/>
      <c r="D11" s="43"/>
      <c r="E11" s="49"/>
      <c r="F11" s="28"/>
    </row>
    <row r="12" spans="1:6" x14ac:dyDescent="0.3">
      <c r="A12" s="50">
        <v>1</v>
      </c>
      <c r="B12" s="51" t="s">
        <v>111</v>
      </c>
      <c r="C12" s="25">
        <f>'Excise Tax '!F213</f>
        <v>95696095.839868039</v>
      </c>
      <c r="D12" s="52">
        <f>'Excise Tax '!J213</f>
        <v>95693556.929274037</v>
      </c>
      <c r="E12" s="52">
        <f>D12-C12</f>
        <v>-2538.9105940014124</v>
      </c>
      <c r="F12" s="28"/>
    </row>
    <row r="13" spans="1:6" x14ac:dyDescent="0.3">
      <c r="A13" s="50">
        <v>2</v>
      </c>
      <c r="B13" s="53" t="s">
        <v>112</v>
      </c>
      <c r="C13" s="54">
        <f>'Filing Fees'!D15</f>
        <v>4843879.99</v>
      </c>
      <c r="D13" s="55">
        <f>'E Filing Fee Restated'!F38</f>
        <v>4871940.5480600009</v>
      </c>
      <c r="E13" s="55">
        <f>D13-C13</f>
        <v>28060.558060000651</v>
      </c>
      <c r="F13" s="28"/>
    </row>
    <row r="14" spans="1:6" x14ac:dyDescent="0.3">
      <c r="A14" s="50">
        <v>3</v>
      </c>
      <c r="B14" s="51" t="s">
        <v>113</v>
      </c>
      <c r="C14" s="56">
        <f>C12+C13</f>
        <v>100539975.82986803</v>
      </c>
      <c r="D14" s="56">
        <f>D12+D13</f>
        <v>100565497.47733404</v>
      </c>
      <c r="E14" s="56">
        <f>E12+E13</f>
        <v>25521.647465999238</v>
      </c>
      <c r="F14" s="28"/>
    </row>
    <row r="15" spans="1:6" x14ac:dyDescent="0.3">
      <c r="A15" s="50">
        <v>4</v>
      </c>
      <c r="B15" s="51"/>
      <c r="C15" s="25"/>
      <c r="D15" s="57"/>
      <c r="E15" s="57"/>
      <c r="F15" s="28"/>
    </row>
    <row r="16" spans="1:6" x14ac:dyDescent="0.3">
      <c r="A16" s="50">
        <v>5</v>
      </c>
      <c r="B16" s="58" t="s">
        <v>114</v>
      </c>
      <c r="C16" s="25"/>
      <c r="D16" s="57"/>
      <c r="E16" s="59">
        <f>E14</f>
        <v>25521.647465999238</v>
      </c>
      <c r="F16" s="28"/>
    </row>
    <row r="17" spans="1:6" x14ac:dyDescent="0.3">
      <c r="A17" s="50">
        <v>6</v>
      </c>
      <c r="B17" s="58" t="s">
        <v>115</v>
      </c>
      <c r="C17" s="60">
        <v>0.21</v>
      </c>
      <c r="D17" s="57"/>
      <c r="E17" s="61">
        <f>ROUND(-E16*C17,0)</f>
        <v>-5360</v>
      </c>
      <c r="F17" s="28"/>
    </row>
    <row r="18" spans="1:6" ht="15" thickBot="1" x14ac:dyDescent="0.35">
      <c r="A18" s="50">
        <v>7</v>
      </c>
      <c r="B18" s="58" t="s">
        <v>116</v>
      </c>
      <c r="C18" s="25"/>
      <c r="D18" s="57"/>
      <c r="E18" s="62">
        <f>-E16-E17</f>
        <v>-20161.647465999238</v>
      </c>
      <c r="F18" s="28"/>
    </row>
    <row r="19" spans="1:6" ht="15" thickTop="1" x14ac:dyDescent="0.3">
      <c r="A19" s="50"/>
      <c r="B19" s="24"/>
      <c r="C19" s="25"/>
      <c r="D19" s="43"/>
      <c r="E19" s="43"/>
      <c r="F19" s="28"/>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D13" sqref="D13"/>
    </sheetView>
  </sheetViews>
  <sheetFormatPr defaultRowHeight="14.4" x14ac:dyDescent="0.3"/>
  <cols>
    <col min="1" max="1" width="9.140625" style="29"/>
    <col min="2" max="2" width="60.5703125" style="29" bestFit="1" customWidth="1"/>
    <col min="3" max="4" width="16.5703125" style="29" bestFit="1" customWidth="1"/>
    <col min="5" max="5" width="17.28515625" style="29" bestFit="1" customWidth="1"/>
    <col min="6" max="16384" width="9.140625" style="29"/>
  </cols>
  <sheetData>
    <row r="1" spans="1:6" ht="15.6" thickTop="1" thickBot="1" x14ac:dyDescent="0.35">
      <c r="A1" s="24"/>
      <c r="B1" s="24"/>
      <c r="C1" s="25"/>
      <c r="D1" s="26"/>
      <c r="E1" s="27" t="s">
        <v>117</v>
      </c>
    </row>
    <row r="2" spans="1:6" ht="15" thickTop="1" x14ac:dyDescent="0.3">
      <c r="A2" s="30" t="s">
        <v>118</v>
      </c>
      <c r="B2" s="31"/>
      <c r="C2" s="32"/>
      <c r="D2" s="33"/>
      <c r="E2" s="34"/>
    </row>
    <row r="3" spans="1:6" x14ac:dyDescent="0.3">
      <c r="A3" s="34" t="s">
        <v>104</v>
      </c>
      <c r="B3" s="34"/>
      <c r="C3" s="32"/>
      <c r="D3" s="35"/>
      <c r="E3" s="36"/>
    </row>
    <row r="4" spans="1:6" x14ac:dyDescent="0.3">
      <c r="A4" s="30" t="str">
        <f>'Lead E'!A4</f>
        <v>FOR THE TWELVE MONTHS ENDED DEC 31, 2021</v>
      </c>
      <c r="B4" s="31"/>
      <c r="C4" s="37"/>
      <c r="D4" s="38"/>
      <c r="E4" s="38"/>
    </row>
    <row r="5" spans="1:6" x14ac:dyDescent="0.3">
      <c r="A5" s="30" t="str">
        <f>'Lead E'!A5</f>
        <v>DECEMBER 2021 CBR</v>
      </c>
      <c r="B5" s="39"/>
      <c r="C5" s="37"/>
      <c r="D5" s="38"/>
      <c r="E5" s="38"/>
    </row>
    <row r="6" spans="1:6" x14ac:dyDescent="0.3">
      <c r="A6" s="24"/>
      <c r="B6" s="39"/>
      <c r="C6" s="40"/>
      <c r="D6" s="28"/>
      <c r="E6" s="28"/>
    </row>
    <row r="7" spans="1:6" x14ac:dyDescent="0.3">
      <c r="A7" s="24"/>
      <c r="B7" s="39"/>
      <c r="C7" s="40"/>
      <c r="D7" s="28"/>
      <c r="E7" s="28"/>
    </row>
    <row r="8" spans="1:6" x14ac:dyDescent="0.3">
      <c r="A8" s="41"/>
      <c r="B8" s="42"/>
      <c r="C8" s="25"/>
      <c r="D8" s="43"/>
      <c r="E8" s="43"/>
    </row>
    <row r="9" spans="1:6" x14ac:dyDescent="0.3">
      <c r="A9" s="44" t="s">
        <v>105</v>
      </c>
      <c r="B9" s="41"/>
      <c r="C9" s="45"/>
      <c r="D9" s="43"/>
      <c r="E9" s="43"/>
    </row>
    <row r="10" spans="1:6" x14ac:dyDescent="0.3">
      <c r="A10" s="46" t="s">
        <v>106</v>
      </c>
      <c r="B10" s="47" t="s">
        <v>107</v>
      </c>
      <c r="C10" s="48" t="s">
        <v>108</v>
      </c>
      <c r="D10" s="46" t="s">
        <v>109</v>
      </c>
      <c r="E10" s="46" t="s">
        <v>110</v>
      </c>
    </row>
    <row r="11" spans="1:6" x14ac:dyDescent="0.3">
      <c r="A11" s="26"/>
      <c r="B11" s="26"/>
      <c r="C11" s="25"/>
      <c r="D11" s="43"/>
      <c r="E11" s="49"/>
      <c r="F11" s="63"/>
    </row>
    <row r="12" spans="1:6" x14ac:dyDescent="0.3">
      <c r="A12" s="50">
        <v>1</v>
      </c>
      <c r="B12" s="51" t="s">
        <v>111</v>
      </c>
      <c r="C12" s="64">
        <f>'Excise Tax '!G213</f>
        <v>41851147.130132012</v>
      </c>
      <c r="D12" s="64">
        <f>'Excise Tax '!K213</f>
        <v>41852472.290726013</v>
      </c>
      <c r="E12" s="64">
        <f>D12-C12</f>
        <v>1325.1605940014124</v>
      </c>
      <c r="F12" s="65"/>
    </row>
    <row r="13" spans="1:6" x14ac:dyDescent="0.3">
      <c r="A13" s="50">
        <v>2</v>
      </c>
      <c r="B13" s="53" t="s">
        <v>112</v>
      </c>
      <c r="C13" s="66">
        <f>'Filing Fees'!D28</f>
        <v>2116339.9300000002</v>
      </c>
      <c r="D13" s="66">
        <f>'G Filing Fee Restated'!F38</f>
        <v>2111901.74126</v>
      </c>
      <c r="E13" s="66">
        <f>D13-C13</f>
        <v>-4438.1887400001287</v>
      </c>
      <c r="F13" s="65"/>
    </row>
    <row r="14" spans="1:6" x14ac:dyDescent="0.3">
      <c r="A14" s="50">
        <v>3</v>
      </c>
      <c r="B14" s="51" t="s">
        <v>113</v>
      </c>
      <c r="C14" s="67">
        <f>C12+C13</f>
        <v>43967487.060132012</v>
      </c>
      <c r="D14" s="67">
        <f>D12+D13</f>
        <v>43964374.031986013</v>
      </c>
      <c r="E14" s="67">
        <f>E12+E13</f>
        <v>-3113.0281459987164</v>
      </c>
      <c r="F14" s="65"/>
    </row>
    <row r="15" spans="1:6" x14ac:dyDescent="0.3">
      <c r="A15" s="50">
        <v>4</v>
      </c>
      <c r="B15" s="51"/>
      <c r="C15" s="64"/>
      <c r="D15" s="68"/>
      <c r="E15" s="68"/>
      <c r="F15" s="69"/>
    </row>
    <row r="16" spans="1:6" x14ac:dyDescent="0.3">
      <c r="A16" s="50">
        <v>5</v>
      </c>
      <c r="B16" s="58" t="s">
        <v>114</v>
      </c>
      <c r="C16" s="64"/>
      <c r="D16" s="68"/>
      <c r="E16" s="70">
        <f>E14</f>
        <v>-3113.0281459987164</v>
      </c>
      <c r="F16" s="69"/>
    </row>
    <row r="17" spans="1:6" x14ac:dyDescent="0.3">
      <c r="A17" s="50">
        <v>6</v>
      </c>
      <c r="B17" s="58" t="s">
        <v>115</v>
      </c>
      <c r="C17" s="60">
        <v>0.21</v>
      </c>
      <c r="D17" s="68"/>
      <c r="E17" s="71">
        <f>(-E16*C17)</f>
        <v>653.73591065973039</v>
      </c>
      <c r="F17" s="69"/>
    </row>
    <row r="18" spans="1:6" ht="15" thickBot="1" x14ac:dyDescent="0.35">
      <c r="A18" s="50">
        <v>7</v>
      </c>
      <c r="B18" s="58" t="s">
        <v>116</v>
      </c>
      <c r="C18" s="64"/>
      <c r="D18" s="68"/>
      <c r="E18" s="72">
        <f>-E16-E17</f>
        <v>2459.2922353389858</v>
      </c>
      <c r="F18" s="69"/>
    </row>
    <row r="19" spans="1:6" ht="15" thickTop="1" x14ac:dyDescent="0.3">
      <c r="A19" s="50"/>
      <c r="B19" s="24"/>
      <c r="C19" s="73"/>
      <c r="D19" s="74"/>
      <c r="E19" s="74"/>
      <c r="F19" s="69"/>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
  <sheetViews>
    <sheetView workbookViewId="0">
      <selection activeCell="G17" sqref="G17"/>
    </sheetView>
  </sheetViews>
  <sheetFormatPr defaultRowHeight="11.4" x14ac:dyDescent="0.2"/>
  <cols>
    <col min="1" max="1" width="10.7109375" style="9" customWidth="1"/>
    <col min="2" max="2" width="19.42578125" style="9" customWidth="1"/>
    <col min="3" max="3" width="20.7109375" style="9" customWidth="1"/>
    <col min="4" max="4" width="14" style="9" customWidth="1"/>
    <col min="5" max="5" width="14.5703125" style="9" customWidth="1"/>
    <col min="6" max="7" width="19.5703125" style="9" bestFit="1" customWidth="1"/>
    <col min="8" max="8" width="19.5703125" style="9" customWidth="1"/>
    <col min="9" max="9" width="16.28515625" style="9" bestFit="1" customWidth="1"/>
    <col min="10" max="11" width="19.5703125" style="9" bestFit="1" customWidth="1"/>
    <col min="12" max="12" width="13.5703125" style="9" bestFit="1" customWidth="1"/>
    <col min="13" max="16" width="14.5703125" style="9" customWidth="1"/>
    <col min="17" max="16384" width="9.140625" style="9"/>
  </cols>
  <sheetData>
    <row r="1" spans="1:14" ht="15" thickBot="1" x14ac:dyDescent="0.3">
      <c r="A1" s="124"/>
      <c r="B1" s="125"/>
      <c r="C1" s="126"/>
      <c r="D1" s="106"/>
      <c r="E1" s="107" t="s">
        <v>0</v>
      </c>
      <c r="F1" s="122" t="s">
        <v>86</v>
      </c>
      <c r="G1" s="123"/>
      <c r="H1" s="122" t="s">
        <v>93</v>
      </c>
      <c r="I1" s="123"/>
      <c r="J1" s="122" t="s">
        <v>87</v>
      </c>
      <c r="K1" s="123"/>
      <c r="L1" s="5" t="s">
        <v>89</v>
      </c>
    </row>
    <row r="2" spans="1:14" ht="12.6" thickBot="1" x14ac:dyDescent="0.3">
      <c r="A2" s="127" t="s">
        <v>2</v>
      </c>
      <c r="B2" s="128"/>
      <c r="C2" s="107" t="s">
        <v>310</v>
      </c>
      <c r="D2" s="107" t="s">
        <v>76</v>
      </c>
      <c r="E2" s="106" t="s">
        <v>3</v>
      </c>
      <c r="F2" s="6" t="s">
        <v>92</v>
      </c>
      <c r="G2" s="7" t="s">
        <v>90</v>
      </c>
      <c r="H2" s="6" t="s">
        <v>92</v>
      </c>
      <c r="I2" s="7" t="s">
        <v>90</v>
      </c>
      <c r="J2" s="6" t="s">
        <v>92</v>
      </c>
      <c r="K2" s="7" t="s">
        <v>90</v>
      </c>
      <c r="L2" s="8" t="s">
        <v>91</v>
      </c>
    </row>
    <row r="3" spans="1:14" ht="12.6" thickBot="1" x14ac:dyDescent="0.3">
      <c r="A3" s="107" t="s">
        <v>77</v>
      </c>
      <c r="B3" s="107" t="s">
        <v>78</v>
      </c>
      <c r="C3" s="107" t="s">
        <v>311</v>
      </c>
      <c r="D3" s="107" t="s">
        <v>220</v>
      </c>
      <c r="E3" s="108">
        <v>-5799933.6699999999</v>
      </c>
      <c r="F3" s="2">
        <f t="shared" ref="F3:F34" si="0">IF($A3="40810002",$E3,IF($A3="40810602",$E3*$N$4,0))</f>
        <v>-5799933.6699999999</v>
      </c>
      <c r="G3" s="3">
        <f>IF($A3="40810302",$E3,IF($A3="40810602",$E3*$N$5,0))</f>
        <v>0</v>
      </c>
      <c r="H3" s="2">
        <f>IF(L3=1,-F3,0)</f>
        <v>0</v>
      </c>
      <c r="I3" s="3">
        <f>IF(L3=1,-G3,0)</f>
        <v>0</v>
      </c>
      <c r="J3" s="2">
        <f>F3+H3</f>
        <v>-5799933.6699999999</v>
      </c>
      <c r="K3" s="3">
        <f>G3+I3</f>
        <v>0</v>
      </c>
      <c r="L3" s="4"/>
      <c r="M3" s="1" t="s">
        <v>94</v>
      </c>
      <c r="N3" s="1"/>
    </row>
    <row r="4" spans="1:14" ht="12.6" thickBot="1" x14ac:dyDescent="0.3">
      <c r="A4" s="107" t="s">
        <v>79</v>
      </c>
      <c r="B4" s="107" t="s">
        <v>78</v>
      </c>
      <c r="C4" s="107" t="s">
        <v>311</v>
      </c>
      <c r="D4" s="107" t="s">
        <v>220</v>
      </c>
      <c r="E4" s="109">
        <v>-2778554.23</v>
      </c>
      <c r="F4" s="2">
        <f t="shared" si="0"/>
        <v>0</v>
      </c>
      <c r="G4" s="3">
        <f t="shared" ref="G4:G67" si="1">IF($A4="40810302",$E4,IF($A4="40810602",$E4*$N$5,0))</f>
        <v>-2778554.23</v>
      </c>
      <c r="H4" s="2">
        <f t="shared" ref="H4:H67" si="2">IF(L4=1,-F4,0)</f>
        <v>0</v>
      </c>
      <c r="I4" s="3">
        <f t="shared" ref="I4:I67" si="3">IF(L4=1,-G4,0)</f>
        <v>0</v>
      </c>
      <c r="J4" s="2">
        <f t="shared" ref="J4:J67" si="4">F4+H4</f>
        <v>0</v>
      </c>
      <c r="K4" s="3">
        <f t="shared" ref="K4:K67" si="5">G4+I4</f>
        <v>-2778554.23</v>
      </c>
      <c r="L4" s="4"/>
      <c r="M4" s="1" t="s">
        <v>88</v>
      </c>
      <c r="N4" s="121">
        <f>[1]Lead!$E$35</f>
        <v>0.65980000000000005</v>
      </c>
    </row>
    <row r="5" spans="1:14" ht="12.6" thickBot="1" x14ac:dyDescent="0.3">
      <c r="A5" s="107" t="s">
        <v>79</v>
      </c>
      <c r="B5" s="107" t="s">
        <v>78</v>
      </c>
      <c r="C5" s="107" t="s">
        <v>311</v>
      </c>
      <c r="D5" s="107" t="s">
        <v>218</v>
      </c>
      <c r="E5" s="108">
        <v>-2531.52</v>
      </c>
      <c r="F5" s="2">
        <f t="shared" si="0"/>
        <v>0</v>
      </c>
      <c r="G5" s="3">
        <f t="shared" si="1"/>
        <v>-2531.52</v>
      </c>
      <c r="H5" s="2">
        <f t="shared" si="2"/>
        <v>0</v>
      </c>
      <c r="I5" s="3">
        <f t="shared" si="3"/>
        <v>2531.52</v>
      </c>
      <c r="J5" s="2">
        <f t="shared" si="4"/>
        <v>0</v>
      </c>
      <c r="K5" s="3">
        <f t="shared" si="5"/>
        <v>0</v>
      </c>
      <c r="L5" s="4">
        <v>1</v>
      </c>
      <c r="M5" s="1" t="s">
        <v>90</v>
      </c>
      <c r="N5" s="121">
        <f>[1]Lead!$F$35</f>
        <v>0.3402</v>
      </c>
    </row>
    <row r="6" spans="1:14" ht="12" thickBot="1" x14ac:dyDescent="0.25">
      <c r="A6" s="107" t="s">
        <v>77</v>
      </c>
      <c r="B6" s="107" t="s">
        <v>78</v>
      </c>
      <c r="C6" s="107" t="s">
        <v>311</v>
      </c>
      <c r="D6" s="107" t="s">
        <v>218</v>
      </c>
      <c r="E6" s="109">
        <v>199.25</v>
      </c>
      <c r="F6" s="2">
        <f t="shared" si="0"/>
        <v>199.25</v>
      </c>
      <c r="G6" s="3">
        <f t="shared" si="1"/>
        <v>0</v>
      </c>
      <c r="H6" s="2">
        <f t="shared" si="2"/>
        <v>-199.25</v>
      </c>
      <c r="I6" s="3">
        <f t="shared" si="3"/>
        <v>0</v>
      </c>
      <c r="J6" s="2">
        <f t="shared" si="4"/>
        <v>0</v>
      </c>
      <c r="K6" s="3">
        <f t="shared" si="5"/>
        <v>0</v>
      </c>
      <c r="L6" s="4">
        <v>1</v>
      </c>
    </row>
    <row r="7" spans="1:14" ht="12" thickBot="1" x14ac:dyDescent="0.25">
      <c r="A7" s="107" t="s">
        <v>80</v>
      </c>
      <c r="B7" s="107" t="s">
        <v>81</v>
      </c>
      <c r="C7" s="107" t="s">
        <v>311</v>
      </c>
      <c r="D7" s="107" t="s">
        <v>218</v>
      </c>
      <c r="E7" s="108">
        <v>3546.03</v>
      </c>
      <c r="F7" s="2">
        <f t="shared" si="0"/>
        <v>2339.6705940000002</v>
      </c>
      <c r="G7" s="3">
        <f t="shared" si="1"/>
        <v>1206.359406</v>
      </c>
      <c r="H7" s="2">
        <f t="shared" si="2"/>
        <v>-2339.6705940000002</v>
      </c>
      <c r="I7" s="3">
        <f t="shared" si="3"/>
        <v>-1206.359406</v>
      </c>
      <c r="J7" s="2">
        <f t="shared" si="4"/>
        <v>0</v>
      </c>
      <c r="K7" s="3">
        <f t="shared" si="5"/>
        <v>0</v>
      </c>
      <c r="L7" s="4">
        <v>1</v>
      </c>
    </row>
    <row r="8" spans="1:14" ht="12" thickBot="1" x14ac:dyDescent="0.25">
      <c r="A8" s="107" t="s">
        <v>79</v>
      </c>
      <c r="B8" s="107" t="s">
        <v>78</v>
      </c>
      <c r="C8" s="107" t="s">
        <v>311</v>
      </c>
      <c r="D8" s="107" t="s">
        <v>279</v>
      </c>
      <c r="E8" s="109">
        <v>96.81</v>
      </c>
      <c r="F8" s="2">
        <f t="shared" si="0"/>
        <v>0</v>
      </c>
      <c r="G8" s="3">
        <f t="shared" si="1"/>
        <v>96.81</v>
      </c>
      <c r="H8" s="2">
        <f t="shared" si="2"/>
        <v>0</v>
      </c>
      <c r="I8" s="3">
        <f t="shared" si="3"/>
        <v>0</v>
      </c>
      <c r="J8" s="2">
        <f t="shared" si="4"/>
        <v>0</v>
      </c>
      <c r="K8" s="3">
        <f t="shared" si="5"/>
        <v>96.81</v>
      </c>
      <c r="L8" s="4"/>
    </row>
    <row r="9" spans="1:14" ht="12" thickBot="1" x14ac:dyDescent="0.25">
      <c r="A9" s="107" t="s">
        <v>77</v>
      </c>
      <c r="B9" s="107" t="s">
        <v>78</v>
      </c>
      <c r="C9" s="107" t="s">
        <v>311</v>
      </c>
      <c r="D9" s="107" t="s">
        <v>221</v>
      </c>
      <c r="E9" s="108">
        <v>5885089.2199999997</v>
      </c>
      <c r="F9" s="2">
        <f t="shared" si="0"/>
        <v>5885089.2199999997</v>
      </c>
      <c r="G9" s="3">
        <f t="shared" si="1"/>
        <v>0</v>
      </c>
      <c r="H9" s="2">
        <f t="shared" si="2"/>
        <v>0</v>
      </c>
      <c r="I9" s="3">
        <f t="shared" si="3"/>
        <v>0</v>
      </c>
      <c r="J9" s="2">
        <f t="shared" si="4"/>
        <v>5885089.2199999997</v>
      </c>
      <c r="K9" s="3">
        <f t="shared" si="5"/>
        <v>0</v>
      </c>
      <c r="L9" s="4"/>
    </row>
    <row r="10" spans="1:14" ht="12" thickBot="1" x14ac:dyDescent="0.25">
      <c r="A10" s="107" t="s">
        <v>79</v>
      </c>
      <c r="B10" s="107" t="s">
        <v>78</v>
      </c>
      <c r="C10" s="107" t="s">
        <v>311</v>
      </c>
      <c r="D10" s="107" t="s">
        <v>221</v>
      </c>
      <c r="E10" s="109">
        <v>2839592.77</v>
      </c>
      <c r="F10" s="2">
        <f t="shared" si="0"/>
        <v>0</v>
      </c>
      <c r="G10" s="3">
        <f t="shared" si="1"/>
        <v>2839592.77</v>
      </c>
      <c r="H10" s="2">
        <f t="shared" si="2"/>
        <v>0</v>
      </c>
      <c r="I10" s="3">
        <f t="shared" si="3"/>
        <v>0</v>
      </c>
      <c r="J10" s="2">
        <f t="shared" si="4"/>
        <v>0</v>
      </c>
      <c r="K10" s="3">
        <f t="shared" si="5"/>
        <v>2839592.77</v>
      </c>
      <c r="L10" s="4"/>
    </row>
    <row r="11" spans="1:14" ht="12" thickBot="1" x14ac:dyDescent="0.25">
      <c r="A11" s="107" t="s">
        <v>77</v>
      </c>
      <c r="B11" s="107" t="s">
        <v>78</v>
      </c>
      <c r="C11" s="107" t="s">
        <v>311</v>
      </c>
      <c r="D11" s="107" t="s">
        <v>219</v>
      </c>
      <c r="E11" s="108">
        <v>8509456.1099999994</v>
      </c>
      <c r="F11" s="2">
        <f t="shared" si="0"/>
        <v>8509456.1099999994</v>
      </c>
      <c r="G11" s="3">
        <f t="shared" si="1"/>
        <v>0</v>
      </c>
      <c r="H11" s="2">
        <f t="shared" si="2"/>
        <v>0</v>
      </c>
      <c r="I11" s="3">
        <f t="shared" si="3"/>
        <v>0</v>
      </c>
      <c r="J11" s="2">
        <f t="shared" si="4"/>
        <v>8509456.1099999994</v>
      </c>
      <c r="K11" s="3">
        <f t="shared" si="5"/>
        <v>0</v>
      </c>
      <c r="L11" s="4"/>
    </row>
    <row r="12" spans="1:14" ht="12" thickBot="1" x14ac:dyDescent="0.25">
      <c r="A12" s="107" t="s">
        <v>79</v>
      </c>
      <c r="B12" s="107" t="s">
        <v>78</v>
      </c>
      <c r="C12" s="107" t="s">
        <v>311</v>
      </c>
      <c r="D12" s="107" t="s">
        <v>219</v>
      </c>
      <c r="E12" s="109">
        <v>4958430.12</v>
      </c>
      <c r="F12" s="2">
        <f t="shared" si="0"/>
        <v>0</v>
      </c>
      <c r="G12" s="3">
        <f t="shared" si="1"/>
        <v>4958430.12</v>
      </c>
      <c r="H12" s="2">
        <f t="shared" si="2"/>
        <v>0</v>
      </c>
      <c r="I12" s="3">
        <f t="shared" si="3"/>
        <v>0</v>
      </c>
      <c r="J12" s="2">
        <f t="shared" si="4"/>
        <v>0</v>
      </c>
      <c r="K12" s="3">
        <f t="shared" si="5"/>
        <v>4958430.12</v>
      </c>
      <c r="L12" s="4"/>
    </row>
    <row r="13" spans="1:14" ht="12" thickBot="1" x14ac:dyDescent="0.25">
      <c r="A13" s="107" t="s">
        <v>80</v>
      </c>
      <c r="B13" s="107" t="s">
        <v>81</v>
      </c>
      <c r="C13" s="107" t="s">
        <v>311</v>
      </c>
      <c r="D13" s="107" t="s">
        <v>219</v>
      </c>
      <c r="E13" s="108">
        <v>280318.84000000003</v>
      </c>
      <c r="F13" s="2">
        <f t="shared" si="0"/>
        <v>184954.37063200003</v>
      </c>
      <c r="G13" s="3">
        <f t="shared" si="1"/>
        <v>95364.469368000005</v>
      </c>
      <c r="H13" s="2">
        <f t="shared" si="2"/>
        <v>0</v>
      </c>
      <c r="I13" s="3">
        <f t="shared" si="3"/>
        <v>0</v>
      </c>
      <c r="J13" s="2">
        <f t="shared" si="4"/>
        <v>184954.37063200003</v>
      </c>
      <c r="K13" s="3">
        <f t="shared" si="5"/>
        <v>95364.469368000005</v>
      </c>
      <c r="L13" s="4"/>
    </row>
    <row r="14" spans="1:14" ht="12" thickBot="1" x14ac:dyDescent="0.25">
      <c r="A14" s="107" t="s">
        <v>77</v>
      </c>
      <c r="B14" s="107" t="s">
        <v>78</v>
      </c>
      <c r="C14" s="107" t="s">
        <v>312</v>
      </c>
      <c r="D14" s="107" t="s">
        <v>225</v>
      </c>
      <c r="E14" s="109">
        <v>-5885089.2199999997</v>
      </c>
      <c r="F14" s="2">
        <f t="shared" si="0"/>
        <v>-5885089.2199999997</v>
      </c>
      <c r="G14" s="3">
        <f t="shared" si="1"/>
        <v>0</v>
      </c>
      <c r="H14" s="2">
        <f t="shared" si="2"/>
        <v>0</v>
      </c>
      <c r="I14" s="3">
        <f t="shared" si="3"/>
        <v>0</v>
      </c>
      <c r="J14" s="2">
        <f t="shared" si="4"/>
        <v>-5885089.2199999997</v>
      </c>
      <c r="K14" s="3">
        <f t="shared" si="5"/>
        <v>0</v>
      </c>
      <c r="L14" s="4"/>
    </row>
    <row r="15" spans="1:14" ht="12" thickBot="1" x14ac:dyDescent="0.25">
      <c r="A15" s="107" t="s">
        <v>79</v>
      </c>
      <c r="B15" s="107" t="s">
        <v>78</v>
      </c>
      <c r="C15" s="107" t="s">
        <v>312</v>
      </c>
      <c r="D15" s="107" t="s">
        <v>225</v>
      </c>
      <c r="E15" s="108">
        <v>-2839592.77</v>
      </c>
      <c r="F15" s="2">
        <f t="shared" si="0"/>
        <v>0</v>
      </c>
      <c r="G15" s="3">
        <f t="shared" si="1"/>
        <v>-2839592.77</v>
      </c>
      <c r="H15" s="2">
        <f t="shared" si="2"/>
        <v>0</v>
      </c>
      <c r="I15" s="3">
        <f t="shared" si="3"/>
        <v>0</v>
      </c>
      <c r="J15" s="2">
        <f t="shared" si="4"/>
        <v>0</v>
      </c>
      <c r="K15" s="3">
        <f t="shared" si="5"/>
        <v>-2839592.77</v>
      </c>
      <c r="L15" s="4"/>
    </row>
    <row r="16" spans="1:14" ht="12" thickBot="1" x14ac:dyDescent="0.25">
      <c r="A16" s="107" t="s">
        <v>80</v>
      </c>
      <c r="B16" s="107" t="s">
        <v>81</v>
      </c>
      <c r="C16" s="107" t="s">
        <v>312</v>
      </c>
      <c r="D16" s="107" t="s">
        <v>292</v>
      </c>
      <c r="E16" s="109">
        <v>1500</v>
      </c>
      <c r="F16" s="2">
        <f t="shared" si="0"/>
        <v>989.7</v>
      </c>
      <c r="G16" s="3">
        <f t="shared" si="1"/>
        <v>510.3</v>
      </c>
      <c r="H16" s="2">
        <f t="shared" si="2"/>
        <v>0</v>
      </c>
      <c r="I16" s="3">
        <f t="shared" si="3"/>
        <v>0</v>
      </c>
      <c r="J16" s="2">
        <f t="shared" si="4"/>
        <v>989.7</v>
      </c>
      <c r="K16" s="3">
        <f t="shared" si="5"/>
        <v>510.3</v>
      </c>
      <c r="L16" s="4"/>
    </row>
    <row r="17" spans="1:12" ht="12" thickBot="1" x14ac:dyDescent="0.25">
      <c r="A17" s="107" t="s">
        <v>77</v>
      </c>
      <c r="B17" s="107" t="s">
        <v>78</v>
      </c>
      <c r="C17" s="107" t="s">
        <v>312</v>
      </c>
      <c r="D17" s="107" t="s">
        <v>223</v>
      </c>
      <c r="E17" s="108">
        <v>-26828.14</v>
      </c>
      <c r="F17" s="2">
        <f t="shared" si="0"/>
        <v>-26828.14</v>
      </c>
      <c r="G17" s="3">
        <f t="shared" si="1"/>
        <v>0</v>
      </c>
      <c r="H17" s="2">
        <f t="shared" si="2"/>
        <v>0</v>
      </c>
      <c r="I17" s="3">
        <f t="shared" si="3"/>
        <v>0</v>
      </c>
      <c r="J17" s="2">
        <f t="shared" si="4"/>
        <v>-26828.14</v>
      </c>
      <c r="K17" s="3">
        <f t="shared" si="5"/>
        <v>0</v>
      </c>
      <c r="L17" s="4"/>
    </row>
    <row r="18" spans="1:12" ht="12" thickBot="1" x14ac:dyDescent="0.25">
      <c r="A18" s="107" t="s">
        <v>79</v>
      </c>
      <c r="B18" s="107" t="s">
        <v>78</v>
      </c>
      <c r="C18" s="107" t="s">
        <v>312</v>
      </c>
      <c r="D18" s="107" t="s">
        <v>223</v>
      </c>
      <c r="E18" s="109">
        <v>-96.81</v>
      </c>
      <c r="F18" s="2">
        <f t="shared" si="0"/>
        <v>0</v>
      </c>
      <c r="G18" s="3">
        <f t="shared" si="1"/>
        <v>-96.81</v>
      </c>
      <c r="H18" s="2">
        <f t="shared" si="2"/>
        <v>0</v>
      </c>
      <c r="I18" s="3">
        <f t="shared" si="3"/>
        <v>0</v>
      </c>
      <c r="J18" s="2">
        <f t="shared" si="4"/>
        <v>0</v>
      </c>
      <c r="K18" s="3">
        <f t="shared" si="5"/>
        <v>-96.81</v>
      </c>
      <c r="L18" s="4"/>
    </row>
    <row r="19" spans="1:12" ht="12" thickBot="1" x14ac:dyDescent="0.25">
      <c r="A19" s="107" t="s">
        <v>80</v>
      </c>
      <c r="B19" s="107" t="s">
        <v>81</v>
      </c>
      <c r="C19" s="107" t="s">
        <v>312</v>
      </c>
      <c r="D19" s="107" t="s">
        <v>223</v>
      </c>
      <c r="E19" s="108">
        <v>3848.86</v>
      </c>
      <c r="F19" s="2">
        <f t="shared" si="0"/>
        <v>2539.4778280000005</v>
      </c>
      <c r="G19" s="3">
        <f t="shared" si="1"/>
        <v>1309.3821720000001</v>
      </c>
      <c r="H19" s="2">
        <f t="shared" si="2"/>
        <v>0</v>
      </c>
      <c r="I19" s="3">
        <f t="shared" si="3"/>
        <v>0</v>
      </c>
      <c r="J19" s="2">
        <f t="shared" si="4"/>
        <v>2539.4778280000005</v>
      </c>
      <c r="K19" s="3">
        <f t="shared" si="5"/>
        <v>1309.3821720000001</v>
      </c>
      <c r="L19" s="4"/>
    </row>
    <row r="20" spans="1:12" ht="12" thickBot="1" x14ac:dyDescent="0.25">
      <c r="A20" s="107" t="s">
        <v>79</v>
      </c>
      <c r="B20" s="107" t="s">
        <v>78</v>
      </c>
      <c r="C20" s="107" t="s">
        <v>312</v>
      </c>
      <c r="D20" s="107" t="s">
        <v>280</v>
      </c>
      <c r="E20" s="109">
        <v>92.19</v>
      </c>
      <c r="F20" s="2">
        <f t="shared" si="0"/>
        <v>0</v>
      </c>
      <c r="G20" s="3">
        <f t="shared" si="1"/>
        <v>92.19</v>
      </c>
      <c r="H20" s="2">
        <f t="shared" si="2"/>
        <v>0</v>
      </c>
      <c r="I20" s="3">
        <f t="shared" si="3"/>
        <v>0</v>
      </c>
      <c r="J20" s="2">
        <f t="shared" si="4"/>
        <v>0</v>
      </c>
      <c r="K20" s="3">
        <f t="shared" si="5"/>
        <v>92.19</v>
      </c>
      <c r="L20" s="4"/>
    </row>
    <row r="21" spans="1:12" ht="12" thickBot="1" x14ac:dyDescent="0.25">
      <c r="A21" s="107" t="s">
        <v>77</v>
      </c>
      <c r="B21" s="107" t="s">
        <v>78</v>
      </c>
      <c r="C21" s="107" t="s">
        <v>312</v>
      </c>
      <c r="D21" s="107" t="s">
        <v>226</v>
      </c>
      <c r="E21" s="108">
        <v>5994131.7199999997</v>
      </c>
      <c r="F21" s="2">
        <f t="shared" si="0"/>
        <v>5994131.7199999997</v>
      </c>
      <c r="G21" s="3">
        <f t="shared" si="1"/>
        <v>0</v>
      </c>
      <c r="H21" s="2">
        <f t="shared" si="2"/>
        <v>0</v>
      </c>
      <c r="I21" s="3">
        <f t="shared" si="3"/>
        <v>0</v>
      </c>
      <c r="J21" s="2">
        <f t="shared" si="4"/>
        <v>5994131.7199999997</v>
      </c>
      <c r="K21" s="3">
        <f t="shared" si="5"/>
        <v>0</v>
      </c>
      <c r="L21" s="4"/>
    </row>
    <row r="22" spans="1:12" ht="12" thickBot="1" x14ac:dyDescent="0.25">
      <c r="A22" s="107" t="s">
        <v>79</v>
      </c>
      <c r="B22" s="107" t="s">
        <v>78</v>
      </c>
      <c r="C22" s="107" t="s">
        <v>312</v>
      </c>
      <c r="D22" s="107" t="s">
        <v>226</v>
      </c>
      <c r="E22" s="109">
        <v>2904454.04</v>
      </c>
      <c r="F22" s="2">
        <f t="shared" si="0"/>
        <v>0</v>
      </c>
      <c r="G22" s="3">
        <f t="shared" si="1"/>
        <v>2904454.04</v>
      </c>
      <c r="H22" s="2">
        <f t="shared" si="2"/>
        <v>0</v>
      </c>
      <c r="I22" s="3">
        <f t="shared" si="3"/>
        <v>0</v>
      </c>
      <c r="J22" s="2">
        <f t="shared" si="4"/>
        <v>0</v>
      </c>
      <c r="K22" s="3">
        <f t="shared" si="5"/>
        <v>2904454.04</v>
      </c>
      <c r="L22" s="4"/>
    </row>
    <row r="23" spans="1:12" ht="12" thickBot="1" x14ac:dyDescent="0.25">
      <c r="A23" s="107" t="s">
        <v>77</v>
      </c>
      <c r="B23" s="107" t="s">
        <v>78</v>
      </c>
      <c r="C23" s="107" t="s">
        <v>312</v>
      </c>
      <c r="D23" s="107" t="s">
        <v>224</v>
      </c>
      <c r="E23" s="108">
        <v>8611290.9499999993</v>
      </c>
      <c r="F23" s="2">
        <f t="shared" si="0"/>
        <v>8611290.9499999993</v>
      </c>
      <c r="G23" s="3">
        <f t="shared" si="1"/>
        <v>0</v>
      </c>
      <c r="H23" s="2">
        <f t="shared" si="2"/>
        <v>0</v>
      </c>
      <c r="I23" s="3">
        <f t="shared" si="3"/>
        <v>0</v>
      </c>
      <c r="J23" s="2">
        <f t="shared" si="4"/>
        <v>8611290.9499999993</v>
      </c>
      <c r="K23" s="3">
        <f t="shared" si="5"/>
        <v>0</v>
      </c>
      <c r="L23" s="4"/>
    </row>
    <row r="24" spans="1:12" ht="12" thickBot="1" x14ac:dyDescent="0.25">
      <c r="A24" s="107" t="s">
        <v>79</v>
      </c>
      <c r="B24" s="107" t="s">
        <v>78</v>
      </c>
      <c r="C24" s="107" t="s">
        <v>312</v>
      </c>
      <c r="D24" s="107" t="s">
        <v>224</v>
      </c>
      <c r="E24" s="109">
        <v>5186717.54</v>
      </c>
      <c r="F24" s="2">
        <f t="shared" si="0"/>
        <v>0</v>
      </c>
      <c r="G24" s="3">
        <f t="shared" si="1"/>
        <v>5186717.54</v>
      </c>
      <c r="H24" s="2">
        <f t="shared" si="2"/>
        <v>0</v>
      </c>
      <c r="I24" s="3">
        <f t="shared" si="3"/>
        <v>0</v>
      </c>
      <c r="J24" s="2">
        <f t="shared" si="4"/>
        <v>0</v>
      </c>
      <c r="K24" s="3">
        <f t="shared" si="5"/>
        <v>5186717.54</v>
      </c>
      <c r="L24" s="4"/>
    </row>
    <row r="25" spans="1:12" ht="12" thickBot="1" x14ac:dyDescent="0.25">
      <c r="A25" s="107" t="s">
        <v>80</v>
      </c>
      <c r="B25" s="107" t="s">
        <v>81</v>
      </c>
      <c r="C25" s="107" t="s">
        <v>312</v>
      </c>
      <c r="D25" s="107" t="s">
        <v>224</v>
      </c>
      <c r="E25" s="108">
        <v>198705.05</v>
      </c>
      <c r="F25" s="2">
        <f t="shared" si="0"/>
        <v>131105.59199000002</v>
      </c>
      <c r="G25" s="3">
        <f t="shared" si="1"/>
        <v>67599.458010000002</v>
      </c>
      <c r="H25" s="2">
        <f t="shared" si="2"/>
        <v>0</v>
      </c>
      <c r="I25" s="3">
        <f t="shared" si="3"/>
        <v>0</v>
      </c>
      <c r="J25" s="2">
        <f t="shared" si="4"/>
        <v>131105.59199000002</v>
      </c>
      <c r="K25" s="3">
        <f t="shared" si="5"/>
        <v>67599.458010000002</v>
      </c>
      <c r="L25" s="4"/>
    </row>
    <row r="26" spans="1:12" ht="12" thickBot="1" x14ac:dyDescent="0.25">
      <c r="A26" s="107" t="s">
        <v>77</v>
      </c>
      <c r="B26" s="107" t="s">
        <v>78</v>
      </c>
      <c r="C26" s="107" t="s">
        <v>313</v>
      </c>
      <c r="D26" s="107" t="s">
        <v>230</v>
      </c>
      <c r="E26" s="109">
        <v>-5994131.7199999997</v>
      </c>
      <c r="F26" s="2">
        <f t="shared" si="0"/>
        <v>-5994131.7199999997</v>
      </c>
      <c r="G26" s="3">
        <f t="shared" si="1"/>
        <v>0</v>
      </c>
      <c r="H26" s="2">
        <f t="shared" si="2"/>
        <v>0</v>
      </c>
      <c r="I26" s="3">
        <f t="shared" si="3"/>
        <v>0</v>
      </c>
      <c r="J26" s="2">
        <f t="shared" si="4"/>
        <v>-5994131.7199999997</v>
      </c>
      <c r="K26" s="3">
        <f t="shared" si="5"/>
        <v>0</v>
      </c>
      <c r="L26" s="4"/>
    </row>
    <row r="27" spans="1:12" ht="12" thickBot="1" x14ac:dyDescent="0.25">
      <c r="A27" s="107" t="s">
        <v>79</v>
      </c>
      <c r="B27" s="107" t="s">
        <v>78</v>
      </c>
      <c r="C27" s="107" t="s">
        <v>313</v>
      </c>
      <c r="D27" s="107" t="s">
        <v>230</v>
      </c>
      <c r="E27" s="108">
        <v>-2904454.04</v>
      </c>
      <c r="F27" s="2">
        <f t="shared" si="0"/>
        <v>0</v>
      </c>
      <c r="G27" s="3">
        <f t="shared" si="1"/>
        <v>-2904454.04</v>
      </c>
      <c r="H27" s="2">
        <f t="shared" si="2"/>
        <v>0</v>
      </c>
      <c r="I27" s="3">
        <f t="shared" si="3"/>
        <v>0</v>
      </c>
      <c r="J27" s="2">
        <f t="shared" si="4"/>
        <v>0</v>
      </c>
      <c r="K27" s="3">
        <f t="shared" si="5"/>
        <v>-2904454.04</v>
      </c>
      <c r="L27" s="4"/>
    </row>
    <row r="28" spans="1:12" ht="12" thickBot="1" x14ac:dyDescent="0.25">
      <c r="A28" s="107" t="s">
        <v>80</v>
      </c>
      <c r="B28" s="107" t="s">
        <v>81</v>
      </c>
      <c r="C28" s="107" t="s">
        <v>313</v>
      </c>
      <c r="D28" s="107" t="s">
        <v>293</v>
      </c>
      <c r="E28" s="109">
        <v>10000</v>
      </c>
      <c r="F28" s="2">
        <f t="shared" si="0"/>
        <v>6598.0000000000009</v>
      </c>
      <c r="G28" s="3">
        <f t="shared" si="1"/>
        <v>3402</v>
      </c>
      <c r="H28" s="2">
        <f t="shared" si="2"/>
        <v>0</v>
      </c>
      <c r="I28" s="3">
        <f t="shared" si="3"/>
        <v>0</v>
      </c>
      <c r="J28" s="2">
        <f t="shared" si="4"/>
        <v>6598.0000000000009</v>
      </c>
      <c r="K28" s="3">
        <f t="shared" si="5"/>
        <v>3402</v>
      </c>
      <c r="L28" s="4"/>
    </row>
    <row r="29" spans="1:12" ht="12" thickBot="1" x14ac:dyDescent="0.25">
      <c r="A29" s="107" t="s">
        <v>77</v>
      </c>
      <c r="B29" s="107" t="s">
        <v>78</v>
      </c>
      <c r="C29" s="107" t="s">
        <v>313</v>
      </c>
      <c r="D29" s="107" t="s">
        <v>228</v>
      </c>
      <c r="E29" s="108">
        <v>-11902.45</v>
      </c>
      <c r="F29" s="2">
        <f t="shared" si="0"/>
        <v>-11902.45</v>
      </c>
      <c r="G29" s="3">
        <f t="shared" si="1"/>
        <v>0</v>
      </c>
      <c r="H29" s="2">
        <f t="shared" si="2"/>
        <v>0</v>
      </c>
      <c r="I29" s="3">
        <f t="shared" si="3"/>
        <v>0</v>
      </c>
      <c r="J29" s="2">
        <f t="shared" si="4"/>
        <v>-11902.45</v>
      </c>
      <c r="K29" s="3">
        <f t="shared" si="5"/>
        <v>0</v>
      </c>
      <c r="L29" s="4"/>
    </row>
    <row r="30" spans="1:12" ht="12" thickBot="1" x14ac:dyDescent="0.25">
      <c r="A30" s="107" t="s">
        <v>79</v>
      </c>
      <c r="B30" s="107" t="s">
        <v>78</v>
      </c>
      <c r="C30" s="107" t="s">
        <v>313</v>
      </c>
      <c r="D30" s="107" t="s">
        <v>228</v>
      </c>
      <c r="E30" s="109">
        <v>-9328.93</v>
      </c>
      <c r="F30" s="2">
        <f t="shared" si="0"/>
        <v>0</v>
      </c>
      <c r="G30" s="3">
        <f t="shared" si="1"/>
        <v>-9328.93</v>
      </c>
      <c r="H30" s="2">
        <f t="shared" si="2"/>
        <v>0</v>
      </c>
      <c r="I30" s="3">
        <f t="shared" si="3"/>
        <v>0</v>
      </c>
      <c r="J30" s="2">
        <f t="shared" si="4"/>
        <v>0</v>
      </c>
      <c r="K30" s="3">
        <f t="shared" si="5"/>
        <v>-9328.93</v>
      </c>
      <c r="L30" s="4"/>
    </row>
    <row r="31" spans="1:12" ht="12" thickBot="1" x14ac:dyDescent="0.25">
      <c r="A31" s="107" t="s">
        <v>80</v>
      </c>
      <c r="B31" s="107" t="s">
        <v>81</v>
      </c>
      <c r="C31" s="107" t="s">
        <v>313</v>
      </c>
      <c r="D31" s="107" t="s">
        <v>228</v>
      </c>
      <c r="E31" s="108">
        <v>3277.12</v>
      </c>
      <c r="F31" s="2">
        <f t="shared" si="0"/>
        <v>2162.2437760000003</v>
      </c>
      <c r="G31" s="3">
        <f t="shared" si="1"/>
        <v>1114.8762239999999</v>
      </c>
      <c r="H31" s="2">
        <f t="shared" si="2"/>
        <v>0</v>
      </c>
      <c r="I31" s="3">
        <f t="shared" si="3"/>
        <v>0</v>
      </c>
      <c r="J31" s="2">
        <f t="shared" si="4"/>
        <v>2162.2437760000003</v>
      </c>
      <c r="K31" s="3">
        <f t="shared" si="5"/>
        <v>1114.8762239999999</v>
      </c>
      <c r="L31" s="4"/>
    </row>
    <row r="32" spans="1:12" ht="12" thickBot="1" x14ac:dyDescent="0.25">
      <c r="A32" s="107" t="s">
        <v>80</v>
      </c>
      <c r="B32" s="107" t="s">
        <v>81</v>
      </c>
      <c r="C32" s="107" t="s">
        <v>313</v>
      </c>
      <c r="D32" s="107" t="s">
        <v>294</v>
      </c>
      <c r="E32" s="109">
        <v>0.75</v>
      </c>
      <c r="F32" s="2">
        <f t="shared" si="0"/>
        <v>0.49485000000000001</v>
      </c>
      <c r="G32" s="3">
        <f t="shared" si="1"/>
        <v>0.25514999999999999</v>
      </c>
      <c r="H32" s="2">
        <f t="shared" si="2"/>
        <v>0</v>
      </c>
      <c r="I32" s="3">
        <f t="shared" si="3"/>
        <v>0</v>
      </c>
      <c r="J32" s="2">
        <f t="shared" si="4"/>
        <v>0.49485000000000001</v>
      </c>
      <c r="K32" s="3">
        <f t="shared" si="5"/>
        <v>0.25514999999999999</v>
      </c>
      <c r="L32" s="4"/>
    </row>
    <row r="33" spans="1:12" ht="12" thickBot="1" x14ac:dyDescent="0.25">
      <c r="A33" s="107" t="s">
        <v>80</v>
      </c>
      <c r="B33" s="107" t="s">
        <v>81</v>
      </c>
      <c r="C33" s="107" t="s">
        <v>313</v>
      </c>
      <c r="D33" s="107" t="s">
        <v>294</v>
      </c>
      <c r="E33" s="108">
        <v>30</v>
      </c>
      <c r="F33" s="2">
        <f t="shared" si="0"/>
        <v>19.794</v>
      </c>
      <c r="G33" s="3">
        <f t="shared" si="1"/>
        <v>10.206</v>
      </c>
      <c r="H33" s="2">
        <f t="shared" si="2"/>
        <v>0</v>
      </c>
      <c r="I33" s="3">
        <f t="shared" si="3"/>
        <v>0</v>
      </c>
      <c r="J33" s="2">
        <f t="shared" si="4"/>
        <v>19.794</v>
      </c>
      <c r="K33" s="3">
        <f t="shared" si="5"/>
        <v>10.206</v>
      </c>
      <c r="L33" s="4"/>
    </row>
    <row r="34" spans="1:12" ht="12" thickBot="1" x14ac:dyDescent="0.25">
      <c r="A34" s="107" t="s">
        <v>79</v>
      </c>
      <c r="B34" s="107" t="s">
        <v>78</v>
      </c>
      <c r="C34" s="107" t="s">
        <v>313</v>
      </c>
      <c r="D34" s="107" t="s">
        <v>281</v>
      </c>
      <c r="E34" s="109">
        <v>129.19</v>
      </c>
      <c r="F34" s="2">
        <f t="shared" si="0"/>
        <v>0</v>
      </c>
      <c r="G34" s="3">
        <f t="shared" si="1"/>
        <v>129.19</v>
      </c>
      <c r="H34" s="2">
        <f t="shared" si="2"/>
        <v>0</v>
      </c>
      <c r="I34" s="3">
        <f t="shared" si="3"/>
        <v>0</v>
      </c>
      <c r="J34" s="2">
        <f t="shared" si="4"/>
        <v>0</v>
      </c>
      <c r="K34" s="3">
        <f t="shared" si="5"/>
        <v>129.19</v>
      </c>
      <c r="L34" s="4"/>
    </row>
    <row r="35" spans="1:12" ht="12" thickBot="1" x14ac:dyDescent="0.25">
      <c r="A35" s="107" t="s">
        <v>77</v>
      </c>
      <c r="B35" s="107" t="s">
        <v>78</v>
      </c>
      <c r="C35" s="107" t="s">
        <v>313</v>
      </c>
      <c r="D35" s="107" t="s">
        <v>231</v>
      </c>
      <c r="E35" s="108">
        <v>5837689.3399999999</v>
      </c>
      <c r="F35" s="2">
        <f t="shared" ref="F35:F66" si="6">IF($A35="40810002",$E35,IF($A35="40810602",$E35*$N$4,0))</f>
        <v>5837689.3399999999</v>
      </c>
      <c r="G35" s="3">
        <f t="shared" si="1"/>
        <v>0</v>
      </c>
      <c r="H35" s="2">
        <f t="shared" si="2"/>
        <v>0</v>
      </c>
      <c r="I35" s="3">
        <f t="shared" si="3"/>
        <v>0</v>
      </c>
      <c r="J35" s="2">
        <f t="shared" si="4"/>
        <v>5837689.3399999999</v>
      </c>
      <c r="K35" s="3">
        <f t="shared" si="5"/>
        <v>0</v>
      </c>
      <c r="L35" s="4"/>
    </row>
    <row r="36" spans="1:12" ht="12" thickBot="1" x14ac:dyDescent="0.25">
      <c r="A36" s="107" t="s">
        <v>79</v>
      </c>
      <c r="B36" s="107" t="s">
        <v>78</v>
      </c>
      <c r="C36" s="107" t="s">
        <v>313</v>
      </c>
      <c r="D36" s="107" t="s">
        <v>231</v>
      </c>
      <c r="E36" s="109">
        <v>2647774.5</v>
      </c>
      <c r="F36" s="2">
        <f t="shared" si="6"/>
        <v>0</v>
      </c>
      <c r="G36" s="3">
        <f t="shared" si="1"/>
        <v>2647774.5</v>
      </c>
      <c r="H36" s="2">
        <f t="shared" si="2"/>
        <v>0</v>
      </c>
      <c r="I36" s="3">
        <f t="shared" si="3"/>
        <v>0</v>
      </c>
      <c r="J36" s="2">
        <f t="shared" si="4"/>
        <v>0</v>
      </c>
      <c r="K36" s="3">
        <f t="shared" si="5"/>
        <v>2647774.5</v>
      </c>
      <c r="L36" s="4"/>
    </row>
    <row r="37" spans="1:12" ht="12" thickBot="1" x14ac:dyDescent="0.25">
      <c r="A37" s="107" t="s">
        <v>77</v>
      </c>
      <c r="B37" s="107" t="s">
        <v>78</v>
      </c>
      <c r="C37" s="107" t="s">
        <v>313</v>
      </c>
      <c r="D37" s="107" t="s">
        <v>229</v>
      </c>
      <c r="E37" s="108">
        <v>8509536.3900000006</v>
      </c>
      <c r="F37" s="2">
        <f t="shared" si="6"/>
        <v>8509536.3900000006</v>
      </c>
      <c r="G37" s="3">
        <f t="shared" si="1"/>
        <v>0</v>
      </c>
      <c r="H37" s="2">
        <f t="shared" si="2"/>
        <v>0</v>
      </c>
      <c r="I37" s="3">
        <f t="shared" si="3"/>
        <v>0</v>
      </c>
      <c r="J37" s="2">
        <f t="shared" si="4"/>
        <v>8509536.3900000006</v>
      </c>
      <c r="K37" s="3">
        <f t="shared" si="5"/>
        <v>0</v>
      </c>
      <c r="L37" s="4"/>
    </row>
    <row r="38" spans="1:12" ht="12" thickBot="1" x14ac:dyDescent="0.25">
      <c r="A38" s="107" t="s">
        <v>79</v>
      </c>
      <c r="B38" s="107" t="s">
        <v>78</v>
      </c>
      <c r="C38" s="107" t="s">
        <v>313</v>
      </c>
      <c r="D38" s="107" t="s">
        <v>229</v>
      </c>
      <c r="E38" s="109">
        <v>4976085.46</v>
      </c>
      <c r="F38" s="2">
        <f t="shared" si="6"/>
        <v>0</v>
      </c>
      <c r="G38" s="3">
        <f t="shared" si="1"/>
        <v>4976085.46</v>
      </c>
      <c r="H38" s="2">
        <f t="shared" si="2"/>
        <v>0</v>
      </c>
      <c r="I38" s="3">
        <f t="shared" si="3"/>
        <v>0</v>
      </c>
      <c r="J38" s="2">
        <f t="shared" si="4"/>
        <v>0</v>
      </c>
      <c r="K38" s="3">
        <f t="shared" si="5"/>
        <v>4976085.46</v>
      </c>
      <c r="L38" s="4"/>
    </row>
    <row r="39" spans="1:12" ht="12" thickBot="1" x14ac:dyDescent="0.25">
      <c r="A39" s="107" t="s">
        <v>80</v>
      </c>
      <c r="B39" s="107" t="s">
        <v>81</v>
      </c>
      <c r="C39" s="107" t="s">
        <v>313</v>
      </c>
      <c r="D39" s="107" t="s">
        <v>229</v>
      </c>
      <c r="E39" s="108">
        <v>258205.29</v>
      </c>
      <c r="F39" s="2">
        <f t="shared" si="6"/>
        <v>170363.85034200002</v>
      </c>
      <c r="G39" s="3">
        <f t="shared" si="1"/>
        <v>87841.439658000003</v>
      </c>
      <c r="H39" s="2">
        <f t="shared" si="2"/>
        <v>0</v>
      </c>
      <c r="I39" s="3">
        <f t="shared" si="3"/>
        <v>0</v>
      </c>
      <c r="J39" s="2">
        <f t="shared" si="4"/>
        <v>170363.85034200002</v>
      </c>
      <c r="K39" s="3">
        <f t="shared" si="5"/>
        <v>87841.439658000003</v>
      </c>
      <c r="L39" s="4"/>
    </row>
    <row r="40" spans="1:12" ht="12" thickBot="1" x14ac:dyDescent="0.25">
      <c r="A40" s="107" t="s">
        <v>77</v>
      </c>
      <c r="B40" s="107" t="s">
        <v>78</v>
      </c>
      <c r="C40" s="107" t="s">
        <v>314</v>
      </c>
      <c r="D40" s="107" t="s">
        <v>235</v>
      </c>
      <c r="E40" s="109">
        <v>-5837689.3399999999</v>
      </c>
      <c r="F40" s="2">
        <f t="shared" si="6"/>
        <v>-5837689.3399999999</v>
      </c>
      <c r="G40" s="3">
        <f t="shared" si="1"/>
        <v>0</v>
      </c>
      <c r="H40" s="2">
        <f t="shared" si="2"/>
        <v>0</v>
      </c>
      <c r="I40" s="3">
        <f t="shared" si="3"/>
        <v>0</v>
      </c>
      <c r="J40" s="2">
        <f t="shared" si="4"/>
        <v>-5837689.3399999999</v>
      </c>
      <c r="K40" s="3">
        <f t="shared" si="5"/>
        <v>0</v>
      </c>
      <c r="L40" s="4"/>
    </row>
    <row r="41" spans="1:12" ht="12" thickBot="1" x14ac:dyDescent="0.25">
      <c r="A41" s="107" t="s">
        <v>79</v>
      </c>
      <c r="B41" s="107" t="s">
        <v>78</v>
      </c>
      <c r="C41" s="107" t="s">
        <v>314</v>
      </c>
      <c r="D41" s="107" t="s">
        <v>235</v>
      </c>
      <c r="E41" s="108">
        <v>-2647774.5</v>
      </c>
      <c r="F41" s="2">
        <f t="shared" si="6"/>
        <v>0</v>
      </c>
      <c r="G41" s="3">
        <f t="shared" si="1"/>
        <v>-2647774.5</v>
      </c>
      <c r="H41" s="2">
        <f t="shared" si="2"/>
        <v>0</v>
      </c>
      <c r="I41" s="3">
        <f t="shared" si="3"/>
        <v>0</v>
      </c>
      <c r="J41" s="2">
        <f t="shared" si="4"/>
        <v>0</v>
      </c>
      <c r="K41" s="3">
        <f t="shared" si="5"/>
        <v>-2647774.5</v>
      </c>
      <c r="L41" s="4"/>
    </row>
    <row r="42" spans="1:12" ht="12" thickBot="1" x14ac:dyDescent="0.25">
      <c r="A42" s="107" t="s">
        <v>80</v>
      </c>
      <c r="B42" s="107" t="s">
        <v>81</v>
      </c>
      <c r="C42" s="107" t="s">
        <v>314</v>
      </c>
      <c r="D42" s="107" t="s">
        <v>295</v>
      </c>
      <c r="E42" s="109">
        <v>3500</v>
      </c>
      <c r="F42" s="2">
        <f t="shared" si="6"/>
        <v>2309.3000000000002</v>
      </c>
      <c r="G42" s="3">
        <f t="shared" si="1"/>
        <v>1190.7</v>
      </c>
      <c r="H42" s="2">
        <f t="shared" si="2"/>
        <v>0</v>
      </c>
      <c r="I42" s="3">
        <f t="shared" si="3"/>
        <v>0</v>
      </c>
      <c r="J42" s="2">
        <f t="shared" si="4"/>
        <v>2309.3000000000002</v>
      </c>
      <c r="K42" s="3">
        <f t="shared" si="5"/>
        <v>1190.7</v>
      </c>
      <c r="L42" s="4"/>
    </row>
    <row r="43" spans="1:12" ht="12" thickBot="1" x14ac:dyDescent="0.25">
      <c r="A43" s="107" t="s">
        <v>77</v>
      </c>
      <c r="B43" s="107" t="s">
        <v>78</v>
      </c>
      <c r="C43" s="107" t="s">
        <v>314</v>
      </c>
      <c r="D43" s="107" t="s">
        <v>233</v>
      </c>
      <c r="E43" s="108">
        <v>-44394.14</v>
      </c>
      <c r="F43" s="2">
        <f t="shared" si="6"/>
        <v>-44394.14</v>
      </c>
      <c r="G43" s="3">
        <f t="shared" si="1"/>
        <v>0</v>
      </c>
      <c r="H43" s="2">
        <f t="shared" si="2"/>
        <v>0</v>
      </c>
      <c r="I43" s="3">
        <f t="shared" si="3"/>
        <v>0</v>
      </c>
      <c r="J43" s="2">
        <f t="shared" si="4"/>
        <v>-44394.14</v>
      </c>
      <c r="K43" s="3">
        <f t="shared" si="5"/>
        <v>0</v>
      </c>
      <c r="L43" s="4"/>
    </row>
    <row r="44" spans="1:12" ht="12" thickBot="1" x14ac:dyDescent="0.25">
      <c r="A44" s="107" t="s">
        <v>79</v>
      </c>
      <c r="B44" s="107" t="s">
        <v>78</v>
      </c>
      <c r="C44" s="107" t="s">
        <v>314</v>
      </c>
      <c r="D44" s="107" t="s">
        <v>233</v>
      </c>
      <c r="E44" s="109">
        <v>-129.19</v>
      </c>
      <c r="F44" s="2">
        <f t="shared" si="6"/>
        <v>0</v>
      </c>
      <c r="G44" s="3">
        <f t="shared" si="1"/>
        <v>-129.19</v>
      </c>
      <c r="H44" s="2">
        <f t="shared" si="2"/>
        <v>0</v>
      </c>
      <c r="I44" s="3">
        <f t="shared" si="3"/>
        <v>0</v>
      </c>
      <c r="J44" s="2">
        <f t="shared" si="4"/>
        <v>0</v>
      </c>
      <c r="K44" s="3">
        <f t="shared" si="5"/>
        <v>-129.19</v>
      </c>
      <c r="L44" s="4"/>
    </row>
    <row r="45" spans="1:12" ht="12" thickBot="1" x14ac:dyDescent="0.25">
      <c r="A45" s="107" t="s">
        <v>80</v>
      </c>
      <c r="B45" s="107" t="s">
        <v>81</v>
      </c>
      <c r="C45" s="107" t="s">
        <v>314</v>
      </c>
      <c r="D45" s="107" t="s">
        <v>233</v>
      </c>
      <c r="E45" s="108">
        <v>2224.66</v>
      </c>
      <c r="F45" s="2">
        <f t="shared" si="6"/>
        <v>1467.8306680000001</v>
      </c>
      <c r="G45" s="3">
        <f t="shared" si="1"/>
        <v>756.82933199999991</v>
      </c>
      <c r="H45" s="2">
        <f t="shared" si="2"/>
        <v>0</v>
      </c>
      <c r="I45" s="3">
        <f t="shared" si="3"/>
        <v>0</v>
      </c>
      <c r="J45" s="2">
        <f t="shared" si="4"/>
        <v>1467.8306680000001</v>
      </c>
      <c r="K45" s="3">
        <f t="shared" si="5"/>
        <v>756.82933199999991</v>
      </c>
      <c r="L45" s="4"/>
    </row>
    <row r="46" spans="1:12" ht="12" thickBot="1" x14ac:dyDescent="0.25">
      <c r="A46" s="107" t="s">
        <v>79</v>
      </c>
      <c r="B46" s="107" t="s">
        <v>78</v>
      </c>
      <c r="C46" s="107" t="s">
        <v>314</v>
      </c>
      <c r="D46" s="107" t="s">
        <v>282</v>
      </c>
      <c r="E46" s="109">
        <v>82.04</v>
      </c>
      <c r="F46" s="2">
        <f t="shared" si="6"/>
        <v>0</v>
      </c>
      <c r="G46" s="3">
        <f t="shared" si="1"/>
        <v>82.04</v>
      </c>
      <c r="H46" s="2">
        <f t="shared" si="2"/>
        <v>0</v>
      </c>
      <c r="I46" s="3">
        <f t="shared" si="3"/>
        <v>0</v>
      </c>
      <c r="J46" s="2">
        <f t="shared" si="4"/>
        <v>0</v>
      </c>
      <c r="K46" s="3">
        <f t="shared" si="5"/>
        <v>82.04</v>
      </c>
      <c r="L46" s="4"/>
    </row>
    <row r="47" spans="1:12" ht="12" thickBot="1" x14ac:dyDescent="0.25">
      <c r="A47" s="107" t="s">
        <v>77</v>
      </c>
      <c r="B47" s="107" t="s">
        <v>78</v>
      </c>
      <c r="C47" s="107" t="s">
        <v>314</v>
      </c>
      <c r="D47" s="107" t="s">
        <v>236</v>
      </c>
      <c r="E47" s="108">
        <v>4775096.68</v>
      </c>
      <c r="F47" s="2">
        <f t="shared" si="6"/>
        <v>4775096.68</v>
      </c>
      <c r="G47" s="3">
        <f t="shared" si="1"/>
        <v>0</v>
      </c>
      <c r="H47" s="2">
        <f t="shared" si="2"/>
        <v>0</v>
      </c>
      <c r="I47" s="3">
        <f t="shared" si="3"/>
        <v>0</v>
      </c>
      <c r="J47" s="2">
        <f t="shared" si="4"/>
        <v>4775096.68</v>
      </c>
      <c r="K47" s="3">
        <f t="shared" si="5"/>
        <v>0</v>
      </c>
      <c r="L47" s="4"/>
    </row>
    <row r="48" spans="1:12" ht="12" thickBot="1" x14ac:dyDescent="0.25">
      <c r="A48" s="107" t="s">
        <v>79</v>
      </c>
      <c r="B48" s="107" t="s">
        <v>78</v>
      </c>
      <c r="C48" s="107" t="s">
        <v>314</v>
      </c>
      <c r="D48" s="107" t="s">
        <v>236</v>
      </c>
      <c r="E48" s="109">
        <v>1658122.25</v>
      </c>
      <c r="F48" s="2">
        <f t="shared" si="6"/>
        <v>0</v>
      </c>
      <c r="G48" s="3">
        <f t="shared" si="1"/>
        <v>1658122.25</v>
      </c>
      <c r="H48" s="2">
        <f t="shared" si="2"/>
        <v>0</v>
      </c>
      <c r="I48" s="3">
        <f t="shared" si="3"/>
        <v>0</v>
      </c>
      <c r="J48" s="2">
        <f t="shared" si="4"/>
        <v>0</v>
      </c>
      <c r="K48" s="3">
        <f t="shared" si="5"/>
        <v>1658122.25</v>
      </c>
      <c r="L48" s="4"/>
    </row>
    <row r="49" spans="1:12" ht="12" thickBot="1" x14ac:dyDescent="0.25">
      <c r="A49" s="107" t="s">
        <v>77</v>
      </c>
      <c r="B49" s="107" t="s">
        <v>78</v>
      </c>
      <c r="C49" s="107" t="s">
        <v>314</v>
      </c>
      <c r="D49" s="107" t="s">
        <v>234</v>
      </c>
      <c r="E49" s="108">
        <v>7658142.1100000003</v>
      </c>
      <c r="F49" s="2">
        <f t="shared" si="6"/>
        <v>7658142.1100000003</v>
      </c>
      <c r="G49" s="3">
        <f t="shared" si="1"/>
        <v>0</v>
      </c>
      <c r="H49" s="2">
        <f t="shared" si="2"/>
        <v>0</v>
      </c>
      <c r="I49" s="3">
        <f t="shared" si="3"/>
        <v>0</v>
      </c>
      <c r="J49" s="2">
        <f t="shared" si="4"/>
        <v>7658142.1100000003</v>
      </c>
      <c r="K49" s="3">
        <f t="shared" si="5"/>
        <v>0</v>
      </c>
      <c r="L49" s="4"/>
    </row>
    <row r="50" spans="1:12" ht="12" thickBot="1" x14ac:dyDescent="0.25">
      <c r="A50" s="107" t="s">
        <v>79</v>
      </c>
      <c r="B50" s="107" t="s">
        <v>78</v>
      </c>
      <c r="C50" s="107" t="s">
        <v>314</v>
      </c>
      <c r="D50" s="107" t="s">
        <v>234</v>
      </c>
      <c r="E50" s="109">
        <v>4007624.59</v>
      </c>
      <c r="F50" s="2">
        <f t="shared" si="6"/>
        <v>0</v>
      </c>
      <c r="G50" s="3">
        <f t="shared" si="1"/>
        <v>4007624.59</v>
      </c>
      <c r="H50" s="2">
        <f t="shared" si="2"/>
        <v>0</v>
      </c>
      <c r="I50" s="3">
        <f t="shared" si="3"/>
        <v>0</v>
      </c>
      <c r="J50" s="2">
        <f t="shared" si="4"/>
        <v>0</v>
      </c>
      <c r="K50" s="3">
        <f t="shared" si="5"/>
        <v>4007624.59</v>
      </c>
      <c r="L50" s="4"/>
    </row>
    <row r="51" spans="1:12" ht="12" thickBot="1" x14ac:dyDescent="0.25">
      <c r="A51" s="107" t="s">
        <v>80</v>
      </c>
      <c r="B51" s="107" t="s">
        <v>81</v>
      </c>
      <c r="C51" s="107" t="s">
        <v>314</v>
      </c>
      <c r="D51" s="107" t="s">
        <v>234</v>
      </c>
      <c r="E51" s="108">
        <v>238235.54</v>
      </c>
      <c r="F51" s="2">
        <f t="shared" si="6"/>
        <v>157187.80929200002</v>
      </c>
      <c r="G51" s="3">
        <f t="shared" si="1"/>
        <v>81047.730708000003</v>
      </c>
      <c r="H51" s="2">
        <f t="shared" si="2"/>
        <v>0</v>
      </c>
      <c r="I51" s="3">
        <f t="shared" si="3"/>
        <v>0</v>
      </c>
      <c r="J51" s="2">
        <f t="shared" si="4"/>
        <v>157187.80929200002</v>
      </c>
      <c r="K51" s="3">
        <f t="shared" si="5"/>
        <v>81047.730708000003</v>
      </c>
      <c r="L51" s="4"/>
    </row>
    <row r="52" spans="1:12" ht="12" thickBot="1" x14ac:dyDescent="0.25">
      <c r="A52" s="107" t="s">
        <v>77</v>
      </c>
      <c r="B52" s="107" t="s">
        <v>78</v>
      </c>
      <c r="C52" s="107" t="s">
        <v>315</v>
      </c>
      <c r="D52" s="107" t="s">
        <v>240</v>
      </c>
      <c r="E52" s="109">
        <v>-4775096.68</v>
      </c>
      <c r="F52" s="2">
        <f t="shared" si="6"/>
        <v>-4775096.68</v>
      </c>
      <c r="G52" s="3">
        <f t="shared" si="1"/>
        <v>0</v>
      </c>
      <c r="H52" s="2">
        <f t="shared" si="2"/>
        <v>0</v>
      </c>
      <c r="I52" s="3">
        <f t="shared" si="3"/>
        <v>0</v>
      </c>
      <c r="J52" s="2">
        <f t="shared" si="4"/>
        <v>-4775096.68</v>
      </c>
      <c r="K52" s="3">
        <f t="shared" si="5"/>
        <v>0</v>
      </c>
      <c r="L52" s="4"/>
    </row>
    <row r="53" spans="1:12" ht="12" thickBot="1" x14ac:dyDescent="0.25">
      <c r="A53" s="107" t="s">
        <v>79</v>
      </c>
      <c r="B53" s="107" t="s">
        <v>78</v>
      </c>
      <c r="C53" s="107" t="s">
        <v>315</v>
      </c>
      <c r="D53" s="107" t="s">
        <v>240</v>
      </c>
      <c r="E53" s="108">
        <v>-1658122.25</v>
      </c>
      <c r="F53" s="2">
        <f t="shared" si="6"/>
        <v>0</v>
      </c>
      <c r="G53" s="3">
        <f t="shared" si="1"/>
        <v>-1658122.25</v>
      </c>
      <c r="H53" s="2">
        <f t="shared" si="2"/>
        <v>0</v>
      </c>
      <c r="I53" s="3">
        <f t="shared" si="3"/>
        <v>0</v>
      </c>
      <c r="J53" s="2">
        <f t="shared" si="4"/>
        <v>0</v>
      </c>
      <c r="K53" s="3">
        <f t="shared" si="5"/>
        <v>-1658122.25</v>
      </c>
      <c r="L53" s="4"/>
    </row>
    <row r="54" spans="1:12" ht="12" thickBot="1" x14ac:dyDescent="0.25">
      <c r="A54" s="107" t="s">
        <v>80</v>
      </c>
      <c r="B54" s="107" t="s">
        <v>81</v>
      </c>
      <c r="C54" s="107" t="s">
        <v>315</v>
      </c>
      <c r="D54" s="107" t="s">
        <v>296</v>
      </c>
      <c r="E54" s="109">
        <v>1500</v>
      </c>
      <c r="F54" s="2">
        <f t="shared" si="6"/>
        <v>989.7</v>
      </c>
      <c r="G54" s="3">
        <f t="shared" si="1"/>
        <v>510.3</v>
      </c>
      <c r="H54" s="2">
        <f t="shared" si="2"/>
        <v>0</v>
      </c>
      <c r="I54" s="3">
        <f t="shared" si="3"/>
        <v>0</v>
      </c>
      <c r="J54" s="2">
        <f t="shared" si="4"/>
        <v>989.7</v>
      </c>
      <c r="K54" s="3">
        <f t="shared" si="5"/>
        <v>510.3</v>
      </c>
      <c r="L54" s="4"/>
    </row>
    <row r="55" spans="1:12" ht="12" thickBot="1" x14ac:dyDescent="0.25">
      <c r="A55" s="107" t="s">
        <v>79</v>
      </c>
      <c r="B55" s="107" t="s">
        <v>78</v>
      </c>
      <c r="C55" s="107" t="s">
        <v>315</v>
      </c>
      <c r="D55" s="107" t="s">
        <v>238</v>
      </c>
      <c r="E55" s="108">
        <v>-82.04</v>
      </c>
      <c r="F55" s="2">
        <f t="shared" si="6"/>
        <v>0</v>
      </c>
      <c r="G55" s="3">
        <f t="shared" si="1"/>
        <v>-82.04</v>
      </c>
      <c r="H55" s="2">
        <f t="shared" si="2"/>
        <v>0</v>
      </c>
      <c r="I55" s="3">
        <f t="shared" si="3"/>
        <v>0</v>
      </c>
      <c r="J55" s="2">
        <f t="shared" si="4"/>
        <v>0</v>
      </c>
      <c r="K55" s="3">
        <f t="shared" si="5"/>
        <v>-82.04</v>
      </c>
      <c r="L55" s="4"/>
    </row>
    <row r="56" spans="1:12" ht="12" thickBot="1" x14ac:dyDescent="0.25">
      <c r="A56" s="107" t="s">
        <v>77</v>
      </c>
      <c r="B56" s="107" t="s">
        <v>78</v>
      </c>
      <c r="C56" s="107" t="s">
        <v>315</v>
      </c>
      <c r="D56" s="107" t="s">
        <v>238</v>
      </c>
      <c r="E56" s="109">
        <v>0.01</v>
      </c>
      <c r="F56" s="2">
        <f t="shared" si="6"/>
        <v>0.01</v>
      </c>
      <c r="G56" s="3">
        <f t="shared" si="1"/>
        <v>0</v>
      </c>
      <c r="H56" s="2">
        <f t="shared" si="2"/>
        <v>0</v>
      </c>
      <c r="I56" s="3">
        <f t="shared" si="3"/>
        <v>0</v>
      </c>
      <c r="J56" s="2">
        <f t="shared" si="4"/>
        <v>0.01</v>
      </c>
      <c r="K56" s="3">
        <f t="shared" si="5"/>
        <v>0</v>
      </c>
      <c r="L56" s="4"/>
    </row>
    <row r="57" spans="1:12" ht="12" thickBot="1" x14ac:dyDescent="0.25">
      <c r="A57" s="107" t="s">
        <v>80</v>
      </c>
      <c r="B57" s="107" t="s">
        <v>81</v>
      </c>
      <c r="C57" s="107" t="s">
        <v>315</v>
      </c>
      <c r="D57" s="107" t="s">
        <v>238</v>
      </c>
      <c r="E57" s="108">
        <v>3144.3</v>
      </c>
      <c r="F57" s="2">
        <f t="shared" si="6"/>
        <v>2074.6091400000005</v>
      </c>
      <c r="G57" s="3">
        <f t="shared" si="1"/>
        <v>1069.6908600000002</v>
      </c>
      <c r="H57" s="2">
        <f t="shared" si="2"/>
        <v>0</v>
      </c>
      <c r="I57" s="3">
        <f t="shared" si="3"/>
        <v>0</v>
      </c>
      <c r="J57" s="2">
        <f t="shared" si="4"/>
        <v>2074.6091400000005</v>
      </c>
      <c r="K57" s="3">
        <f t="shared" si="5"/>
        <v>1069.6908600000002</v>
      </c>
      <c r="L57" s="4"/>
    </row>
    <row r="58" spans="1:12" ht="12" thickBot="1" x14ac:dyDescent="0.25">
      <c r="A58" s="107" t="s">
        <v>80</v>
      </c>
      <c r="B58" s="107" t="s">
        <v>81</v>
      </c>
      <c r="C58" s="107" t="s">
        <v>315</v>
      </c>
      <c r="D58" s="107" t="s">
        <v>297</v>
      </c>
      <c r="E58" s="109">
        <v>-30.75</v>
      </c>
      <c r="F58" s="2">
        <f t="shared" si="6"/>
        <v>-20.28885</v>
      </c>
      <c r="G58" s="3">
        <f t="shared" si="1"/>
        <v>-10.46115</v>
      </c>
      <c r="H58" s="2">
        <f t="shared" si="2"/>
        <v>0</v>
      </c>
      <c r="I58" s="3">
        <f t="shared" si="3"/>
        <v>0</v>
      </c>
      <c r="J58" s="2">
        <f t="shared" si="4"/>
        <v>-20.28885</v>
      </c>
      <c r="K58" s="3">
        <f t="shared" si="5"/>
        <v>-10.46115</v>
      </c>
      <c r="L58" s="4"/>
    </row>
    <row r="59" spans="1:12" ht="12" thickBot="1" x14ac:dyDescent="0.25">
      <c r="A59" s="107" t="s">
        <v>80</v>
      </c>
      <c r="B59" s="107" t="s">
        <v>81</v>
      </c>
      <c r="C59" s="107" t="s">
        <v>315</v>
      </c>
      <c r="D59" s="107" t="s">
        <v>297</v>
      </c>
      <c r="E59" s="108">
        <v>30.75</v>
      </c>
      <c r="F59" s="2">
        <f t="shared" si="6"/>
        <v>20.28885</v>
      </c>
      <c r="G59" s="3">
        <f t="shared" si="1"/>
        <v>10.46115</v>
      </c>
      <c r="H59" s="2">
        <f t="shared" si="2"/>
        <v>0</v>
      </c>
      <c r="I59" s="3">
        <f t="shared" si="3"/>
        <v>0</v>
      </c>
      <c r="J59" s="2">
        <f t="shared" si="4"/>
        <v>20.28885</v>
      </c>
      <c r="K59" s="3">
        <f t="shared" si="5"/>
        <v>10.46115</v>
      </c>
      <c r="L59" s="4"/>
    </row>
    <row r="60" spans="1:12" ht="12" thickBot="1" x14ac:dyDescent="0.25">
      <c r="A60" s="107" t="s">
        <v>79</v>
      </c>
      <c r="B60" s="107" t="s">
        <v>78</v>
      </c>
      <c r="C60" s="107" t="s">
        <v>315</v>
      </c>
      <c r="D60" s="107" t="s">
        <v>283</v>
      </c>
      <c r="E60" s="109">
        <v>39.07</v>
      </c>
      <c r="F60" s="2">
        <f t="shared" si="6"/>
        <v>0</v>
      </c>
      <c r="G60" s="3">
        <f t="shared" si="1"/>
        <v>39.07</v>
      </c>
      <c r="H60" s="2">
        <f t="shared" si="2"/>
        <v>0</v>
      </c>
      <c r="I60" s="3">
        <f t="shared" si="3"/>
        <v>0</v>
      </c>
      <c r="J60" s="2">
        <f t="shared" si="4"/>
        <v>0</v>
      </c>
      <c r="K60" s="3">
        <f t="shared" si="5"/>
        <v>39.07</v>
      </c>
      <c r="L60" s="4"/>
    </row>
    <row r="61" spans="1:12" ht="12" thickBot="1" x14ac:dyDescent="0.25">
      <c r="A61" s="107" t="s">
        <v>77</v>
      </c>
      <c r="B61" s="107" t="s">
        <v>78</v>
      </c>
      <c r="C61" s="107" t="s">
        <v>315</v>
      </c>
      <c r="D61" s="107" t="s">
        <v>241</v>
      </c>
      <c r="E61" s="108">
        <v>4752481.04</v>
      </c>
      <c r="F61" s="2">
        <f t="shared" si="6"/>
        <v>4752481.04</v>
      </c>
      <c r="G61" s="3">
        <f t="shared" si="1"/>
        <v>0</v>
      </c>
      <c r="H61" s="2">
        <f t="shared" si="2"/>
        <v>0</v>
      </c>
      <c r="I61" s="3">
        <f t="shared" si="3"/>
        <v>0</v>
      </c>
      <c r="J61" s="2">
        <f t="shared" si="4"/>
        <v>4752481.04</v>
      </c>
      <c r="K61" s="3">
        <f t="shared" si="5"/>
        <v>0</v>
      </c>
      <c r="L61" s="4"/>
    </row>
    <row r="62" spans="1:12" ht="12" thickBot="1" x14ac:dyDescent="0.25">
      <c r="A62" s="107" t="s">
        <v>79</v>
      </c>
      <c r="B62" s="107" t="s">
        <v>78</v>
      </c>
      <c r="C62" s="107" t="s">
        <v>315</v>
      </c>
      <c r="D62" s="107" t="s">
        <v>241</v>
      </c>
      <c r="E62" s="109">
        <v>1456838.99</v>
      </c>
      <c r="F62" s="2">
        <f t="shared" si="6"/>
        <v>0</v>
      </c>
      <c r="G62" s="3">
        <f t="shared" si="1"/>
        <v>1456838.99</v>
      </c>
      <c r="H62" s="2">
        <f t="shared" si="2"/>
        <v>0</v>
      </c>
      <c r="I62" s="3">
        <f t="shared" si="3"/>
        <v>0</v>
      </c>
      <c r="J62" s="2">
        <f t="shared" si="4"/>
        <v>0</v>
      </c>
      <c r="K62" s="3">
        <f t="shared" si="5"/>
        <v>1456838.99</v>
      </c>
      <c r="L62" s="4"/>
    </row>
    <row r="63" spans="1:12" ht="12" thickBot="1" x14ac:dyDescent="0.25">
      <c r="A63" s="107" t="s">
        <v>77</v>
      </c>
      <c r="B63" s="107" t="s">
        <v>78</v>
      </c>
      <c r="C63" s="107" t="s">
        <v>315</v>
      </c>
      <c r="D63" s="107" t="s">
        <v>239</v>
      </c>
      <c r="E63" s="108">
        <v>6263233.0300000003</v>
      </c>
      <c r="F63" s="2">
        <f t="shared" si="6"/>
        <v>6263233.0300000003</v>
      </c>
      <c r="G63" s="3">
        <f t="shared" si="1"/>
        <v>0</v>
      </c>
      <c r="H63" s="2">
        <f t="shared" si="2"/>
        <v>0</v>
      </c>
      <c r="I63" s="3">
        <f t="shared" si="3"/>
        <v>0</v>
      </c>
      <c r="J63" s="2">
        <f t="shared" si="4"/>
        <v>6263233.0300000003</v>
      </c>
      <c r="K63" s="3">
        <f t="shared" si="5"/>
        <v>0</v>
      </c>
      <c r="L63" s="4"/>
    </row>
    <row r="64" spans="1:12" ht="12" thickBot="1" x14ac:dyDescent="0.25">
      <c r="A64" s="107" t="s">
        <v>79</v>
      </c>
      <c r="B64" s="107" t="s">
        <v>78</v>
      </c>
      <c r="C64" s="107" t="s">
        <v>315</v>
      </c>
      <c r="D64" s="107" t="s">
        <v>239</v>
      </c>
      <c r="E64" s="109">
        <v>2491650.7599999998</v>
      </c>
      <c r="F64" s="2">
        <f t="shared" si="6"/>
        <v>0</v>
      </c>
      <c r="G64" s="3">
        <f t="shared" si="1"/>
        <v>2491650.7599999998</v>
      </c>
      <c r="H64" s="2">
        <f t="shared" si="2"/>
        <v>0</v>
      </c>
      <c r="I64" s="3">
        <f t="shared" si="3"/>
        <v>0</v>
      </c>
      <c r="J64" s="2">
        <f t="shared" si="4"/>
        <v>0</v>
      </c>
      <c r="K64" s="3">
        <f t="shared" si="5"/>
        <v>2491650.7599999998</v>
      </c>
      <c r="L64" s="4"/>
    </row>
    <row r="65" spans="1:12" ht="12" thickBot="1" x14ac:dyDescent="0.25">
      <c r="A65" s="107" t="s">
        <v>80</v>
      </c>
      <c r="B65" s="107" t="s">
        <v>81</v>
      </c>
      <c r="C65" s="107" t="s">
        <v>315</v>
      </c>
      <c r="D65" s="107" t="s">
        <v>239</v>
      </c>
      <c r="E65" s="108">
        <v>191231.34</v>
      </c>
      <c r="F65" s="2">
        <f t="shared" si="6"/>
        <v>126174.43813200001</v>
      </c>
      <c r="G65" s="3">
        <f t="shared" si="1"/>
        <v>65056.901868000001</v>
      </c>
      <c r="H65" s="2">
        <f t="shared" si="2"/>
        <v>0</v>
      </c>
      <c r="I65" s="3">
        <f t="shared" si="3"/>
        <v>0</v>
      </c>
      <c r="J65" s="2">
        <f t="shared" si="4"/>
        <v>126174.43813200001</v>
      </c>
      <c r="K65" s="3">
        <f t="shared" si="5"/>
        <v>65056.901868000001</v>
      </c>
      <c r="L65" s="4"/>
    </row>
    <row r="66" spans="1:12" ht="12" thickBot="1" x14ac:dyDescent="0.25">
      <c r="A66" s="107" t="s">
        <v>80</v>
      </c>
      <c r="B66" s="107" t="s">
        <v>81</v>
      </c>
      <c r="C66" s="107" t="s">
        <v>316</v>
      </c>
      <c r="D66" s="107" t="s">
        <v>298</v>
      </c>
      <c r="E66" s="109">
        <v>-12.81</v>
      </c>
      <c r="F66" s="2">
        <f t="shared" si="6"/>
        <v>-8.4520380000000017</v>
      </c>
      <c r="G66" s="3">
        <f t="shared" si="1"/>
        <v>-4.3579620000000006</v>
      </c>
      <c r="H66" s="2">
        <f t="shared" si="2"/>
        <v>0</v>
      </c>
      <c r="I66" s="3">
        <f t="shared" si="3"/>
        <v>0</v>
      </c>
      <c r="J66" s="2">
        <f t="shared" si="4"/>
        <v>-8.4520380000000017</v>
      </c>
      <c r="K66" s="3">
        <f t="shared" si="5"/>
        <v>-4.3579620000000006</v>
      </c>
      <c r="L66" s="4"/>
    </row>
    <row r="67" spans="1:12" ht="12" thickBot="1" x14ac:dyDescent="0.25">
      <c r="A67" s="107" t="s">
        <v>80</v>
      </c>
      <c r="B67" s="107" t="s">
        <v>81</v>
      </c>
      <c r="C67" s="107" t="s">
        <v>316</v>
      </c>
      <c r="D67" s="107" t="s">
        <v>298</v>
      </c>
      <c r="E67" s="108">
        <v>12.81</v>
      </c>
      <c r="F67" s="2">
        <f t="shared" ref="F67:F98" si="7">IF($A67="40810002",$E67,IF($A67="40810602",$E67*$N$4,0))</f>
        <v>8.4520380000000017</v>
      </c>
      <c r="G67" s="3">
        <f t="shared" si="1"/>
        <v>4.3579620000000006</v>
      </c>
      <c r="H67" s="2">
        <f t="shared" si="2"/>
        <v>0</v>
      </c>
      <c r="I67" s="3">
        <f t="shared" si="3"/>
        <v>0</v>
      </c>
      <c r="J67" s="2">
        <f t="shared" si="4"/>
        <v>8.4520380000000017</v>
      </c>
      <c r="K67" s="3">
        <f t="shared" si="5"/>
        <v>4.3579620000000006</v>
      </c>
      <c r="L67" s="4"/>
    </row>
    <row r="68" spans="1:12" ht="12" thickBot="1" x14ac:dyDescent="0.25">
      <c r="A68" s="107" t="s">
        <v>77</v>
      </c>
      <c r="B68" s="107" t="s">
        <v>78</v>
      </c>
      <c r="C68" s="107" t="s">
        <v>316</v>
      </c>
      <c r="D68" s="107" t="s">
        <v>245</v>
      </c>
      <c r="E68" s="109">
        <v>-4752481.04</v>
      </c>
      <c r="F68" s="2">
        <f t="shared" si="7"/>
        <v>-4752481.04</v>
      </c>
      <c r="G68" s="3">
        <f t="shared" ref="G68:G131" si="8">IF($A68="40810302",$E68,IF($A68="40810602",$E68*$N$5,0))</f>
        <v>0</v>
      </c>
      <c r="H68" s="2">
        <f t="shared" ref="H68:H131" si="9">IF(L68=1,-F68,0)</f>
        <v>0</v>
      </c>
      <c r="I68" s="3">
        <f t="shared" ref="I68:I131" si="10">IF(L68=1,-G68,0)</f>
        <v>0</v>
      </c>
      <c r="J68" s="2">
        <f t="shared" ref="J68:J131" si="11">F68+H68</f>
        <v>-4752481.04</v>
      </c>
      <c r="K68" s="3">
        <f t="shared" ref="K68:K131" si="12">G68+I68</f>
        <v>0</v>
      </c>
      <c r="L68" s="4"/>
    </row>
    <row r="69" spans="1:12" ht="12" thickBot="1" x14ac:dyDescent="0.25">
      <c r="A69" s="107" t="s">
        <v>79</v>
      </c>
      <c r="B69" s="107" t="s">
        <v>78</v>
      </c>
      <c r="C69" s="107" t="s">
        <v>316</v>
      </c>
      <c r="D69" s="107" t="s">
        <v>245</v>
      </c>
      <c r="E69" s="108">
        <v>-1456838.99</v>
      </c>
      <c r="F69" s="2">
        <f t="shared" si="7"/>
        <v>0</v>
      </c>
      <c r="G69" s="3">
        <f t="shared" si="8"/>
        <v>-1456838.99</v>
      </c>
      <c r="H69" s="2">
        <f t="shared" si="9"/>
        <v>0</v>
      </c>
      <c r="I69" s="3">
        <f t="shared" si="10"/>
        <v>0</v>
      </c>
      <c r="J69" s="2">
        <f t="shared" si="11"/>
        <v>0</v>
      </c>
      <c r="K69" s="3">
        <f t="shared" si="12"/>
        <v>-1456838.99</v>
      </c>
      <c r="L69" s="4"/>
    </row>
    <row r="70" spans="1:12" ht="12" thickBot="1" x14ac:dyDescent="0.25">
      <c r="A70" s="107" t="s">
        <v>80</v>
      </c>
      <c r="B70" s="107" t="s">
        <v>81</v>
      </c>
      <c r="C70" s="107" t="s">
        <v>316</v>
      </c>
      <c r="D70" s="107" t="s">
        <v>300</v>
      </c>
      <c r="E70" s="109">
        <v>0.31</v>
      </c>
      <c r="F70" s="2">
        <f t="shared" si="7"/>
        <v>0.20453800000000003</v>
      </c>
      <c r="G70" s="3">
        <f t="shared" si="8"/>
        <v>0.105462</v>
      </c>
      <c r="H70" s="2">
        <f t="shared" si="9"/>
        <v>0</v>
      </c>
      <c r="I70" s="3">
        <f t="shared" si="10"/>
        <v>0</v>
      </c>
      <c r="J70" s="2">
        <f t="shared" si="11"/>
        <v>0.20453800000000003</v>
      </c>
      <c r="K70" s="3">
        <f t="shared" si="12"/>
        <v>0.105462</v>
      </c>
      <c r="L70" s="4"/>
    </row>
    <row r="71" spans="1:12" ht="12" thickBot="1" x14ac:dyDescent="0.25">
      <c r="A71" s="107" t="s">
        <v>80</v>
      </c>
      <c r="B71" s="107" t="s">
        <v>81</v>
      </c>
      <c r="C71" s="107" t="s">
        <v>316</v>
      </c>
      <c r="D71" s="107" t="s">
        <v>300</v>
      </c>
      <c r="E71" s="108">
        <v>12.5</v>
      </c>
      <c r="F71" s="2">
        <f t="shared" si="7"/>
        <v>8.2475000000000005</v>
      </c>
      <c r="G71" s="3">
        <f t="shared" si="8"/>
        <v>4.2525000000000004</v>
      </c>
      <c r="H71" s="2">
        <f t="shared" si="9"/>
        <v>0</v>
      </c>
      <c r="I71" s="3">
        <f t="shared" si="10"/>
        <v>0</v>
      </c>
      <c r="J71" s="2">
        <f t="shared" si="11"/>
        <v>8.2475000000000005</v>
      </c>
      <c r="K71" s="3">
        <f t="shared" si="12"/>
        <v>4.2525000000000004</v>
      </c>
      <c r="L71" s="4"/>
    </row>
    <row r="72" spans="1:12" ht="12" thickBot="1" x14ac:dyDescent="0.25">
      <c r="A72" s="107" t="s">
        <v>77</v>
      </c>
      <c r="B72" s="107" t="s">
        <v>78</v>
      </c>
      <c r="C72" s="107" t="s">
        <v>316</v>
      </c>
      <c r="D72" s="107" t="s">
        <v>243</v>
      </c>
      <c r="E72" s="109">
        <v>-25440.32</v>
      </c>
      <c r="F72" s="2">
        <f t="shared" si="7"/>
        <v>-25440.32</v>
      </c>
      <c r="G72" s="3">
        <f t="shared" si="8"/>
        <v>0</v>
      </c>
      <c r="H72" s="2">
        <f t="shared" si="9"/>
        <v>0</v>
      </c>
      <c r="I72" s="3">
        <f t="shared" si="10"/>
        <v>0</v>
      </c>
      <c r="J72" s="2">
        <f t="shared" si="11"/>
        <v>-25440.32</v>
      </c>
      <c r="K72" s="3">
        <f t="shared" si="12"/>
        <v>0</v>
      </c>
      <c r="L72" s="4"/>
    </row>
    <row r="73" spans="1:12" ht="12" thickBot="1" x14ac:dyDescent="0.25">
      <c r="A73" s="107" t="s">
        <v>79</v>
      </c>
      <c r="B73" s="107" t="s">
        <v>78</v>
      </c>
      <c r="C73" s="107" t="s">
        <v>316</v>
      </c>
      <c r="D73" s="107" t="s">
        <v>243</v>
      </c>
      <c r="E73" s="108">
        <v>-39.07</v>
      </c>
      <c r="F73" s="2">
        <f t="shared" si="7"/>
        <v>0</v>
      </c>
      <c r="G73" s="3">
        <f t="shared" si="8"/>
        <v>-39.07</v>
      </c>
      <c r="H73" s="2">
        <f t="shared" si="9"/>
        <v>0</v>
      </c>
      <c r="I73" s="3">
        <f t="shared" si="10"/>
        <v>0</v>
      </c>
      <c r="J73" s="2">
        <f t="shared" si="11"/>
        <v>0</v>
      </c>
      <c r="K73" s="3">
        <f t="shared" si="12"/>
        <v>-39.07</v>
      </c>
      <c r="L73" s="4"/>
    </row>
    <row r="74" spans="1:12" ht="12" thickBot="1" x14ac:dyDescent="0.25">
      <c r="A74" s="107" t="s">
        <v>80</v>
      </c>
      <c r="B74" s="107" t="s">
        <v>81</v>
      </c>
      <c r="C74" s="107" t="s">
        <v>316</v>
      </c>
      <c r="D74" s="107" t="s">
        <v>243</v>
      </c>
      <c r="E74" s="109">
        <v>3129.93</v>
      </c>
      <c r="F74" s="2">
        <f t="shared" si="7"/>
        <v>2065.1278139999999</v>
      </c>
      <c r="G74" s="3">
        <f t="shared" si="8"/>
        <v>1064.8021859999999</v>
      </c>
      <c r="H74" s="2">
        <f t="shared" si="9"/>
        <v>0</v>
      </c>
      <c r="I74" s="3">
        <f t="shared" si="10"/>
        <v>0</v>
      </c>
      <c r="J74" s="2">
        <f t="shared" si="11"/>
        <v>2065.1278139999999</v>
      </c>
      <c r="K74" s="3">
        <f t="shared" si="12"/>
        <v>1064.8021859999999</v>
      </c>
      <c r="L74" s="4"/>
    </row>
    <row r="75" spans="1:12" ht="12" thickBot="1" x14ac:dyDescent="0.25">
      <c r="A75" s="107" t="s">
        <v>80</v>
      </c>
      <c r="B75" s="107" t="s">
        <v>81</v>
      </c>
      <c r="C75" s="107" t="s">
        <v>316</v>
      </c>
      <c r="D75" s="107" t="s">
        <v>299</v>
      </c>
      <c r="E75" s="108">
        <v>12500</v>
      </c>
      <c r="F75" s="2">
        <f t="shared" si="7"/>
        <v>8247.5</v>
      </c>
      <c r="G75" s="3">
        <f t="shared" si="8"/>
        <v>4252.5</v>
      </c>
      <c r="H75" s="2">
        <f t="shared" si="9"/>
        <v>0</v>
      </c>
      <c r="I75" s="3">
        <f t="shared" si="10"/>
        <v>0</v>
      </c>
      <c r="J75" s="2">
        <f t="shared" si="11"/>
        <v>8247.5</v>
      </c>
      <c r="K75" s="3">
        <f t="shared" si="12"/>
        <v>4252.5</v>
      </c>
      <c r="L75" s="4"/>
    </row>
    <row r="76" spans="1:12" ht="12" thickBot="1" x14ac:dyDescent="0.25">
      <c r="A76" s="107" t="s">
        <v>79</v>
      </c>
      <c r="B76" s="107" t="s">
        <v>78</v>
      </c>
      <c r="C76" s="107" t="s">
        <v>316</v>
      </c>
      <c r="D76" s="107" t="s">
        <v>284</v>
      </c>
      <c r="E76" s="109">
        <v>21.1</v>
      </c>
      <c r="F76" s="2">
        <f t="shared" si="7"/>
        <v>0</v>
      </c>
      <c r="G76" s="3">
        <f t="shared" si="8"/>
        <v>21.1</v>
      </c>
      <c r="H76" s="2">
        <f t="shared" si="9"/>
        <v>0</v>
      </c>
      <c r="I76" s="3">
        <f t="shared" si="10"/>
        <v>0</v>
      </c>
      <c r="J76" s="2">
        <f t="shared" si="11"/>
        <v>0</v>
      </c>
      <c r="K76" s="3">
        <f t="shared" si="12"/>
        <v>21.1</v>
      </c>
      <c r="L76" s="4"/>
    </row>
    <row r="77" spans="1:12" ht="12" thickBot="1" x14ac:dyDescent="0.25">
      <c r="A77" s="107" t="s">
        <v>77</v>
      </c>
      <c r="B77" s="107" t="s">
        <v>78</v>
      </c>
      <c r="C77" s="107" t="s">
        <v>316</v>
      </c>
      <c r="D77" s="107" t="s">
        <v>246</v>
      </c>
      <c r="E77" s="108">
        <v>5132165.62</v>
      </c>
      <c r="F77" s="2">
        <f t="shared" si="7"/>
        <v>5132165.62</v>
      </c>
      <c r="G77" s="3">
        <f t="shared" si="8"/>
        <v>0</v>
      </c>
      <c r="H77" s="2">
        <f t="shared" si="9"/>
        <v>0</v>
      </c>
      <c r="I77" s="3">
        <f t="shared" si="10"/>
        <v>0</v>
      </c>
      <c r="J77" s="2">
        <f t="shared" si="11"/>
        <v>5132165.62</v>
      </c>
      <c r="K77" s="3">
        <f t="shared" si="12"/>
        <v>0</v>
      </c>
      <c r="L77" s="4"/>
    </row>
    <row r="78" spans="1:12" ht="12" thickBot="1" x14ac:dyDescent="0.25">
      <c r="A78" s="107" t="s">
        <v>79</v>
      </c>
      <c r="B78" s="107" t="s">
        <v>78</v>
      </c>
      <c r="C78" s="107" t="s">
        <v>316</v>
      </c>
      <c r="D78" s="107" t="s">
        <v>246</v>
      </c>
      <c r="E78" s="109">
        <v>1097128.47</v>
      </c>
      <c r="F78" s="2">
        <f t="shared" si="7"/>
        <v>0</v>
      </c>
      <c r="G78" s="3">
        <f t="shared" si="8"/>
        <v>1097128.47</v>
      </c>
      <c r="H78" s="2">
        <f t="shared" si="9"/>
        <v>0</v>
      </c>
      <c r="I78" s="3">
        <f t="shared" si="10"/>
        <v>0</v>
      </c>
      <c r="J78" s="2">
        <f t="shared" si="11"/>
        <v>0</v>
      </c>
      <c r="K78" s="3">
        <f t="shared" si="12"/>
        <v>1097128.47</v>
      </c>
      <c r="L78" s="4"/>
    </row>
    <row r="79" spans="1:12" ht="12" thickBot="1" x14ac:dyDescent="0.25">
      <c r="A79" s="107" t="s">
        <v>77</v>
      </c>
      <c r="B79" s="107" t="s">
        <v>78</v>
      </c>
      <c r="C79" s="107" t="s">
        <v>316</v>
      </c>
      <c r="D79" s="107" t="s">
        <v>244</v>
      </c>
      <c r="E79" s="108">
        <v>6536758.75</v>
      </c>
      <c r="F79" s="2">
        <f t="shared" si="7"/>
        <v>6536758.75</v>
      </c>
      <c r="G79" s="3">
        <f t="shared" si="8"/>
        <v>0</v>
      </c>
      <c r="H79" s="2">
        <f t="shared" si="9"/>
        <v>0</v>
      </c>
      <c r="I79" s="3">
        <f t="shared" si="10"/>
        <v>0</v>
      </c>
      <c r="J79" s="2">
        <f t="shared" si="11"/>
        <v>6536758.75</v>
      </c>
      <c r="K79" s="3">
        <f t="shared" si="12"/>
        <v>0</v>
      </c>
      <c r="L79" s="4"/>
    </row>
    <row r="80" spans="1:12" ht="12" thickBot="1" x14ac:dyDescent="0.25">
      <c r="A80" s="107" t="s">
        <v>79</v>
      </c>
      <c r="B80" s="107" t="s">
        <v>78</v>
      </c>
      <c r="C80" s="107" t="s">
        <v>316</v>
      </c>
      <c r="D80" s="107" t="s">
        <v>244</v>
      </c>
      <c r="E80" s="109">
        <v>2062046.1</v>
      </c>
      <c r="F80" s="2">
        <f t="shared" si="7"/>
        <v>0</v>
      </c>
      <c r="G80" s="3">
        <f t="shared" si="8"/>
        <v>2062046.1</v>
      </c>
      <c r="H80" s="2">
        <f t="shared" si="9"/>
        <v>0</v>
      </c>
      <c r="I80" s="3">
        <f t="shared" si="10"/>
        <v>0</v>
      </c>
      <c r="J80" s="2">
        <f t="shared" si="11"/>
        <v>0</v>
      </c>
      <c r="K80" s="3">
        <f t="shared" si="12"/>
        <v>2062046.1</v>
      </c>
      <c r="L80" s="4"/>
    </row>
    <row r="81" spans="1:12" ht="12" thickBot="1" x14ac:dyDescent="0.25">
      <c r="A81" s="107" t="s">
        <v>80</v>
      </c>
      <c r="B81" s="107" t="s">
        <v>81</v>
      </c>
      <c r="C81" s="107" t="s">
        <v>316</v>
      </c>
      <c r="D81" s="107" t="s">
        <v>244</v>
      </c>
      <c r="E81" s="108">
        <v>226326.62</v>
      </c>
      <c r="F81" s="2">
        <f t="shared" si="7"/>
        <v>149330.30387600002</v>
      </c>
      <c r="G81" s="3">
        <f t="shared" si="8"/>
        <v>76996.316124000004</v>
      </c>
      <c r="H81" s="2">
        <f t="shared" si="9"/>
        <v>0</v>
      </c>
      <c r="I81" s="3">
        <f t="shared" si="10"/>
        <v>0</v>
      </c>
      <c r="J81" s="2">
        <f t="shared" si="11"/>
        <v>149330.30387600002</v>
      </c>
      <c r="K81" s="3">
        <f t="shared" si="12"/>
        <v>76996.316124000004</v>
      </c>
      <c r="L81" s="4"/>
    </row>
    <row r="82" spans="1:12" ht="12" thickBot="1" x14ac:dyDescent="0.25">
      <c r="A82" s="107" t="s">
        <v>77</v>
      </c>
      <c r="B82" s="107" t="s">
        <v>78</v>
      </c>
      <c r="C82" s="107" t="s">
        <v>317</v>
      </c>
      <c r="D82" s="107" t="s">
        <v>250</v>
      </c>
      <c r="E82" s="109">
        <v>-5132165.62</v>
      </c>
      <c r="F82" s="2">
        <f t="shared" si="7"/>
        <v>-5132165.62</v>
      </c>
      <c r="G82" s="3">
        <f t="shared" si="8"/>
        <v>0</v>
      </c>
      <c r="H82" s="2">
        <f t="shared" si="9"/>
        <v>0</v>
      </c>
      <c r="I82" s="3">
        <f t="shared" si="10"/>
        <v>0</v>
      </c>
      <c r="J82" s="2">
        <f t="shared" si="11"/>
        <v>-5132165.62</v>
      </c>
      <c r="K82" s="3">
        <f t="shared" si="12"/>
        <v>0</v>
      </c>
      <c r="L82" s="4"/>
    </row>
    <row r="83" spans="1:12" ht="12" thickBot="1" x14ac:dyDescent="0.25">
      <c r="A83" s="107" t="s">
        <v>79</v>
      </c>
      <c r="B83" s="107" t="s">
        <v>78</v>
      </c>
      <c r="C83" s="107" t="s">
        <v>317</v>
      </c>
      <c r="D83" s="107" t="s">
        <v>250</v>
      </c>
      <c r="E83" s="108">
        <v>-1097128.47</v>
      </c>
      <c r="F83" s="2">
        <f t="shared" si="7"/>
        <v>0</v>
      </c>
      <c r="G83" s="3">
        <f t="shared" si="8"/>
        <v>-1097128.47</v>
      </c>
      <c r="H83" s="2">
        <f t="shared" si="9"/>
        <v>0</v>
      </c>
      <c r="I83" s="3">
        <f t="shared" si="10"/>
        <v>0</v>
      </c>
      <c r="J83" s="2">
        <f t="shared" si="11"/>
        <v>0</v>
      </c>
      <c r="K83" s="3">
        <f t="shared" si="12"/>
        <v>-1097128.47</v>
      </c>
      <c r="L83" s="4"/>
    </row>
    <row r="84" spans="1:12" ht="12" thickBot="1" x14ac:dyDescent="0.25">
      <c r="A84" s="107" t="s">
        <v>80</v>
      </c>
      <c r="B84" s="107" t="s">
        <v>81</v>
      </c>
      <c r="C84" s="107" t="s">
        <v>317</v>
      </c>
      <c r="D84" s="107" t="s">
        <v>318</v>
      </c>
      <c r="E84" s="109">
        <v>65.95</v>
      </c>
      <c r="F84" s="2">
        <f t="shared" si="7"/>
        <v>43.513810000000007</v>
      </c>
      <c r="G84" s="3">
        <f t="shared" si="8"/>
        <v>22.43619</v>
      </c>
      <c r="H84" s="2">
        <f t="shared" si="9"/>
        <v>0</v>
      </c>
      <c r="I84" s="3">
        <f t="shared" si="10"/>
        <v>0</v>
      </c>
      <c r="J84" s="2">
        <f t="shared" si="11"/>
        <v>43.513810000000007</v>
      </c>
      <c r="K84" s="3">
        <f t="shared" si="12"/>
        <v>22.43619</v>
      </c>
      <c r="L84" s="4"/>
    </row>
    <row r="85" spans="1:12" ht="12" thickBot="1" x14ac:dyDescent="0.25">
      <c r="A85" s="107" t="s">
        <v>80</v>
      </c>
      <c r="B85" s="107" t="s">
        <v>81</v>
      </c>
      <c r="C85" s="107" t="s">
        <v>317</v>
      </c>
      <c r="D85" s="107" t="s">
        <v>301</v>
      </c>
      <c r="E85" s="108">
        <v>2000</v>
      </c>
      <c r="F85" s="2">
        <f t="shared" si="7"/>
        <v>1319.6000000000001</v>
      </c>
      <c r="G85" s="3">
        <f t="shared" si="8"/>
        <v>680.4</v>
      </c>
      <c r="H85" s="2">
        <f t="shared" si="9"/>
        <v>0</v>
      </c>
      <c r="I85" s="3">
        <f t="shared" si="10"/>
        <v>0</v>
      </c>
      <c r="J85" s="2">
        <f t="shared" si="11"/>
        <v>1319.6000000000001</v>
      </c>
      <c r="K85" s="3">
        <f t="shared" si="12"/>
        <v>680.4</v>
      </c>
      <c r="L85" s="4"/>
    </row>
    <row r="86" spans="1:12" ht="12" thickBot="1" x14ac:dyDescent="0.25">
      <c r="A86" s="107" t="s">
        <v>79</v>
      </c>
      <c r="B86" s="107" t="s">
        <v>78</v>
      </c>
      <c r="C86" s="107" t="s">
        <v>317</v>
      </c>
      <c r="D86" s="107" t="s">
        <v>248</v>
      </c>
      <c r="E86" s="109">
        <v>-21.1</v>
      </c>
      <c r="F86" s="2">
        <f t="shared" si="7"/>
        <v>0</v>
      </c>
      <c r="G86" s="3">
        <f t="shared" si="8"/>
        <v>-21.1</v>
      </c>
      <c r="H86" s="2">
        <f t="shared" si="9"/>
        <v>0</v>
      </c>
      <c r="I86" s="3">
        <f t="shared" si="10"/>
        <v>0</v>
      </c>
      <c r="J86" s="2">
        <f t="shared" si="11"/>
        <v>0</v>
      </c>
      <c r="K86" s="3">
        <f t="shared" si="12"/>
        <v>-21.1</v>
      </c>
      <c r="L86" s="4"/>
    </row>
    <row r="87" spans="1:12" ht="12" thickBot="1" x14ac:dyDescent="0.25">
      <c r="A87" s="107" t="s">
        <v>77</v>
      </c>
      <c r="B87" s="107" t="s">
        <v>78</v>
      </c>
      <c r="C87" s="107" t="s">
        <v>317</v>
      </c>
      <c r="D87" s="107" t="s">
        <v>248</v>
      </c>
      <c r="E87" s="108">
        <v>190.75</v>
      </c>
      <c r="F87" s="2">
        <f t="shared" si="7"/>
        <v>190.75</v>
      </c>
      <c r="G87" s="3">
        <f t="shared" si="8"/>
        <v>0</v>
      </c>
      <c r="H87" s="2">
        <f t="shared" si="9"/>
        <v>0</v>
      </c>
      <c r="I87" s="3">
        <f t="shared" si="10"/>
        <v>0</v>
      </c>
      <c r="J87" s="2">
        <f t="shared" si="11"/>
        <v>190.75</v>
      </c>
      <c r="K87" s="3">
        <f t="shared" si="12"/>
        <v>0</v>
      </c>
      <c r="L87" s="4"/>
    </row>
    <row r="88" spans="1:12" ht="12" thickBot="1" x14ac:dyDescent="0.25">
      <c r="A88" s="107" t="s">
        <v>80</v>
      </c>
      <c r="B88" s="107" t="s">
        <v>81</v>
      </c>
      <c r="C88" s="107" t="s">
        <v>317</v>
      </c>
      <c r="D88" s="107" t="s">
        <v>248</v>
      </c>
      <c r="E88" s="109">
        <v>3068.91</v>
      </c>
      <c r="F88" s="2">
        <f t="shared" si="7"/>
        <v>2024.866818</v>
      </c>
      <c r="G88" s="3">
        <f t="shared" si="8"/>
        <v>1044.0431819999999</v>
      </c>
      <c r="H88" s="2">
        <f t="shared" si="9"/>
        <v>0</v>
      </c>
      <c r="I88" s="3">
        <f t="shared" si="10"/>
        <v>0</v>
      </c>
      <c r="J88" s="2">
        <f t="shared" si="11"/>
        <v>2024.866818</v>
      </c>
      <c r="K88" s="3">
        <f t="shared" si="12"/>
        <v>1044.0431819999999</v>
      </c>
      <c r="L88" s="4"/>
    </row>
    <row r="89" spans="1:12" ht="12" thickBot="1" x14ac:dyDescent="0.25">
      <c r="A89" s="107" t="s">
        <v>79</v>
      </c>
      <c r="B89" s="107" t="s">
        <v>78</v>
      </c>
      <c r="C89" s="107" t="s">
        <v>317</v>
      </c>
      <c r="D89" s="107" t="s">
        <v>285</v>
      </c>
      <c r="E89" s="108">
        <v>6.63</v>
      </c>
      <c r="F89" s="2">
        <f t="shared" si="7"/>
        <v>0</v>
      </c>
      <c r="G89" s="3">
        <f t="shared" si="8"/>
        <v>6.63</v>
      </c>
      <c r="H89" s="2">
        <f t="shared" si="9"/>
        <v>0</v>
      </c>
      <c r="I89" s="3">
        <f t="shared" si="10"/>
        <v>0</v>
      </c>
      <c r="J89" s="2">
        <f t="shared" si="11"/>
        <v>0</v>
      </c>
      <c r="K89" s="3">
        <f t="shared" si="12"/>
        <v>6.63</v>
      </c>
      <c r="L89" s="4"/>
    </row>
    <row r="90" spans="1:12" ht="12" thickBot="1" x14ac:dyDescent="0.25">
      <c r="A90" s="107" t="s">
        <v>77</v>
      </c>
      <c r="B90" s="107" t="s">
        <v>78</v>
      </c>
      <c r="C90" s="107" t="s">
        <v>317</v>
      </c>
      <c r="D90" s="107" t="s">
        <v>251</v>
      </c>
      <c r="E90" s="109">
        <v>4857805.54</v>
      </c>
      <c r="F90" s="2">
        <f t="shared" si="7"/>
        <v>4857805.54</v>
      </c>
      <c r="G90" s="3">
        <f t="shared" si="8"/>
        <v>0</v>
      </c>
      <c r="H90" s="2">
        <f t="shared" si="9"/>
        <v>0</v>
      </c>
      <c r="I90" s="3">
        <f t="shared" si="10"/>
        <v>0</v>
      </c>
      <c r="J90" s="2">
        <f t="shared" si="11"/>
        <v>4857805.54</v>
      </c>
      <c r="K90" s="3">
        <f t="shared" si="12"/>
        <v>0</v>
      </c>
      <c r="L90" s="4"/>
    </row>
    <row r="91" spans="1:12" ht="12" thickBot="1" x14ac:dyDescent="0.25">
      <c r="A91" s="107" t="s">
        <v>79</v>
      </c>
      <c r="B91" s="107" t="s">
        <v>78</v>
      </c>
      <c r="C91" s="107" t="s">
        <v>317</v>
      </c>
      <c r="D91" s="107" t="s">
        <v>251</v>
      </c>
      <c r="E91" s="108">
        <v>985634.42</v>
      </c>
      <c r="F91" s="2">
        <f t="shared" si="7"/>
        <v>0</v>
      </c>
      <c r="G91" s="3">
        <f t="shared" si="8"/>
        <v>985634.42</v>
      </c>
      <c r="H91" s="2">
        <f t="shared" si="9"/>
        <v>0</v>
      </c>
      <c r="I91" s="3">
        <f t="shared" si="10"/>
        <v>0</v>
      </c>
      <c r="J91" s="2">
        <f t="shared" si="11"/>
        <v>0</v>
      </c>
      <c r="K91" s="3">
        <f t="shared" si="12"/>
        <v>985634.42</v>
      </c>
      <c r="L91" s="4"/>
    </row>
    <row r="92" spans="1:12" ht="12" thickBot="1" x14ac:dyDescent="0.25">
      <c r="A92" s="107" t="s">
        <v>77</v>
      </c>
      <c r="B92" s="107" t="s">
        <v>78</v>
      </c>
      <c r="C92" s="107" t="s">
        <v>317</v>
      </c>
      <c r="D92" s="107" t="s">
        <v>249</v>
      </c>
      <c r="E92" s="109">
        <v>7076187.3899999997</v>
      </c>
      <c r="F92" s="2">
        <f t="shared" si="7"/>
        <v>7076187.3899999997</v>
      </c>
      <c r="G92" s="3">
        <f t="shared" si="8"/>
        <v>0</v>
      </c>
      <c r="H92" s="2">
        <f t="shared" si="9"/>
        <v>0</v>
      </c>
      <c r="I92" s="3">
        <f t="shared" si="10"/>
        <v>0</v>
      </c>
      <c r="J92" s="2">
        <f t="shared" si="11"/>
        <v>7076187.3899999997</v>
      </c>
      <c r="K92" s="3">
        <f t="shared" si="12"/>
        <v>0</v>
      </c>
      <c r="L92" s="4"/>
    </row>
    <row r="93" spans="1:12" ht="12" thickBot="1" x14ac:dyDescent="0.25">
      <c r="A93" s="107" t="s">
        <v>79</v>
      </c>
      <c r="B93" s="107" t="s">
        <v>78</v>
      </c>
      <c r="C93" s="107" t="s">
        <v>317</v>
      </c>
      <c r="D93" s="107" t="s">
        <v>249</v>
      </c>
      <c r="E93" s="108">
        <v>1520542.87</v>
      </c>
      <c r="F93" s="2">
        <f t="shared" si="7"/>
        <v>0</v>
      </c>
      <c r="G93" s="3">
        <f t="shared" si="8"/>
        <v>1520542.87</v>
      </c>
      <c r="H93" s="2">
        <f t="shared" si="9"/>
        <v>0</v>
      </c>
      <c r="I93" s="3">
        <f t="shared" si="10"/>
        <v>0</v>
      </c>
      <c r="J93" s="2">
        <f t="shared" si="11"/>
        <v>0</v>
      </c>
      <c r="K93" s="3">
        <f t="shared" si="12"/>
        <v>1520542.87</v>
      </c>
      <c r="L93" s="4"/>
    </row>
    <row r="94" spans="1:12" ht="12" thickBot="1" x14ac:dyDescent="0.25">
      <c r="A94" s="107" t="s">
        <v>80</v>
      </c>
      <c r="B94" s="107" t="s">
        <v>81</v>
      </c>
      <c r="C94" s="107" t="s">
        <v>317</v>
      </c>
      <c r="D94" s="107" t="s">
        <v>249</v>
      </c>
      <c r="E94" s="109">
        <v>235924.04</v>
      </c>
      <c r="F94" s="2">
        <f t="shared" si="7"/>
        <v>155662.68159200001</v>
      </c>
      <c r="G94" s="3">
        <f t="shared" si="8"/>
        <v>80261.358408</v>
      </c>
      <c r="H94" s="2">
        <f t="shared" si="9"/>
        <v>0</v>
      </c>
      <c r="I94" s="3">
        <f t="shared" si="10"/>
        <v>0</v>
      </c>
      <c r="J94" s="2">
        <f t="shared" si="11"/>
        <v>155662.68159200001</v>
      </c>
      <c r="K94" s="3">
        <f t="shared" si="12"/>
        <v>80261.358408</v>
      </c>
      <c r="L94" s="4"/>
    </row>
    <row r="95" spans="1:12" ht="12" thickBot="1" x14ac:dyDescent="0.25">
      <c r="A95" s="107" t="s">
        <v>77</v>
      </c>
      <c r="B95" s="107" t="s">
        <v>78</v>
      </c>
      <c r="C95" s="107" t="s">
        <v>319</v>
      </c>
      <c r="D95" s="107" t="s">
        <v>255</v>
      </c>
      <c r="E95" s="108">
        <v>-4857805.54</v>
      </c>
      <c r="F95" s="2">
        <f t="shared" si="7"/>
        <v>-4857805.54</v>
      </c>
      <c r="G95" s="3">
        <f t="shared" si="8"/>
        <v>0</v>
      </c>
      <c r="H95" s="2">
        <f t="shared" si="9"/>
        <v>0</v>
      </c>
      <c r="I95" s="3">
        <f t="shared" si="10"/>
        <v>0</v>
      </c>
      <c r="J95" s="2">
        <f t="shared" si="11"/>
        <v>-4857805.54</v>
      </c>
      <c r="K95" s="3">
        <f t="shared" si="12"/>
        <v>0</v>
      </c>
      <c r="L95" s="4"/>
    </row>
    <row r="96" spans="1:12" ht="12" thickBot="1" x14ac:dyDescent="0.25">
      <c r="A96" s="107" t="s">
        <v>79</v>
      </c>
      <c r="B96" s="107" t="s">
        <v>78</v>
      </c>
      <c r="C96" s="107" t="s">
        <v>319</v>
      </c>
      <c r="D96" s="107" t="s">
        <v>255</v>
      </c>
      <c r="E96" s="109">
        <v>-985634.42</v>
      </c>
      <c r="F96" s="2">
        <f t="shared" si="7"/>
        <v>0</v>
      </c>
      <c r="G96" s="3">
        <f t="shared" si="8"/>
        <v>-985634.42</v>
      </c>
      <c r="H96" s="2">
        <f t="shared" si="9"/>
        <v>0</v>
      </c>
      <c r="I96" s="3">
        <f t="shared" si="10"/>
        <v>0</v>
      </c>
      <c r="J96" s="2">
        <f t="shared" si="11"/>
        <v>0</v>
      </c>
      <c r="K96" s="3">
        <f t="shared" si="12"/>
        <v>-985634.42</v>
      </c>
      <c r="L96" s="4"/>
    </row>
    <row r="97" spans="1:12" ht="12" thickBot="1" x14ac:dyDescent="0.25">
      <c r="A97" s="107" t="s">
        <v>80</v>
      </c>
      <c r="B97" s="107" t="s">
        <v>81</v>
      </c>
      <c r="C97" s="107" t="s">
        <v>319</v>
      </c>
      <c r="D97" s="107" t="s">
        <v>302</v>
      </c>
      <c r="E97" s="108">
        <v>1500</v>
      </c>
      <c r="F97" s="2">
        <f t="shared" si="7"/>
        <v>989.7</v>
      </c>
      <c r="G97" s="3">
        <f t="shared" si="8"/>
        <v>510.3</v>
      </c>
      <c r="H97" s="2">
        <f t="shared" si="9"/>
        <v>0</v>
      </c>
      <c r="I97" s="3">
        <f t="shared" si="10"/>
        <v>0</v>
      </c>
      <c r="J97" s="2">
        <f t="shared" si="11"/>
        <v>989.7</v>
      </c>
      <c r="K97" s="3">
        <f t="shared" si="12"/>
        <v>510.3</v>
      </c>
      <c r="L97" s="4"/>
    </row>
    <row r="98" spans="1:12" ht="12" thickBot="1" x14ac:dyDescent="0.25">
      <c r="A98" s="107" t="s">
        <v>77</v>
      </c>
      <c r="B98" s="107" t="s">
        <v>78</v>
      </c>
      <c r="C98" s="107" t="s">
        <v>319</v>
      </c>
      <c r="D98" s="107" t="s">
        <v>253</v>
      </c>
      <c r="E98" s="109">
        <v>-80634.27</v>
      </c>
      <c r="F98" s="2">
        <f t="shared" si="7"/>
        <v>-80634.27</v>
      </c>
      <c r="G98" s="3">
        <f t="shared" si="8"/>
        <v>0</v>
      </c>
      <c r="H98" s="2">
        <f t="shared" si="9"/>
        <v>0</v>
      </c>
      <c r="I98" s="3">
        <f t="shared" si="10"/>
        <v>0</v>
      </c>
      <c r="J98" s="2">
        <f t="shared" si="11"/>
        <v>-80634.27</v>
      </c>
      <c r="K98" s="3">
        <f t="shared" si="12"/>
        <v>0</v>
      </c>
      <c r="L98" s="4"/>
    </row>
    <row r="99" spans="1:12" ht="12" thickBot="1" x14ac:dyDescent="0.25">
      <c r="A99" s="107" t="s">
        <v>79</v>
      </c>
      <c r="B99" s="107" t="s">
        <v>78</v>
      </c>
      <c r="C99" s="107" t="s">
        <v>319</v>
      </c>
      <c r="D99" s="107" t="s">
        <v>253</v>
      </c>
      <c r="E99" s="108">
        <v>-2701.96</v>
      </c>
      <c r="F99" s="2">
        <f t="shared" ref="F99:F130" si="13">IF($A99="40810002",$E99,IF($A99="40810602",$E99*$N$4,0))</f>
        <v>0</v>
      </c>
      <c r="G99" s="3">
        <f t="shared" si="8"/>
        <v>-2701.96</v>
      </c>
      <c r="H99" s="2">
        <f t="shared" si="9"/>
        <v>0</v>
      </c>
      <c r="I99" s="3">
        <f t="shared" si="10"/>
        <v>0</v>
      </c>
      <c r="J99" s="2">
        <f t="shared" si="11"/>
        <v>0</v>
      </c>
      <c r="K99" s="3">
        <f t="shared" si="12"/>
        <v>-2701.96</v>
      </c>
      <c r="L99" s="4"/>
    </row>
    <row r="100" spans="1:12" ht="12" thickBot="1" x14ac:dyDescent="0.25">
      <c r="A100" s="107" t="s">
        <v>80</v>
      </c>
      <c r="B100" s="107" t="s">
        <v>81</v>
      </c>
      <c r="C100" s="107" t="s">
        <v>319</v>
      </c>
      <c r="D100" s="107" t="s">
        <v>253</v>
      </c>
      <c r="E100" s="109">
        <v>3314.83</v>
      </c>
      <c r="F100" s="2">
        <f t="shared" si="13"/>
        <v>2187.1248340000002</v>
      </c>
      <c r="G100" s="3">
        <f t="shared" si="8"/>
        <v>1127.705166</v>
      </c>
      <c r="H100" s="2">
        <f t="shared" si="9"/>
        <v>0</v>
      </c>
      <c r="I100" s="3">
        <f t="shared" si="10"/>
        <v>0</v>
      </c>
      <c r="J100" s="2">
        <f t="shared" si="11"/>
        <v>2187.1248340000002</v>
      </c>
      <c r="K100" s="3">
        <f t="shared" si="12"/>
        <v>1127.705166</v>
      </c>
      <c r="L100" s="4"/>
    </row>
    <row r="101" spans="1:12" ht="12" thickBot="1" x14ac:dyDescent="0.25">
      <c r="A101" s="107" t="s">
        <v>79</v>
      </c>
      <c r="B101" s="107" t="s">
        <v>78</v>
      </c>
      <c r="C101" s="107" t="s">
        <v>319</v>
      </c>
      <c r="D101" s="107" t="s">
        <v>286</v>
      </c>
      <c r="E101" s="108">
        <v>6.66</v>
      </c>
      <c r="F101" s="2">
        <f t="shared" si="13"/>
        <v>0</v>
      </c>
      <c r="G101" s="3">
        <f t="shared" si="8"/>
        <v>6.66</v>
      </c>
      <c r="H101" s="2">
        <f t="shared" si="9"/>
        <v>0</v>
      </c>
      <c r="I101" s="3">
        <f t="shared" si="10"/>
        <v>0</v>
      </c>
      <c r="J101" s="2">
        <f t="shared" si="11"/>
        <v>0</v>
      </c>
      <c r="K101" s="3">
        <f t="shared" si="12"/>
        <v>6.66</v>
      </c>
      <c r="L101" s="4"/>
    </row>
    <row r="102" spans="1:12" ht="12" thickBot="1" x14ac:dyDescent="0.25">
      <c r="A102" s="107" t="s">
        <v>77</v>
      </c>
      <c r="B102" s="107" t="s">
        <v>78</v>
      </c>
      <c r="C102" s="107" t="s">
        <v>319</v>
      </c>
      <c r="D102" s="107" t="s">
        <v>256</v>
      </c>
      <c r="E102" s="109">
        <v>4966175.59</v>
      </c>
      <c r="F102" s="2">
        <f t="shared" si="13"/>
        <v>4966175.59</v>
      </c>
      <c r="G102" s="3">
        <f t="shared" si="8"/>
        <v>0</v>
      </c>
      <c r="H102" s="2">
        <f t="shared" si="9"/>
        <v>0</v>
      </c>
      <c r="I102" s="3">
        <f t="shared" si="10"/>
        <v>0</v>
      </c>
      <c r="J102" s="2">
        <f t="shared" si="11"/>
        <v>4966175.59</v>
      </c>
      <c r="K102" s="3">
        <f t="shared" si="12"/>
        <v>0</v>
      </c>
      <c r="L102" s="4"/>
    </row>
    <row r="103" spans="1:12" ht="12" thickBot="1" x14ac:dyDescent="0.25">
      <c r="A103" s="107" t="s">
        <v>79</v>
      </c>
      <c r="B103" s="107" t="s">
        <v>78</v>
      </c>
      <c r="C103" s="107" t="s">
        <v>319</v>
      </c>
      <c r="D103" s="107" t="s">
        <v>256</v>
      </c>
      <c r="E103" s="108">
        <v>1026955.13</v>
      </c>
      <c r="F103" s="2">
        <f t="shared" si="13"/>
        <v>0</v>
      </c>
      <c r="G103" s="3">
        <f t="shared" si="8"/>
        <v>1026955.13</v>
      </c>
      <c r="H103" s="2">
        <f t="shared" si="9"/>
        <v>0</v>
      </c>
      <c r="I103" s="3">
        <f t="shared" si="10"/>
        <v>0</v>
      </c>
      <c r="J103" s="2">
        <f t="shared" si="11"/>
        <v>0</v>
      </c>
      <c r="K103" s="3">
        <f t="shared" si="12"/>
        <v>1026955.13</v>
      </c>
      <c r="L103" s="4"/>
    </row>
    <row r="104" spans="1:12" ht="12" thickBot="1" x14ac:dyDescent="0.25">
      <c r="A104" s="107" t="s">
        <v>77</v>
      </c>
      <c r="B104" s="107" t="s">
        <v>78</v>
      </c>
      <c r="C104" s="107" t="s">
        <v>319</v>
      </c>
      <c r="D104" s="107" t="s">
        <v>254</v>
      </c>
      <c r="E104" s="109">
        <v>6727324.4800000004</v>
      </c>
      <c r="F104" s="2">
        <f t="shared" si="13"/>
        <v>6727324.4800000004</v>
      </c>
      <c r="G104" s="3">
        <f t="shared" si="8"/>
        <v>0</v>
      </c>
      <c r="H104" s="2">
        <f t="shared" si="9"/>
        <v>0</v>
      </c>
      <c r="I104" s="3">
        <f t="shared" si="10"/>
        <v>0</v>
      </c>
      <c r="J104" s="2">
        <f t="shared" si="11"/>
        <v>6727324.4800000004</v>
      </c>
      <c r="K104" s="3">
        <f t="shared" si="12"/>
        <v>0</v>
      </c>
      <c r="L104" s="4"/>
    </row>
    <row r="105" spans="1:12" ht="12" thickBot="1" x14ac:dyDescent="0.25">
      <c r="A105" s="107" t="s">
        <v>79</v>
      </c>
      <c r="B105" s="107" t="s">
        <v>78</v>
      </c>
      <c r="C105" s="107" t="s">
        <v>319</v>
      </c>
      <c r="D105" s="107" t="s">
        <v>254</v>
      </c>
      <c r="E105" s="108">
        <v>1390223.54</v>
      </c>
      <c r="F105" s="2">
        <f t="shared" si="13"/>
        <v>0</v>
      </c>
      <c r="G105" s="3">
        <f t="shared" si="8"/>
        <v>1390223.54</v>
      </c>
      <c r="H105" s="2">
        <f t="shared" si="9"/>
        <v>0</v>
      </c>
      <c r="I105" s="3">
        <f t="shared" si="10"/>
        <v>0</v>
      </c>
      <c r="J105" s="2">
        <f t="shared" si="11"/>
        <v>0</v>
      </c>
      <c r="K105" s="3">
        <f t="shared" si="12"/>
        <v>1390223.54</v>
      </c>
      <c r="L105" s="4"/>
    </row>
    <row r="106" spans="1:12" ht="12" thickBot="1" x14ac:dyDescent="0.25">
      <c r="A106" s="107" t="s">
        <v>80</v>
      </c>
      <c r="B106" s="107" t="s">
        <v>81</v>
      </c>
      <c r="C106" s="107" t="s">
        <v>319</v>
      </c>
      <c r="D106" s="107" t="s">
        <v>254</v>
      </c>
      <c r="E106" s="109">
        <v>228571.97</v>
      </c>
      <c r="F106" s="2">
        <f t="shared" si="13"/>
        <v>150811.785806</v>
      </c>
      <c r="G106" s="3">
        <f t="shared" si="8"/>
        <v>77760.184194000001</v>
      </c>
      <c r="H106" s="2">
        <f t="shared" si="9"/>
        <v>0</v>
      </c>
      <c r="I106" s="3">
        <f t="shared" si="10"/>
        <v>0</v>
      </c>
      <c r="J106" s="2">
        <f t="shared" si="11"/>
        <v>150811.785806</v>
      </c>
      <c r="K106" s="3">
        <f t="shared" si="12"/>
        <v>77760.184194000001</v>
      </c>
      <c r="L106" s="4"/>
    </row>
    <row r="107" spans="1:12" ht="12" thickBot="1" x14ac:dyDescent="0.25">
      <c r="A107" s="107" t="s">
        <v>77</v>
      </c>
      <c r="B107" s="107" t="s">
        <v>78</v>
      </c>
      <c r="C107" s="107" t="s">
        <v>320</v>
      </c>
      <c r="D107" s="107" t="s">
        <v>260</v>
      </c>
      <c r="E107" s="108">
        <v>-4966175.59</v>
      </c>
      <c r="F107" s="2">
        <f t="shared" si="13"/>
        <v>-4966175.59</v>
      </c>
      <c r="G107" s="3">
        <f t="shared" si="8"/>
        <v>0</v>
      </c>
      <c r="H107" s="2">
        <f t="shared" si="9"/>
        <v>0</v>
      </c>
      <c r="I107" s="3">
        <f t="shared" si="10"/>
        <v>0</v>
      </c>
      <c r="J107" s="2">
        <f t="shared" si="11"/>
        <v>-4966175.59</v>
      </c>
      <c r="K107" s="3">
        <f t="shared" si="12"/>
        <v>0</v>
      </c>
      <c r="L107" s="4"/>
    </row>
    <row r="108" spans="1:12" ht="12" thickBot="1" x14ac:dyDescent="0.25">
      <c r="A108" s="107" t="s">
        <v>79</v>
      </c>
      <c r="B108" s="107" t="s">
        <v>78</v>
      </c>
      <c r="C108" s="107" t="s">
        <v>320</v>
      </c>
      <c r="D108" s="107" t="s">
        <v>260</v>
      </c>
      <c r="E108" s="109">
        <v>-1026955.13</v>
      </c>
      <c r="F108" s="2">
        <f t="shared" si="13"/>
        <v>0</v>
      </c>
      <c r="G108" s="3">
        <f t="shared" si="8"/>
        <v>-1026955.13</v>
      </c>
      <c r="H108" s="2">
        <f t="shared" si="9"/>
        <v>0</v>
      </c>
      <c r="I108" s="3">
        <f t="shared" si="10"/>
        <v>0</v>
      </c>
      <c r="J108" s="2">
        <f t="shared" si="11"/>
        <v>0</v>
      </c>
      <c r="K108" s="3">
        <f t="shared" si="12"/>
        <v>-1026955.13</v>
      </c>
      <c r="L108" s="4"/>
    </row>
    <row r="109" spans="1:12" ht="12" thickBot="1" x14ac:dyDescent="0.25">
      <c r="A109" s="107" t="s">
        <v>80</v>
      </c>
      <c r="B109" s="107" t="s">
        <v>81</v>
      </c>
      <c r="C109" s="107" t="s">
        <v>320</v>
      </c>
      <c r="D109" s="107" t="s">
        <v>303</v>
      </c>
      <c r="E109" s="108">
        <v>-3952.44</v>
      </c>
      <c r="F109" s="2">
        <f t="shared" si="13"/>
        <v>-2607.8199120000004</v>
      </c>
      <c r="G109" s="3">
        <f t="shared" si="8"/>
        <v>-1344.6200880000001</v>
      </c>
      <c r="H109" s="2">
        <f t="shared" si="9"/>
        <v>0</v>
      </c>
      <c r="I109" s="3">
        <f t="shared" si="10"/>
        <v>0</v>
      </c>
      <c r="J109" s="2">
        <f t="shared" si="11"/>
        <v>-2607.8199120000004</v>
      </c>
      <c r="K109" s="3">
        <f t="shared" si="12"/>
        <v>-1344.6200880000001</v>
      </c>
      <c r="L109" s="4"/>
    </row>
    <row r="110" spans="1:12" ht="12" thickBot="1" x14ac:dyDescent="0.25">
      <c r="A110" s="107" t="s">
        <v>80</v>
      </c>
      <c r="B110" s="107" t="s">
        <v>81</v>
      </c>
      <c r="C110" s="107" t="s">
        <v>320</v>
      </c>
      <c r="D110" s="107" t="s">
        <v>303</v>
      </c>
      <c r="E110" s="109">
        <v>3952.44</v>
      </c>
      <c r="F110" s="2">
        <f t="shared" si="13"/>
        <v>2607.8199120000004</v>
      </c>
      <c r="G110" s="3">
        <f t="shared" si="8"/>
        <v>1344.6200880000001</v>
      </c>
      <c r="H110" s="2">
        <f t="shared" si="9"/>
        <v>0</v>
      </c>
      <c r="I110" s="3">
        <f t="shared" si="10"/>
        <v>0</v>
      </c>
      <c r="J110" s="2">
        <f t="shared" si="11"/>
        <v>2607.8199120000004</v>
      </c>
      <c r="K110" s="3">
        <f t="shared" si="12"/>
        <v>1344.6200880000001</v>
      </c>
      <c r="L110" s="4"/>
    </row>
    <row r="111" spans="1:12" ht="12" thickBot="1" x14ac:dyDescent="0.25">
      <c r="A111" s="107" t="s">
        <v>80</v>
      </c>
      <c r="B111" s="107" t="s">
        <v>81</v>
      </c>
      <c r="C111" s="107" t="s">
        <v>320</v>
      </c>
      <c r="D111" s="107" t="s">
        <v>304</v>
      </c>
      <c r="E111" s="108">
        <v>15000</v>
      </c>
      <c r="F111" s="2">
        <f t="shared" si="13"/>
        <v>9897</v>
      </c>
      <c r="G111" s="3">
        <f t="shared" si="8"/>
        <v>5103</v>
      </c>
      <c r="H111" s="2">
        <f t="shared" si="9"/>
        <v>0</v>
      </c>
      <c r="I111" s="3">
        <f t="shared" si="10"/>
        <v>0</v>
      </c>
      <c r="J111" s="2">
        <f t="shared" si="11"/>
        <v>9897</v>
      </c>
      <c r="K111" s="3">
        <f t="shared" si="12"/>
        <v>5103</v>
      </c>
      <c r="L111" s="4"/>
    </row>
    <row r="112" spans="1:12" ht="12" thickBot="1" x14ac:dyDescent="0.25">
      <c r="A112" s="107" t="s">
        <v>79</v>
      </c>
      <c r="B112" s="107" t="s">
        <v>78</v>
      </c>
      <c r="C112" s="107" t="s">
        <v>320</v>
      </c>
      <c r="D112" s="107" t="s">
        <v>258</v>
      </c>
      <c r="E112" s="109">
        <v>-6.66</v>
      </c>
      <c r="F112" s="2">
        <f t="shared" si="13"/>
        <v>0</v>
      </c>
      <c r="G112" s="3">
        <f t="shared" si="8"/>
        <v>-6.66</v>
      </c>
      <c r="H112" s="2">
        <f t="shared" si="9"/>
        <v>0</v>
      </c>
      <c r="I112" s="3">
        <f t="shared" si="10"/>
        <v>0</v>
      </c>
      <c r="J112" s="2">
        <f t="shared" si="11"/>
        <v>0</v>
      </c>
      <c r="K112" s="3">
        <f t="shared" si="12"/>
        <v>-6.66</v>
      </c>
      <c r="L112" s="4"/>
    </row>
    <row r="113" spans="1:12" ht="12" thickBot="1" x14ac:dyDescent="0.25">
      <c r="A113" s="107" t="s">
        <v>77</v>
      </c>
      <c r="B113" s="107" t="s">
        <v>78</v>
      </c>
      <c r="C113" s="107" t="s">
        <v>320</v>
      </c>
      <c r="D113" s="107" t="s">
        <v>258</v>
      </c>
      <c r="E113" s="108">
        <v>0.01</v>
      </c>
      <c r="F113" s="2">
        <f t="shared" si="13"/>
        <v>0.01</v>
      </c>
      <c r="G113" s="3">
        <f t="shared" si="8"/>
        <v>0</v>
      </c>
      <c r="H113" s="2">
        <f t="shared" si="9"/>
        <v>0</v>
      </c>
      <c r="I113" s="3">
        <f t="shared" si="10"/>
        <v>0</v>
      </c>
      <c r="J113" s="2">
        <f t="shared" si="11"/>
        <v>0.01</v>
      </c>
      <c r="K113" s="3">
        <f t="shared" si="12"/>
        <v>0</v>
      </c>
      <c r="L113" s="4"/>
    </row>
    <row r="114" spans="1:12" ht="12" thickBot="1" x14ac:dyDescent="0.25">
      <c r="A114" s="107" t="s">
        <v>80</v>
      </c>
      <c r="B114" s="107" t="s">
        <v>81</v>
      </c>
      <c r="C114" s="107" t="s">
        <v>320</v>
      </c>
      <c r="D114" s="107" t="s">
        <v>258</v>
      </c>
      <c r="E114" s="109">
        <v>3305.31</v>
      </c>
      <c r="F114" s="2">
        <f t="shared" si="13"/>
        <v>2180.8435380000001</v>
      </c>
      <c r="G114" s="3">
        <f t="shared" si="8"/>
        <v>1124.4664620000001</v>
      </c>
      <c r="H114" s="2">
        <f t="shared" si="9"/>
        <v>0</v>
      </c>
      <c r="I114" s="3">
        <f t="shared" si="10"/>
        <v>0</v>
      </c>
      <c r="J114" s="2">
        <f t="shared" si="11"/>
        <v>2180.8435380000001</v>
      </c>
      <c r="K114" s="3">
        <f t="shared" si="12"/>
        <v>1124.4664620000001</v>
      </c>
      <c r="L114" s="4"/>
    </row>
    <row r="115" spans="1:12" ht="12" thickBot="1" x14ac:dyDescent="0.25">
      <c r="A115" s="107" t="s">
        <v>79</v>
      </c>
      <c r="B115" s="107" t="s">
        <v>78</v>
      </c>
      <c r="C115" s="107" t="s">
        <v>320</v>
      </c>
      <c r="D115" s="107" t="s">
        <v>287</v>
      </c>
      <c r="E115" s="108">
        <v>11.26</v>
      </c>
      <c r="F115" s="2">
        <f t="shared" si="13"/>
        <v>0</v>
      </c>
      <c r="G115" s="3">
        <f t="shared" si="8"/>
        <v>11.26</v>
      </c>
      <c r="H115" s="2">
        <f t="shared" si="9"/>
        <v>0</v>
      </c>
      <c r="I115" s="3">
        <f t="shared" si="10"/>
        <v>0</v>
      </c>
      <c r="J115" s="2">
        <f t="shared" si="11"/>
        <v>0</v>
      </c>
      <c r="K115" s="3">
        <f t="shared" si="12"/>
        <v>11.26</v>
      </c>
      <c r="L115" s="4"/>
    </row>
    <row r="116" spans="1:12" ht="12" thickBot="1" x14ac:dyDescent="0.25">
      <c r="A116" s="107" t="s">
        <v>77</v>
      </c>
      <c r="B116" s="107" t="s">
        <v>78</v>
      </c>
      <c r="C116" s="107" t="s">
        <v>320</v>
      </c>
      <c r="D116" s="107" t="s">
        <v>261</v>
      </c>
      <c r="E116" s="109">
        <v>4646961.8499999996</v>
      </c>
      <c r="F116" s="2">
        <f t="shared" si="13"/>
        <v>4646961.8499999996</v>
      </c>
      <c r="G116" s="3">
        <f t="shared" si="8"/>
        <v>0</v>
      </c>
      <c r="H116" s="2">
        <f t="shared" si="9"/>
        <v>0</v>
      </c>
      <c r="I116" s="3">
        <f t="shared" si="10"/>
        <v>0</v>
      </c>
      <c r="J116" s="2">
        <f t="shared" si="11"/>
        <v>4646961.8499999996</v>
      </c>
      <c r="K116" s="3">
        <f t="shared" si="12"/>
        <v>0</v>
      </c>
      <c r="L116" s="4"/>
    </row>
    <row r="117" spans="1:12" ht="12" thickBot="1" x14ac:dyDescent="0.25">
      <c r="A117" s="107" t="s">
        <v>79</v>
      </c>
      <c r="B117" s="107" t="s">
        <v>78</v>
      </c>
      <c r="C117" s="107" t="s">
        <v>320</v>
      </c>
      <c r="D117" s="107" t="s">
        <v>261</v>
      </c>
      <c r="E117" s="108">
        <v>1209268.05</v>
      </c>
      <c r="F117" s="2">
        <f t="shared" si="13"/>
        <v>0</v>
      </c>
      <c r="G117" s="3">
        <f t="shared" si="8"/>
        <v>1209268.05</v>
      </c>
      <c r="H117" s="2">
        <f t="shared" si="9"/>
        <v>0</v>
      </c>
      <c r="I117" s="3">
        <f t="shared" si="10"/>
        <v>0</v>
      </c>
      <c r="J117" s="2">
        <f t="shared" si="11"/>
        <v>0</v>
      </c>
      <c r="K117" s="3">
        <f t="shared" si="12"/>
        <v>1209268.05</v>
      </c>
      <c r="L117" s="4"/>
    </row>
    <row r="118" spans="1:12" ht="12" thickBot="1" x14ac:dyDescent="0.25">
      <c r="A118" s="107" t="s">
        <v>77</v>
      </c>
      <c r="B118" s="107" t="s">
        <v>78</v>
      </c>
      <c r="C118" s="107" t="s">
        <v>320</v>
      </c>
      <c r="D118" s="107" t="s">
        <v>259</v>
      </c>
      <c r="E118" s="109">
        <v>6684119.8399999999</v>
      </c>
      <c r="F118" s="2">
        <f t="shared" si="13"/>
        <v>6684119.8399999999</v>
      </c>
      <c r="G118" s="3">
        <f t="shared" si="8"/>
        <v>0</v>
      </c>
      <c r="H118" s="2">
        <f t="shared" si="9"/>
        <v>0</v>
      </c>
      <c r="I118" s="3">
        <f t="shared" si="10"/>
        <v>0</v>
      </c>
      <c r="J118" s="2">
        <f t="shared" si="11"/>
        <v>6684119.8399999999</v>
      </c>
      <c r="K118" s="3">
        <f t="shared" si="12"/>
        <v>0</v>
      </c>
      <c r="L118" s="4"/>
    </row>
    <row r="119" spans="1:12" ht="12" thickBot="1" x14ac:dyDescent="0.25">
      <c r="A119" s="107" t="s">
        <v>79</v>
      </c>
      <c r="B119" s="107" t="s">
        <v>78</v>
      </c>
      <c r="C119" s="107" t="s">
        <v>320</v>
      </c>
      <c r="D119" s="107" t="s">
        <v>259</v>
      </c>
      <c r="E119" s="108">
        <v>1573459.76</v>
      </c>
      <c r="F119" s="2">
        <f t="shared" si="13"/>
        <v>0</v>
      </c>
      <c r="G119" s="3">
        <f t="shared" si="8"/>
        <v>1573459.76</v>
      </c>
      <c r="H119" s="2">
        <f t="shared" si="9"/>
        <v>0</v>
      </c>
      <c r="I119" s="3">
        <f t="shared" si="10"/>
        <v>0</v>
      </c>
      <c r="J119" s="2">
        <f t="shared" si="11"/>
        <v>0</v>
      </c>
      <c r="K119" s="3">
        <f t="shared" si="12"/>
        <v>1573459.76</v>
      </c>
      <c r="L119" s="4"/>
    </row>
    <row r="120" spans="1:12" ht="12" thickBot="1" x14ac:dyDescent="0.25">
      <c r="A120" s="107" t="s">
        <v>80</v>
      </c>
      <c r="B120" s="107" t="s">
        <v>81</v>
      </c>
      <c r="C120" s="107" t="s">
        <v>320</v>
      </c>
      <c r="D120" s="107" t="s">
        <v>259</v>
      </c>
      <c r="E120" s="109">
        <v>286453.90999999997</v>
      </c>
      <c r="F120" s="2">
        <f t="shared" si="13"/>
        <v>189002.28981799999</v>
      </c>
      <c r="G120" s="3">
        <f t="shared" si="8"/>
        <v>97451.620181999999</v>
      </c>
      <c r="H120" s="2">
        <f t="shared" si="9"/>
        <v>0</v>
      </c>
      <c r="I120" s="3">
        <f t="shared" si="10"/>
        <v>0</v>
      </c>
      <c r="J120" s="2">
        <f t="shared" si="11"/>
        <v>189002.28981799999</v>
      </c>
      <c r="K120" s="3">
        <f t="shared" si="12"/>
        <v>97451.620181999999</v>
      </c>
      <c r="L120" s="4"/>
    </row>
    <row r="121" spans="1:12" ht="12" thickBot="1" x14ac:dyDescent="0.25">
      <c r="A121" s="107" t="s">
        <v>77</v>
      </c>
      <c r="B121" s="107" t="s">
        <v>78</v>
      </c>
      <c r="C121" s="107" t="s">
        <v>321</v>
      </c>
      <c r="D121" s="107" t="s">
        <v>265</v>
      </c>
      <c r="E121" s="108">
        <v>-4646961.8499999996</v>
      </c>
      <c r="F121" s="2">
        <f t="shared" si="13"/>
        <v>-4646961.8499999996</v>
      </c>
      <c r="G121" s="3">
        <f t="shared" si="8"/>
        <v>0</v>
      </c>
      <c r="H121" s="2">
        <f t="shared" si="9"/>
        <v>0</v>
      </c>
      <c r="I121" s="3">
        <f t="shared" si="10"/>
        <v>0</v>
      </c>
      <c r="J121" s="2">
        <f t="shared" si="11"/>
        <v>-4646961.8499999996</v>
      </c>
      <c r="K121" s="3">
        <f t="shared" si="12"/>
        <v>0</v>
      </c>
      <c r="L121" s="4"/>
    </row>
    <row r="122" spans="1:12" ht="12" thickBot="1" x14ac:dyDescent="0.25">
      <c r="A122" s="107" t="s">
        <v>79</v>
      </c>
      <c r="B122" s="107" t="s">
        <v>78</v>
      </c>
      <c r="C122" s="107" t="s">
        <v>321</v>
      </c>
      <c r="D122" s="107" t="s">
        <v>265</v>
      </c>
      <c r="E122" s="109">
        <v>-1209268.05</v>
      </c>
      <c r="F122" s="2">
        <f t="shared" si="13"/>
        <v>0</v>
      </c>
      <c r="G122" s="3">
        <f t="shared" si="8"/>
        <v>-1209268.05</v>
      </c>
      <c r="H122" s="2">
        <f t="shared" si="9"/>
        <v>0</v>
      </c>
      <c r="I122" s="3">
        <f t="shared" si="10"/>
        <v>0</v>
      </c>
      <c r="J122" s="2">
        <f t="shared" si="11"/>
        <v>0</v>
      </c>
      <c r="K122" s="3">
        <f t="shared" si="12"/>
        <v>-1209268.05</v>
      </c>
      <c r="L122" s="4"/>
    </row>
    <row r="123" spans="1:12" ht="12" thickBot="1" x14ac:dyDescent="0.25">
      <c r="A123" s="107" t="s">
        <v>80</v>
      </c>
      <c r="B123" s="107" t="s">
        <v>81</v>
      </c>
      <c r="C123" s="107" t="s">
        <v>321</v>
      </c>
      <c r="D123" s="107" t="s">
        <v>322</v>
      </c>
      <c r="E123" s="108">
        <v>30</v>
      </c>
      <c r="F123" s="2">
        <f t="shared" si="13"/>
        <v>19.794</v>
      </c>
      <c r="G123" s="3">
        <f t="shared" si="8"/>
        <v>10.206</v>
      </c>
      <c r="H123" s="2">
        <f t="shared" si="9"/>
        <v>0</v>
      </c>
      <c r="I123" s="3">
        <f t="shared" si="10"/>
        <v>0</v>
      </c>
      <c r="J123" s="2">
        <f t="shared" si="11"/>
        <v>19.794</v>
      </c>
      <c r="K123" s="3">
        <f t="shared" si="12"/>
        <v>10.206</v>
      </c>
      <c r="L123" s="4"/>
    </row>
    <row r="124" spans="1:12" ht="12" thickBot="1" x14ac:dyDescent="0.25">
      <c r="A124" s="107" t="s">
        <v>80</v>
      </c>
      <c r="B124" s="107" t="s">
        <v>81</v>
      </c>
      <c r="C124" s="107" t="s">
        <v>321</v>
      </c>
      <c r="D124" s="107" t="s">
        <v>322</v>
      </c>
      <c r="E124" s="109">
        <v>0.75</v>
      </c>
      <c r="F124" s="2">
        <f t="shared" si="13"/>
        <v>0.49485000000000001</v>
      </c>
      <c r="G124" s="3">
        <f t="shared" si="8"/>
        <v>0.25514999999999999</v>
      </c>
      <c r="H124" s="2">
        <f t="shared" si="9"/>
        <v>0</v>
      </c>
      <c r="I124" s="3">
        <f t="shared" si="10"/>
        <v>0</v>
      </c>
      <c r="J124" s="2">
        <f t="shared" si="11"/>
        <v>0.49485000000000001</v>
      </c>
      <c r="K124" s="3">
        <f t="shared" si="12"/>
        <v>0.25514999999999999</v>
      </c>
      <c r="L124" s="4"/>
    </row>
    <row r="125" spans="1:12" ht="12" thickBot="1" x14ac:dyDescent="0.25">
      <c r="A125" s="107" t="s">
        <v>80</v>
      </c>
      <c r="B125" s="107" t="s">
        <v>81</v>
      </c>
      <c r="C125" s="107" t="s">
        <v>321</v>
      </c>
      <c r="D125" s="107" t="s">
        <v>322</v>
      </c>
      <c r="E125" s="108">
        <v>223</v>
      </c>
      <c r="F125" s="2">
        <f t="shared" si="13"/>
        <v>147.1354</v>
      </c>
      <c r="G125" s="3">
        <f t="shared" si="8"/>
        <v>75.864599999999996</v>
      </c>
      <c r="H125" s="2">
        <f t="shared" si="9"/>
        <v>0</v>
      </c>
      <c r="I125" s="3">
        <f t="shared" si="10"/>
        <v>0</v>
      </c>
      <c r="J125" s="2">
        <f t="shared" si="11"/>
        <v>147.1354</v>
      </c>
      <c r="K125" s="3">
        <f t="shared" si="12"/>
        <v>75.864599999999996</v>
      </c>
      <c r="L125" s="4"/>
    </row>
    <row r="126" spans="1:12" ht="12" thickBot="1" x14ac:dyDescent="0.25">
      <c r="A126" s="107" t="s">
        <v>80</v>
      </c>
      <c r="B126" s="107" t="s">
        <v>81</v>
      </c>
      <c r="C126" s="107" t="s">
        <v>321</v>
      </c>
      <c r="D126" s="107" t="s">
        <v>322</v>
      </c>
      <c r="E126" s="109">
        <v>5.58</v>
      </c>
      <c r="F126" s="2">
        <f t="shared" si="13"/>
        <v>3.6816840000000002</v>
      </c>
      <c r="G126" s="3">
        <f t="shared" si="8"/>
        <v>1.8983160000000001</v>
      </c>
      <c r="H126" s="2">
        <f t="shared" si="9"/>
        <v>0</v>
      </c>
      <c r="I126" s="3">
        <f t="shared" si="10"/>
        <v>0</v>
      </c>
      <c r="J126" s="2">
        <f t="shared" si="11"/>
        <v>3.6816840000000002</v>
      </c>
      <c r="K126" s="3">
        <f t="shared" si="12"/>
        <v>1.8983160000000001</v>
      </c>
      <c r="L126" s="4"/>
    </row>
    <row r="127" spans="1:12" ht="12" thickBot="1" x14ac:dyDescent="0.25">
      <c r="A127" s="107" t="s">
        <v>80</v>
      </c>
      <c r="B127" s="107" t="s">
        <v>81</v>
      </c>
      <c r="C127" s="107" t="s">
        <v>321</v>
      </c>
      <c r="D127" s="107" t="s">
        <v>322</v>
      </c>
      <c r="E127" s="108">
        <v>145</v>
      </c>
      <c r="F127" s="2">
        <f t="shared" si="13"/>
        <v>95.671000000000006</v>
      </c>
      <c r="G127" s="3">
        <f t="shared" si="8"/>
        <v>49.329000000000001</v>
      </c>
      <c r="H127" s="2">
        <f t="shared" si="9"/>
        <v>0</v>
      </c>
      <c r="I127" s="3">
        <f t="shared" si="10"/>
        <v>0</v>
      </c>
      <c r="J127" s="2">
        <f t="shared" si="11"/>
        <v>95.671000000000006</v>
      </c>
      <c r="K127" s="3">
        <f t="shared" si="12"/>
        <v>49.329000000000001</v>
      </c>
      <c r="L127" s="4"/>
    </row>
    <row r="128" spans="1:12" ht="12" thickBot="1" x14ac:dyDescent="0.25">
      <c r="A128" s="107" t="s">
        <v>80</v>
      </c>
      <c r="B128" s="107" t="s">
        <v>81</v>
      </c>
      <c r="C128" s="107" t="s">
        <v>321</v>
      </c>
      <c r="D128" s="107" t="s">
        <v>322</v>
      </c>
      <c r="E128" s="109">
        <v>3.63</v>
      </c>
      <c r="F128" s="2">
        <f t="shared" si="13"/>
        <v>2.3950740000000001</v>
      </c>
      <c r="G128" s="3">
        <f t="shared" si="8"/>
        <v>1.234926</v>
      </c>
      <c r="H128" s="2">
        <f t="shared" si="9"/>
        <v>0</v>
      </c>
      <c r="I128" s="3">
        <f t="shared" si="10"/>
        <v>0</v>
      </c>
      <c r="J128" s="2">
        <f t="shared" si="11"/>
        <v>2.3950740000000001</v>
      </c>
      <c r="K128" s="3">
        <f t="shared" si="12"/>
        <v>1.234926</v>
      </c>
      <c r="L128" s="4"/>
    </row>
    <row r="129" spans="1:12" ht="12" thickBot="1" x14ac:dyDescent="0.25">
      <c r="A129" s="107" t="s">
        <v>80</v>
      </c>
      <c r="B129" s="107" t="s">
        <v>81</v>
      </c>
      <c r="C129" s="107" t="s">
        <v>321</v>
      </c>
      <c r="D129" s="107" t="s">
        <v>322</v>
      </c>
      <c r="E129" s="108">
        <v>459</v>
      </c>
      <c r="F129" s="2">
        <f t="shared" si="13"/>
        <v>302.84820000000002</v>
      </c>
      <c r="G129" s="3">
        <f t="shared" si="8"/>
        <v>156.15180000000001</v>
      </c>
      <c r="H129" s="2">
        <f t="shared" si="9"/>
        <v>0</v>
      </c>
      <c r="I129" s="3">
        <f t="shared" si="10"/>
        <v>0</v>
      </c>
      <c r="J129" s="2">
        <f t="shared" si="11"/>
        <v>302.84820000000002</v>
      </c>
      <c r="K129" s="3">
        <f t="shared" si="12"/>
        <v>156.15180000000001</v>
      </c>
      <c r="L129" s="4"/>
    </row>
    <row r="130" spans="1:12" ht="12" thickBot="1" x14ac:dyDescent="0.25">
      <c r="A130" s="107" t="s">
        <v>80</v>
      </c>
      <c r="B130" s="107" t="s">
        <v>81</v>
      </c>
      <c r="C130" s="107" t="s">
        <v>321</v>
      </c>
      <c r="D130" s="107" t="s">
        <v>322</v>
      </c>
      <c r="E130" s="109">
        <v>11.48</v>
      </c>
      <c r="F130" s="2">
        <f t="shared" si="13"/>
        <v>7.574504000000001</v>
      </c>
      <c r="G130" s="3">
        <f t="shared" si="8"/>
        <v>3.9054960000000003</v>
      </c>
      <c r="H130" s="2">
        <f t="shared" si="9"/>
        <v>0</v>
      </c>
      <c r="I130" s="3">
        <f t="shared" si="10"/>
        <v>0</v>
      </c>
      <c r="J130" s="2">
        <f t="shared" si="11"/>
        <v>7.574504000000001</v>
      </c>
      <c r="K130" s="3">
        <f t="shared" si="12"/>
        <v>3.9054960000000003</v>
      </c>
      <c r="L130" s="4"/>
    </row>
    <row r="131" spans="1:12" ht="12" thickBot="1" x14ac:dyDescent="0.25">
      <c r="A131" s="107" t="s">
        <v>80</v>
      </c>
      <c r="B131" s="107" t="s">
        <v>81</v>
      </c>
      <c r="C131" s="107" t="s">
        <v>321</v>
      </c>
      <c r="D131" s="107" t="s">
        <v>322</v>
      </c>
      <c r="E131" s="108">
        <v>2281</v>
      </c>
      <c r="F131" s="2">
        <f t="shared" ref="F131:F194" si="14">IF($A131="40810002",$E131,IF($A131="40810602",$E131*$N$4,0))</f>
        <v>1505.0038000000002</v>
      </c>
      <c r="G131" s="3">
        <f t="shared" si="8"/>
        <v>775.99620000000004</v>
      </c>
      <c r="H131" s="2">
        <f t="shared" si="9"/>
        <v>0</v>
      </c>
      <c r="I131" s="3">
        <f t="shared" si="10"/>
        <v>0</v>
      </c>
      <c r="J131" s="2">
        <f t="shared" si="11"/>
        <v>1505.0038000000002</v>
      </c>
      <c r="K131" s="3">
        <f t="shared" si="12"/>
        <v>775.99620000000004</v>
      </c>
      <c r="L131" s="4"/>
    </row>
    <row r="132" spans="1:12" ht="12" thickBot="1" x14ac:dyDescent="0.25">
      <c r="A132" s="107" t="s">
        <v>80</v>
      </c>
      <c r="B132" s="107" t="s">
        <v>81</v>
      </c>
      <c r="C132" s="107" t="s">
        <v>321</v>
      </c>
      <c r="D132" s="107" t="s">
        <v>322</v>
      </c>
      <c r="E132" s="109">
        <v>57.03</v>
      </c>
      <c r="F132" s="2">
        <f t="shared" si="14"/>
        <v>37.628394000000007</v>
      </c>
      <c r="G132" s="3">
        <f t="shared" ref="G132:G195" si="15">IF($A132="40810302",$E132,IF($A132="40810602",$E132*$N$5,0))</f>
        <v>19.401606000000001</v>
      </c>
      <c r="H132" s="2">
        <f t="shared" ref="H132:H150" si="16">IF(L132=1,-F132,0)</f>
        <v>0</v>
      </c>
      <c r="I132" s="3">
        <f t="shared" ref="I132:I150" si="17">IF(L132=1,-G132,0)</f>
        <v>0</v>
      </c>
      <c r="J132" s="2">
        <f t="shared" ref="J132:J150" si="18">F132+H132</f>
        <v>37.628394000000007</v>
      </c>
      <c r="K132" s="3">
        <f t="shared" ref="K132:K150" si="19">G132+I132</f>
        <v>19.401606000000001</v>
      </c>
      <c r="L132" s="4"/>
    </row>
    <row r="133" spans="1:12" ht="12" thickBot="1" x14ac:dyDescent="0.25">
      <c r="A133" s="107" t="s">
        <v>80</v>
      </c>
      <c r="B133" s="107" t="s">
        <v>81</v>
      </c>
      <c r="C133" s="107" t="s">
        <v>321</v>
      </c>
      <c r="D133" s="107" t="s">
        <v>322</v>
      </c>
      <c r="E133" s="108">
        <v>60</v>
      </c>
      <c r="F133" s="2">
        <f t="shared" si="14"/>
        <v>39.588000000000001</v>
      </c>
      <c r="G133" s="3">
        <f t="shared" si="15"/>
        <v>20.411999999999999</v>
      </c>
      <c r="H133" s="2">
        <f t="shared" si="16"/>
        <v>0</v>
      </c>
      <c r="I133" s="3">
        <f t="shared" si="17"/>
        <v>0</v>
      </c>
      <c r="J133" s="2">
        <f t="shared" si="18"/>
        <v>39.588000000000001</v>
      </c>
      <c r="K133" s="3">
        <f t="shared" si="19"/>
        <v>20.411999999999999</v>
      </c>
      <c r="L133" s="4"/>
    </row>
    <row r="134" spans="1:12" ht="12" thickBot="1" x14ac:dyDescent="0.25">
      <c r="A134" s="107" t="s">
        <v>80</v>
      </c>
      <c r="B134" s="107" t="s">
        <v>81</v>
      </c>
      <c r="C134" s="107" t="s">
        <v>321</v>
      </c>
      <c r="D134" s="107" t="s">
        <v>322</v>
      </c>
      <c r="E134" s="109">
        <v>1.5</v>
      </c>
      <c r="F134" s="2">
        <f t="shared" si="14"/>
        <v>0.98970000000000002</v>
      </c>
      <c r="G134" s="3">
        <f t="shared" si="15"/>
        <v>0.51029999999999998</v>
      </c>
      <c r="H134" s="2">
        <f t="shared" si="16"/>
        <v>0</v>
      </c>
      <c r="I134" s="3">
        <f t="shared" si="17"/>
        <v>0</v>
      </c>
      <c r="J134" s="2">
        <f t="shared" si="18"/>
        <v>0.98970000000000002</v>
      </c>
      <c r="K134" s="3">
        <f t="shared" si="19"/>
        <v>0.51029999999999998</v>
      </c>
      <c r="L134" s="4"/>
    </row>
    <row r="135" spans="1:12" ht="12" thickBot="1" x14ac:dyDescent="0.25">
      <c r="A135" s="107" t="s">
        <v>80</v>
      </c>
      <c r="B135" s="107" t="s">
        <v>81</v>
      </c>
      <c r="C135" s="107" t="s">
        <v>321</v>
      </c>
      <c r="D135" s="107" t="s">
        <v>322</v>
      </c>
      <c r="E135" s="108">
        <v>95</v>
      </c>
      <c r="F135" s="2">
        <f t="shared" si="14"/>
        <v>62.681000000000004</v>
      </c>
      <c r="G135" s="3">
        <f t="shared" si="15"/>
        <v>32.319000000000003</v>
      </c>
      <c r="H135" s="2">
        <f t="shared" si="16"/>
        <v>0</v>
      </c>
      <c r="I135" s="3">
        <f t="shared" si="17"/>
        <v>0</v>
      </c>
      <c r="J135" s="2">
        <f t="shared" si="18"/>
        <v>62.681000000000004</v>
      </c>
      <c r="K135" s="3">
        <f t="shared" si="19"/>
        <v>32.319000000000003</v>
      </c>
      <c r="L135" s="4"/>
    </row>
    <row r="136" spans="1:12" ht="12" thickBot="1" x14ac:dyDescent="0.25">
      <c r="A136" s="107" t="s">
        <v>80</v>
      </c>
      <c r="B136" s="107" t="s">
        <v>81</v>
      </c>
      <c r="C136" s="107" t="s">
        <v>321</v>
      </c>
      <c r="D136" s="107" t="s">
        <v>322</v>
      </c>
      <c r="E136" s="109">
        <v>2.38</v>
      </c>
      <c r="F136" s="2">
        <f t="shared" si="14"/>
        <v>1.5703240000000001</v>
      </c>
      <c r="G136" s="3">
        <f t="shared" si="15"/>
        <v>0.80967599999999995</v>
      </c>
      <c r="H136" s="2">
        <f t="shared" si="16"/>
        <v>0</v>
      </c>
      <c r="I136" s="3">
        <f t="shared" si="17"/>
        <v>0</v>
      </c>
      <c r="J136" s="2">
        <f t="shared" si="18"/>
        <v>1.5703240000000001</v>
      </c>
      <c r="K136" s="3">
        <f t="shared" si="19"/>
        <v>0.80967599999999995</v>
      </c>
      <c r="L136" s="4"/>
    </row>
    <row r="137" spans="1:12" ht="12" thickBot="1" x14ac:dyDescent="0.25">
      <c r="A137" s="107" t="s">
        <v>80</v>
      </c>
      <c r="B137" s="107" t="s">
        <v>81</v>
      </c>
      <c r="C137" s="107" t="s">
        <v>321</v>
      </c>
      <c r="D137" s="107" t="s">
        <v>322</v>
      </c>
      <c r="E137" s="108">
        <v>35</v>
      </c>
      <c r="F137" s="2">
        <f t="shared" si="14"/>
        <v>23.093000000000004</v>
      </c>
      <c r="G137" s="3">
        <f t="shared" si="15"/>
        <v>11.907</v>
      </c>
      <c r="H137" s="2">
        <f t="shared" si="16"/>
        <v>0</v>
      </c>
      <c r="I137" s="3">
        <f t="shared" si="17"/>
        <v>0</v>
      </c>
      <c r="J137" s="2">
        <f t="shared" si="18"/>
        <v>23.093000000000004</v>
      </c>
      <c r="K137" s="3">
        <f t="shared" si="19"/>
        <v>11.907</v>
      </c>
      <c r="L137" s="4"/>
    </row>
    <row r="138" spans="1:12" ht="12" thickBot="1" x14ac:dyDescent="0.25">
      <c r="A138" s="107" t="s">
        <v>80</v>
      </c>
      <c r="B138" s="107" t="s">
        <v>81</v>
      </c>
      <c r="C138" s="107" t="s">
        <v>321</v>
      </c>
      <c r="D138" s="107" t="s">
        <v>322</v>
      </c>
      <c r="E138" s="109">
        <v>0.88</v>
      </c>
      <c r="F138" s="2">
        <f t="shared" si="14"/>
        <v>0.58062400000000003</v>
      </c>
      <c r="G138" s="3">
        <f t="shared" si="15"/>
        <v>0.29937600000000003</v>
      </c>
      <c r="H138" s="2">
        <f t="shared" si="16"/>
        <v>0</v>
      </c>
      <c r="I138" s="3">
        <f t="shared" si="17"/>
        <v>0</v>
      </c>
      <c r="J138" s="2">
        <f t="shared" si="18"/>
        <v>0.58062400000000003</v>
      </c>
      <c r="K138" s="3">
        <f t="shared" si="19"/>
        <v>0.29937600000000003</v>
      </c>
      <c r="L138" s="4"/>
    </row>
    <row r="139" spans="1:12" ht="12" thickBot="1" x14ac:dyDescent="0.25">
      <c r="A139" s="107" t="s">
        <v>80</v>
      </c>
      <c r="B139" s="107" t="s">
        <v>81</v>
      </c>
      <c r="C139" s="107" t="s">
        <v>321</v>
      </c>
      <c r="D139" s="107" t="s">
        <v>322</v>
      </c>
      <c r="E139" s="108">
        <v>96</v>
      </c>
      <c r="F139" s="2">
        <f t="shared" si="14"/>
        <v>63.340800000000002</v>
      </c>
      <c r="G139" s="3">
        <f t="shared" si="15"/>
        <v>32.659199999999998</v>
      </c>
      <c r="H139" s="2">
        <f t="shared" si="16"/>
        <v>0</v>
      </c>
      <c r="I139" s="3">
        <f t="shared" si="17"/>
        <v>0</v>
      </c>
      <c r="J139" s="2">
        <f t="shared" si="18"/>
        <v>63.340800000000002</v>
      </c>
      <c r="K139" s="3">
        <f t="shared" si="19"/>
        <v>32.659199999999998</v>
      </c>
      <c r="L139" s="4"/>
    </row>
    <row r="140" spans="1:12" ht="12" thickBot="1" x14ac:dyDescent="0.25">
      <c r="A140" s="107" t="s">
        <v>80</v>
      </c>
      <c r="B140" s="107" t="s">
        <v>81</v>
      </c>
      <c r="C140" s="107" t="s">
        <v>321</v>
      </c>
      <c r="D140" s="107" t="s">
        <v>322</v>
      </c>
      <c r="E140" s="109">
        <v>2.4</v>
      </c>
      <c r="F140" s="2">
        <f t="shared" si="14"/>
        <v>1.58352</v>
      </c>
      <c r="G140" s="3">
        <f t="shared" si="15"/>
        <v>0.81647999999999998</v>
      </c>
      <c r="H140" s="2">
        <f t="shared" si="16"/>
        <v>0</v>
      </c>
      <c r="I140" s="3">
        <f t="shared" si="17"/>
        <v>0</v>
      </c>
      <c r="J140" s="2">
        <f t="shared" si="18"/>
        <v>1.58352</v>
      </c>
      <c r="K140" s="3">
        <f t="shared" si="19"/>
        <v>0.81647999999999998</v>
      </c>
      <c r="L140" s="4"/>
    </row>
    <row r="141" spans="1:12" ht="12" thickBot="1" x14ac:dyDescent="0.25">
      <c r="A141" s="107" t="s">
        <v>80</v>
      </c>
      <c r="B141" s="107" t="s">
        <v>81</v>
      </c>
      <c r="C141" s="107" t="s">
        <v>321</v>
      </c>
      <c r="D141" s="107" t="s">
        <v>322</v>
      </c>
      <c r="E141" s="108">
        <v>102</v>
      </c>
      <c r="F141" s="2">
        <f t="shared" si="14"/>
        <v>67.299600000000012</v>
      </c>
      <c r="G141" s="3">
        <f t="shared" si="15"/>
        <v>34.700400000000002</v>
      </c>
      <c r="H141" s="2">
        <f t="shared" si="16"/>
        <v>0</v>
      </c>
      <c r="I141" s="3">
        <f t="shared" si="17"/>
        <v>0</v>
      </c>
      <c r="J141" s="2">
        <f t="shared" si="18"/>
        <v>67.299600000000012</v>
      </c>
      <c r="K141" s="3">
        <f t="shared" si="19"/>
        <v>34.700400000000002</v>
      </c>
      <c r="L141" s="4"/>
    </row>
    <row r="142" spans="1:12" ht="12" thickBot="1" x14ac:dyDescent="0.25">
      <c r="A142" s="107" t="s">
        <v>80</v>
      </c>
      <c r="B142" s="107" t="s">
        <v>81</v>
      </c>
      <c r="C142" s="107" t="s">
        <v>321</v>
      </c>
      <c r="D142" s="107" t="s">
        <v>322</v>
      </c>
      <c r="E142" s="109">
        <v>2.5499999999999998</v>
      </c>
      <c r="F142" s="2">
        <f t="shared" si="14"/>
        <v>1.68249</v>
      </c>
      <c r="G142" s="3">
        <f t="shared" si="15"/>
        <v>0.86750999999999989</v>
      </c>
      <c r="H142" s="2">
        <f t="shared" si="16"/>
        <v>0</v>
      </c>
      <c r="I142" s="3">
        <f t="shared" si="17"/>
        <v>0</v>
      </c>
      <c r="J142" s="2">
        <f t="shared" si="18"/>
        <v>1.68249</v>
      </c>
      <c r="K142" s="3">
        <f t="shared" si="19"/>
        <v>0.86750999999999989</v>
      </c>
      <c r="L142" s="4"/>
    </row>
    <row r="143" spans="1:12" ht="12" thickBot="1" x14ac:dyDescent="0.25">
      <c r="A143" s="107" t="s">
        <v>80</v>
      </c>
      <c r="B143" s="107" t="s">
        <v>81</v>
      </c>
      <c r="C143" s="107" t="s">
        <v>321</v>
      </c>
      <c r="D143" s="107" t="s">
        <v>322</v>
      </c>
      <c r="E143" s="108">
        <v>215</v>
      </c>
      <c r="F143" s="2">
        <f t="shared" si="14"/>
        <v>141.857</v>
      </c>
      <c r="G143" s="3">
        <f t="shared" si="15"/>
        <v>73.143000000000001</v>
      </c>
      <c r="H143" s="2">
        <f t="shared" si="16"/>
        <v>0</v>
      </c>
      <c r="I143" s="3">
        <f t="shared" si="17"/>
        <v>0</v>
      </c>
      <c r="J143" s="2">
        <f t="shared" si="18"/>
        <v>141.857</v>
      </c>
      <c r="K143" s="3">
        <f t="shared" si="19"/>
        <v>73.143000000000001</v>
      </c>
      <c r="L143" s="4"/>
    </row>
    <row r="144" spans="1:12" ht="12" thickBot="1" x14ac:dyDescent="0.25">
      <c r="A144" s="107" t="s">
        <v>80</v>
      </c>
      <c r="B144" s="107" t="s">
        <v>81</v>
      </c>
      <c r="C144" s="107" t="s">
        <v>321</v>
      </c>
      <c r="D144" s="107" t="s">
        <v>322</v>
      </c>
      <c r="E144" s="109">
        <v>5.38</v>
      </c>
      <c r="F144" s="2">
        <f t="shared" si="14"/>
        <v>3.5497240000000003</v>
      </c>
      <c r="G144" s="3">
        <f t="shared" si="15"/>
        <v>1.830276</v>
      </c>
      <c r="H144" s="2">
        <f t="shared" si="16"/>
        <v>0</v>
      </c>
      <c r="I144" s="3">
        <f t="shared" si="17"/>
        <v>0</v>
      </c>
      <c r="J144" s="2">
        <f t="shared" si="18"/>
        <v>3.5497240000000003</v>
      </c>
      <c r="K144" s="3">
        <f t="shared" si="19"/>
        <v>1.830276</v>
      </c>
      <c r="L144" s="4"/>
    </row>
    <row r="145" spans="1:12" ht="12" thickBot="1" x14ac:dyDescent="0.25">
      <c r="A145" s="107" t="s">
        <v>80</v>
      </c>
      <c r="B145" s="107" t="s">
        <v>81</v>
      </c>
      <c r="C145" s="107" t="s">
        <v>321</v>
      </c>
      <c r="D145" s="107" t="s">
        <v>322</v>
      </c>
      <c r="E145" s="108">
        <v>75</v>
      </c>
      <c r="F145" s="2">
        <f t="shared" si="14"/>
        <v>49.485000000000007</v>
      </c>
      <c r="G145" s="3">
        <f t="shared" si="15"/>
        <v>25.515000000000001</v>
      </c>
      <c r="H145" s="2">
        <f t="shared" si="16"/>
        <v>0</v>
      </c>
      <c r="I145" s="3">
        <f t="shared" si="17"/>
        <v>0</v>
      </c>
      <c r="J145" s="2">
        <f t="shared" si="18"/>
        <v>49.485000000000007</v>
      </c>
      <c r="K145" s="3">
        <f t="shared" si="19"/>
        <v>25.515000000000001</v>
      </c>
      <c r="L145" s="4"/>
    </row>
    <row r="146" spans="1:12" ht="12" thickBot="1" x14ac:dyDescent="0.25">
      <c r="A146" s="107" t="s">
        <v>80</v>
      </c>
      <c r="B146" s="107" t="s">
        <v>81</v>
      </c>
      <c r="C146" s="107" t="s">
        <v>321</v>
      </c>
      <c r="D146" s="107" t="s">
        <v>322</v>
      </c>
      <c r="E146" s="109">
        <v>1.88</v>
      </c>
      <c r="F146" s="2">
        <f t="shared" si="14"/>
        <v>1.240424</v>
      </c>
      <c r="G146" s="3">
        <f t="shared" si="15"/>
        <v>0.63957599999999992</v>
      </c>
      <c r="H146" s="2">
        <f t="shared" si="16"/>
        <v>0</v>
      </c>
      <c r="I146" s="3">
        <f t="shared" si="17"/>
        <v>0</v>
      </c>
      <c r="J146" s="2">
        <f t="shared" si="18"/>
        <v>1.240424</v>
      </c>
      <c r="K146" s="3">
        <f t="shared" si="19"/>
        <v>0.63957599999999992</v>
      </c>
      <c r="L146" s="4"/>
    </row>
    <row r="147" spans="1:12" ht="12" thickBot="1" x14ac:dyDescent="0.25">
      <c r="A147" s="107" t="s">
        <v>80</v>
      </c>
      <c r="B147" s="107" t="s">
        <v>81</v>
      </c>
      <c r="C147" s="107" t="s">
        <v>321</v>
      </c>
      <c r="D147" s="107" t="s">
        <v>322</v>
      </c>
      <c r="E147" s="108">
        <v>40</v>
      </c>
      <c r="F147" s="2">
        <f t="shared" si="14"/>
        <v>26.392000000000003</v>
      </c>
      <c r="G147" s="3">
        <f t="shared" si="15"/>
        <v>13.608000000000001</v>
      </c>
      <c r="H147" s="2">
        <f t="shared" si="16"/>
        <v>0</v>
      </c>
      <c r="I147" s="3">
        <f t="shared" si="17"/>
        <v>0</v>
      </c>
      <c r="J147" s="2">
        <f t="shared" si="18"/>
        <v>26.392000000000003</v>
      </c>
      <c r="K147" s="3">
        <f t="shared" si="19"/>
        <v>13.608000000000001</v>
      </c>
      <c r="L147" s="4"/>
    </row>
    <row r="148" spans="1:12" ht="12" thickBot="1" x14ac:dyDescent="0.25">
      <c r="A148" s="107" t="s">
        <v>80</v>
      </c>
      <c r="B148" s="107" t="s">
        <v>81</v>
      </c>
      <c r="C148" s="107" t="s">
        <v>321</v>
      </c>
      <c r="D148" s="107" t="s">
        <v>322</v>
      </c>
      <c r="E148" s="109">
        <v>1</v>
      </c>
      <c r="F148" s="2">
        <f t="shared" si="14"/>
        <v>0.65980000000000005</v>
      </c>
      <c r="G148" s="3">
        <f t="shared" si="15"/>
        <v>0.3402</v>
      </c>
      <c r="H148" s="2">
        <f t="shared" si="16"/>
        <v>0</v>
      </c>
      <c r="I148" s="3">
        <f t="shared" si="17"/>
        <v>0</v>
      </c>
      <c r="J148" s="2">
        <f t="shared" si="18"/>
        <v>0.65980000000000005</v>
      </c>
      <c r="K148" s="3">
        <f t="shared" si="19"/>
        <v>0.3402</v>
      </c>
      <c r="L148" s="4"/>
    </row>
    <row r="149" spans="1:12" ht="12" thickBot="1" x14ac:dyDescent="0.25">
      <c r="A149" s="107" t="s">
        <v>77</v>
      </c>
      <c r="B149" s="107" t="s">
        <v>78</v>
      </c>
      <c r="C149" s="107" t="s">
        <v>321</v>
      </c>
      <c r="D149" s="107" t="s">
        <v>264</v>
      </c>
      <c r="E149" s="108">
        <v>100762.77</v>
      </c>
      <c r="F149" s="2">
        <f t="shared" si="14"/>
        <v>100762.77</v>
      </c>
      <c r="G149" s="3">
        <f t="shared" si="15"/>
        <v>0</v>
      </c>
      <c r="H149" s="2">
        <f t="shared" si="16"/>
        <v>0</v>
      </c>
      <c r="I149" s="3">
        <f t="shared" si="17"/>
        <v>0</v>
      </c>
      <c r="J149" s="2">
        <f t="shared" si="18"/>
        <v>100762.77</v>
      </c>
      <c r="K149" s="3">
        <f t="shared" si="19"/>
        <v>0</v>
      </c>
      <c r="L149" s="4"/>
    </row>
    <row r="150" spans="1:12" ht="12" thickBot="1" x14ac:dyDescent="0.25">
      <c r="A150" s="107" t="s">
        <v>80</v>
      </c>
      <c r="B150" s="107" t="s">
        <v>81</v>
      </c>
      <c r="C150" s="107" t="s">
        <v>321</v>
      </c>
      <c r="D150" s="107" t="s">
        <v>305</v>
      </c>
      <c r="E150" s="109">
        <v>4500</v>
      </c>
      <c r="F150" s="2">
        <f t="shared" si="14"/>
        <v>2969.1000000000004</v>
      </c>
      <c r="G150" s="3">
        <f t="shared" si="15"/>
        <v>1530.9</v>
      </c>
      <c r="H150" s="2">
        <f t="shared" si="16"/>
        <v>0</v>
      </c>
      <c r="I150" s="3">
        <f t="shared" si="17"/>
        <v>0</v>
      </c>
      <c r="J150" s="2">
        <f t="shared" si="18"/>
        <v>2969.1000000000004</v>
      </c>
      <c r="K150" s="3">
        <f t="shared" si="19"/>
        <v>1530.9</v>
      </c>
      <c r="L150" s="4"/>
    </row>
    <row r="151" spans="1:12" ht="12" thickBot="1" x14ac:dyDescent="0.25">
      <c r="A151" s="107" t="s">
        <v>79</v>
      </c>
      <c r="B151" s="107" t="s">
        <v>78</v>
      </c>
      <c r="C151" s="107" t="s">
        <v>321</v>
      </c>
      <c r="D151" s="107" t="s">
        <v>288</v>
      </c>
      <c r="E151" s="108">
        <v>-11.33</v>
      </c>
      <c r="F151" s="2">
        <f t="shared" si="14"/>
        <v>0</v>
      </c>
      <c r="G151" s="3">
        <f t="shared" si="15"/>
        <v>-11.33</v>
      </c>
      <c r="H151" s="2">
        <f t="shared" ref="H151:H178" si="20">IF(L151=1,-F151,0)</f>
        <v>0</v>
      </c>
      <c r="I151" s="3">
        <f t="shared" ref="I151:I178" si="21">IF(L151=1,-G151,0)</f>
        <v>0</v>
      </c>
      <c r="J151" s="2">
        <f t="shared" ref="J151:J178" si="22">F151+H151</f>
        <v>0</v>
      </c>
      <c r="K151" s="3">
        <f t="shared" ref="K151:K178" si="23">G151+I151</f>
        <v>-11.33</v>
      </c>
      <c r="L151" s="22"/>
    </row>
    <row r="152" spans="1:12" ht="12" thickBot="1" x14ac:dyDescent="0.25">
      <c r="A152" s="107" t="s">
        <v>80</v>
      </c>
      <c r="B152" s="107" t="s">
        <v>81</v>
      </c>
      <c r="C152" s="107" t="s">
        <v>321</v>
      </c>
      <c r="D152" s="107" t="s">
        <v>288</v>
      </c>
      <c r="E152" s="109">
        <v>3701.53</v>
      </c>
      <c r="F152" s="2">
        <f t="shared" si="14"/>
        <v>2442.2694940000001</v>
      </c>
      <c r="G152" s="3">
        <f t="shared" si="15"/>
        <v>1259.2605060000001</v>
      </c>
      <c r="H152" s="2">
        <f t="shared" si="20"/>
        <v>0</v>
      </c>
      <c r="I152" s="3">
        <f t="shared" si="21"/>
        <v>0</v>
      </c>
      <c r="J152" s="2">
        <f t="shared" si="22"/>
        <v>2442.2694940000001</v>
      </c>
      <c r="K152" s="3">
        <f t="shared" si="23"/>
        <v>1259.2605060000001</v>
      </c>
      <c r="L152" s="22"/>
    </row>
    <row r="153" spans="1:12" ht="12" thickBot="1" x14ac:dyDescent="0.25">
      <c r="A153" s="107" t="s">
        <v>80</v>
      </c>
      <c r="B153" s="107" t="s">
        <v>81</v>
      </c>
      <c r="C153" s="107" t="s">
        <v>321</v>
      </c>
      <c r="D153" s="107" t="s">
        <v>323</v>
      </c>
      <c r="E153" s="108">
        <v>-65.95</v>
      </c>
      <c r="F153" s="2">
        <f t="shared" si="14"/>
        <v>-43.513810000000007</v>
      </c>
      <c r="G153" s="3">
        <f t="shared" si="15"/>
        <v>-22.43619</v>
      </c>
      <c r="H153" s="2">
        <f t="shared" si="20"/>
        <v>0</v>
      </c>
      <c r="I153" s="3">
        <f t="shared" si="21"/>
        <v>0</v>
      </c>
      <c r="J153" s="2">
        <f t="shared" si="22"/>
        <v>-43.513810000000007</v>
      </c>
      <c r="K153" s="3">
        <f t="shared" si="23"/>
        <v>-22.43619</v>
      </c>
      <c r="L153" s="22"/>
    </row>
    <row r="154" spans="1:12" ht="12" thickBot="1" x14ac:dyDescent="0.25">
      <c r="A154" s="107" t="s">
        <v>80</v>
      </c>
      <c r="B154" s="107" t="s">
        <v>81</v>
      </c>
      <c r="C154" s="107" t="s">
        <v>321</v>
      </c>
      <c r="D154" s="107" t="s">
        <v>323</v>
      </c>
      <c r="E154" s="109">
        <v>65.95</v>
      </c>
      <c r="F154" s="2">
        <f t="shared" si="14"/>
        <v>43.513810000000007</v>
      </c>
      <c r="G154" s="3">
        <f t="shared" si="15"/>
        <v>22.43619</v>
      </c>
      <c r="H154" s="2">
        <f t="shared" si="20"/>
        <v>0</v>
      </c>
      <c r="I154" s="3">
        <f t="shared" si="21"/>
        <v>0</v>
      </c>
      <c r="J154" s="2">
        <f t="shared" si="22"/>
        <v>43.513810000000007</v>
      </c>
      <c r="K154" s="3">
        <f t="shared" si="23"/>
        <v>22.43619</v>
      </c>
      <c r="L154" s="22"/>
    </row>
    <row r="155" spans="1:12" ht="12" thickBot="1" x14ac:dyDescent="0.25">
      <c r="A155" s="107" t="s">
        <v>80</v>
      </c>
      <c r="B155" s="107" t="s">
        <v>81</v>
      </c>
      <c r="C155" s="107" t="s">
        <v>321</v>
      </c>
      <c r="D155" s="107" t="s">
        <v>306</v>
      </c>
      <c r="E155" s="108">
        <v>7911.67</v>
      </c>
      <c r="F155" s="2">
        <f t="shared" si="14"/>
        <v>5220.1198660000009</v>
      </c>
      <c r="G155" s="3">
        <f t="shared" si="15"/>
        <v>2691.5501340000001</v>
      </c>
      <c r="H155" s="2">
        <f t="shared" si="20"/>
        <v>0</v>
      </c>
      <c r="I155" s="3">
        <f t="shared" si="21"/>
        <v>0</v>
      </c>
      <c r="J155" s="2">
        <f t="shared" si="22"/>
        <v>5220.1198660000009</v>
      </c>
      <c r="K155" s="3">
        <f t="shared" si="23"/>
        <v>2691.5501340000001</v>
      </c>
      <c r="L155" s="22"/>
    </row>
    <row r="156" spans="1:12" ht="12" thickBot="1" x14ac:dyDescent="0.25">
      <c r="A156" s="107" t="s">
        <v>79</v>
      </c>
      <c r="B156" s="107" t="s">
        <v>78</v>
      </c>
      <c r="C156" s="107" t="s">
        <v>321</v>
      </c>
      <c r="D156" s="107" t="s">
        <v>289</v>
      </c>
      <c r="E156" s="109">
        <v>49.17</v>
      </c>
      <c r="F156" s="2">
        <f t="shared" si="14"/>
        <v>0</v>
      </c>
      <c r="G156" s="3">
        <f t="shared" si="15"/>
        <v>49.17</v>
      </c>
      <c r="H156" s="2">
        <f t="shared" ref="H156:H159" si="24">IF(L156=1,-F156,0)</f>
        <v>0</v>
      </c>
      <c r="I156" s="3">
        <f t="shared" ref="I156:I159" si="25">IF(L156=1,-G156,0)</f>
        <v>0</v>
      </c>
      <c r="J156" s="2">
        <f t="shared" ref="J156:J159" si="26">F156+H156</f>
        <v>0</v>
      </c>
      <c r="K156" s="3">
        <f t="shared" ref="K156:K159" si="27">G156+I156</f>
        <v>49.17</v>
      </c>
      <c r="L156" s="22"/>
    </row>
    <row r="157" spans="1:12" ht="12" thickBot="1" x14ac:dyDescent="0.25">
      <c r="A157" s="107" t="s">
        <v>77</v>
      </c>
      <c r="B157" s="107" t="s">
        <v>78</v>
      </c>
      <c r="C157" s="107" t="s">
        <v>321</v>
      </c>
      <c r="D157" s="107" t="s">
        <v>266</v>
      </c>
      <c r="E157" s="108">
        <v>5635689.1600000001</v>
      </c>
      <c r="F157" s="2">
        <f t="shared" si="14"/>
        <v>5635689.1600000001</v>
      </c>
      <c r="G157" s="3">
        <f t="shared" si="15"/>
        <v>0</v>
      </c>
      <c r="H157" s="2">
        <f t="shared" si="24"/>
        <v>0</v>
      </c>
      <c r="I157" s="3">
        <f t="shared" si="25"/>
        <v>0</v>
      </c>
      <c r="J157" s="2">
        <f t="shared" si="26"/>
        <v>5635689.1600000001</v>
      </c>
      <c r="K157" s="3">
        <f t="shared" si="27"/>
        <v>0</v>
      </c>
      <c r="L157" s="22"/>
    </row>
    <row r="158" spans="1:12" ht="12" thickBot="1" x14ac:dyDescent="0.25">
      <c r="A158" s="107" t="s">
        <v>79</v>
      </c>
      <c r="B158" s="107" t="s">
        <v>78</v>
      </c>
      <c r="C158" s="107" t="s">
        <v>321</v>
      </c>
      <c r="D158" s="107" t="s">
        <v>266</v>
      </c>
      <c r="E158" s="109">
        <v>1890671.95</v>
      </c>
      <c r="F158" s="2">
        <f t="shared" si="14"/>
        <v>0</v>
      </c>
      <c r="G158" s="3">
        <f t="shared" si="15"/>
        <v>1890671.95</v>
      </c>
      <c r="H158" s="2">
        <f t="shared" si="24"/>
        <v>0</v>
      </c>
      <c r="I158" s="3">
        <f t="shared" si="25"/>
        <v>0</v>
      </c>
      <c r="J158" s="2">
        <f t="shared" si="26"/>
        <v>0</v>
      </c>
      <c r="K158" s="3">
        <f t="shared" si="27"/>
        <v>1890671.95</v>
      </c>
      <c r="L158" s="22"/>
    </row>
    <row r="159" spans="1:12" ht="12" thickBot="1" x14ac:dyDescent="0.25">
      <c r="A159" s="107" t="s">
        <v>77</v>
      </c>
      <c r="B159" s="107" t="s">
        <v>78</v>
      </c>
      <c r="C159" s="107" t="s">
        <v>321</v>
      </c>
      <c r="D159" s="107" t="s">
        <v>263</v>
      </c>
      <c r="E159" s="108">
        <v>7397597.79</v>
      </c>
      <c r="F159" s="2">
        <f t="shared" si="14"/>
        <v>7397597.79</v>
      </c>
      <c r="G159" s="3">
        <f t="shared" si="15"/>
        <v>0</v>
      </c>
      <c r="H159" s="2">
        <f t="shared" si="24"/>
        <v>0</v>
      </c>
      <c r="I159" s="3">
        <f t="shared" si="25"/>
        <v>0</v>
      </c>
      <c r="J159" s="2">
        <f t="shared" si="26"/>
        <v>7397597.79</v>
      </c>
      <c r="K159" s="3">
        <f t="shared" si="27"/>
        <v>0</v>
      </c>
      <c r="L159" s="22"/>
    </row>
    <row r="160" spans="1:12" ht="12" thickBot="1" x14ac:dyDescent="0.25">
      <c r="A160" s="107" t="s">
        <v>79</v>
      </c>
      <c r="B160" s="107" t="s">
        <v>78</v>
      </c>
      <c r="C160" s="107" t="s">
        <v>321</v>
      </c>
      <c r="D160" s="107" t="s">
        <v>263</v>
      </c>
      <c r="E160" s="109">
        <v>2522877.9900000002</v>
      </c>
      <c r="F160" s="2">
        <f t="shared" si="14"/>
        <v>0</v>
      </c>
      <c r="G160" s="3">
        <f t="shared" si="15"/>
        <v>2522877.9900000002</v>
      </c>
      <c r="H160" s="2">
        <f t="shared" si="20"/>
        <v>0</v>
      </c>
      <c r="I160" s="3">
        <f t="shared" si="21"/>
        <v>0</v>
      </c>
      <c r="J160" s="2">
        <f t="shared" si="22"/>
        <v>0</v>
      </c>
      <c r="K160" s="3">
        <f t="shared" si="23"/>
        <v>2522877.9900000002</v>
      </c>
      <c r="L160" s="22"/>
    </row>
    <row r="161" spans="1:12" ht="12" thickBot="1" x14ac:dyDescent="0.25">
      <c r="A161" s="107" t="s">
        <v>80</v>
      </c>
      <c r="B161" s="107" t="s">
        <v>81</v>
      </c>
      <c r="C161" s="107" t="s">
        <v>321</v>
      </c>
      <c r="D161" s="107" t="s">
        <v>263</v>
      </c>
      <c r="E161" s="108">
        <v>189098.71</v>
      </c>
      <c r="F161" s="2">
        <f t="shared" si="14"/>
        <v>124767.32885800001</v>
      </c>
      <c r="G161" s="3">
        <f t="shared" si="15"/>
        <v>64331.381141999998</v>
      </c>
      <c r="H161" s="2">
        <f t="shared" si="20"/>
        <v>0</v>
      </c>
      <c r="I161" s="3">
        <f t="shared" si="21"/>
        <v>0</v>
      </c>
      <c r="J161" s="2">
        <f t="shared" si="22"/>
        <v>124767.32885800001</v>
      </c>
      <c r="K161" s="3">
        <f t="shared" si="23"/>
        <v>64331.381141999998</v>
      </c>
      <c r="L161" s="22"/>
    </row>
    <row r="162" spans="1:12" ht="12" thickBot="1" x14ac:dyDescent="0.25">
      <c r="A162" s="107" t="s">
        <v>77</v>
      </c>
      <c r="B162" s="107" t="s">
        <v>78</v>
      </c>
      <c r="C162" s="107" t="s">
        <v>324</v>
      </c>
      <c r="D162" s="107" t="s">
        <v>268</v>
      </c>
      <c r="E162" s="109">
        <v>-100762.77</v>
      </c>
      <c r="F162" s="2">
        <f t="shared" si="14"/>
        <v>-100762.77</v>
      </c>
      <c r="G162" s="3">
        <f t="shared" si="15"/>
        <v>0</v>
      </c>
      <c r="H162" s="2">
        <f t="shared" si="20"/>
        <v>0</v>
      </c>
      <c r="I162" s="3">
        <f t="shared" si="21"/>
        <v>0</v>
      </c>
      <c r="J162" s="2">
        <f t="shared" si="22"/>
        <v>-100762.77</v>
      </c>
      <c r="K162" s="3">
        <f t="shared" si="23"/>
        <v>0</v>
      </c>
      <c r="L162" s="22"/>
    </row>
    <row r="163" spans="1:12" ht="12" thickBot="1" x14ac:dyDescent="0.25">
      <c r="A163" s="107" t="s">
        <v>77</v>
      </c>
      <c r="B163" s="107" t="s">
        <v>78</v>
      </c>
      <c r="C163" s="107" t="s">
        <v>324</v>
      </c>
      <c r="D163" s="107" t="s">
        <v>268</v>
      </c>
      <c r="E163" s="108">
        <v>100762.77</v>
      </c>
      <c r="F163" s="2">
        <f t="shared" si="14"/>
        <v>100762.77</v>
      </c>
      <c r="G163" s="3">
        <f t="shared" si="15"/>
        <v>0</v>
      </c>
      <c r="H163" s="2">
        <f t="shared" si="20"/>
        <v>0</v>
      </c>
      <c r="I163" s="3">
        <f t="shared" si="21"/>
        <v>0</v>
      </c>
      <c r="J163" s="2">
        <f t="shared" si="22"/>
        <v>100762.77</v>
      </c>
      <c r="K163" s="3">
        <f t="shared" si="23"/>
        <v>0</v>
      </c>
      <c r="L163" s="22"/>
    </row>
    <row r="164" spans="1:12" ht="12" thickBot="1" x14ac:dyDescent="0.25">
      <c r="A164" s="107" t="s">
        <v>77</v>
      </c>
      <c r="B164" s="107" t="s">
        <v>78</v>
      </c>
      <c r="C164" s="107" t="s">
        <v>324</v>
      </c>
      <c r="D164" s="107" t="s">
        <v>271</v>
      </c>
      <c r="E164" s="109">
        <v>-5635689.1600000001</v>
      </c>
      <c r="F164" s="2">
        <f t="shared" si="14"/>
        <v>-5635689.1600000001</v>
      </c>
      <c r="G164" s="3">
        <f t="shared" si="15"/>
        <v>0</v>
      </c>
      <c r="H164" s="2">
        <f t="shared" ref="H164:H167" si="28">IF(L164=1,-F164,0)</f>
        <v>0</v>
      </c>
      <c r="I164" s="3">
        <f t="shared" ref="I164:I167" si="29">IF(L164=1,-G164,0)</f>
        <v>0</v>
      </c>
      <c r="J164" s="2">
        <f t="shared" ref="J164:J167" si="30">F164+H164</f>
        <v>-5635689.1600000001</v>
      </c>
      <c r="K164" s="3">
        <f t="shared" ref="K164:K167" si="31">G164+I164</f>
        <v>0</v>
      </c>
      <c r="L164" s="22"/>
    </row>
    <row r="165" spans="1:12" ht="12" thickBot="1" x14ac:dyDescent="0.25">
      <c r="A165" s="107" t="s">
        <v>79</v>
      </c>
      <c r="B165" s="107" t="s">
        <v>78</v>
      </c>
      <c r="C165" s="107" t="s">
        <v>324</v>
      </c>
      <c r="D165" s="107" t="s">
        <v>271</v>
      </c>
      <c r="E165" s="108">
        <v>-1890671.95</v>
      </c>
      <c r="F165" s="2">
        <f t="shared" si="14"/>
        <v>0</v>
      </c>
      <c r="G165" s="3">
        <f t="shared" si="15"/>
        <v>-1890671.95</v>
      </c>
      <c r="H165" s="2">
        <f t="shared" si="28"/>
        <v>0</v>
      </c>
      <c r="I165" s="3">
        <f t="shared" si="29"/>
        <v>0</v>
      </c>
      <c r="J165" s="2">
        <f t="shared" si="30"/>
        <v>0</v>
      </c>
      <c r="K165" s="3">
        <f t="shared" si="31"/>
        <v>-1890671.95</v>
      </c>
      <c r="L165" s="22"/>
    </row>
    <row r="166" spans="1:12" ht="12" thickBot="1" x14ac:dyDescent="0.25">
      <c r="A166" s="107" t="s">
        <v>80</v>
      </c>
      <c r="B166" s="107" t="s">
        <v>81</v>
      </c>
      <c r="C166" s="107" t="s">
        <v>324</v>
      </c>
      <c r="D166" s="107" t="s">
        <v>307</v>
      </c>
      <c r="E166" s="109">
        <v>3500</v>
      </c>
      <c r="F166" s="2">
        <f t="shared" si="14"/>
        <v>2309.3000000000002</v>
      </c>
      <c r="G166" s="3">
        <f t="shared" si="15"/>
        <v>1190.7</v>
      </c>
      <c r="H166" s="2">
        <f t="shared" si="28"/>
        <v>0</v>
      </c>
      <c r="I166" s="3">
        <f t="shared" si="29"/>
        <v>0</v>
      </c>
      <c r="J166" s="2">
        <f t="shared" si="30"/>
        <v>2309.3000000000002</v>
      </c>
      <c r="K166" s="3">
        <f t="shared" si="31"/>
        <v>1190.7</v>
      </c>
      <c r="L166" s="22"/>
    </row>
    <row r="167" spans="1:12" ht="12" thickBot="1" x14ac:dyDescent="0.25">
      <c r="A167" s="107" t="s">
        <v>77</v>
      </c>
      <c r="B167" s="107" t="s">
        <v>78</v>
      </c>
      <c r="C167" s="107" t="s">
        <v>324</v>
      </c>
      <c r="D167" s="107" t="s">
        <v>269</v>
      </c>
      <c r="E167" s="108">
        <v>-30763.16</v>
      </c>
      <c r="F167" s="2">
        <f t="shared" si="14"/>
        <v>-30763.16</v>
      </c>
      <c r="G167" s="3">
        <f t="shared" si="15"/>
        <v>0</v>
      </c>
      <c r="H167" s="2">
        <f t="shared" si="28"/>
        <v>0</v>
      </c>
      <c r="I167" s="3">
        <f t="shared" si="29"/>
        <v>0</v>
      </c>
      <c r="J167" s="2">
        <f t="shared" si="30"/>
        <v>-30763.16</v>
      </c>
      <c r="K167" s="3">
        <f t="shared" si="31"/>
        <v>0</v>
      </c>
      <c r="L167" s="22"/>
    </row>
    <row r="168" spans="1:12" ht="12" thickBot="1" x14ac:dyDescent="0.25">
      <c r="A168" s="107" t="s">
        <v>79</v>
      </c>
      <c r="B168" s="107" t="s">
        <v>78</v>
      </c>
      <c r="C168" s="107" t="s">
        <v>324</v>
      </c>
      <c r="D168" s="107" t="s">
        <v>269</v>
      </c>
      <c r="E168" s="109">
        <v>-49.17</v>
      </c>
      <c r="F168" s="2">
        <f t="shared" si="14"/>
        <v>0</v>
      </c>
      <c r="G168" s="3">
        <f t="shared" si="15"/>
        <v>-49.17</v>
      </c>
      <c r="H168" s="2">
        <f t="shared" si="20"/>
        <v>0</v>
      </c>
      <c r="I168" s="3">
        <f t="shared" si="21"/>
        <v>0</v>
      </c>
      <c r="J168" s="2">
        <f t="shared" si="22"/>
        <v>0</v>
      </c>
      <c r="K168" s="3">
        <f t="shared" si="23"/>
        <v>-49.17</v>
      </c>
      <c r="L168" s="22"/>
    </row>
    <row r="169" spans="1:12" ht="12" thickBot="1" x14ac:dyDescent="0.25">
      <c r="A169" s="107" t="s">
        <v>80</v>
      </c>
      <c r="B169" s="107" t="s">
        <v>81</v>
      </c>
      <c r="C169" s="107" t="s">
        <v>324</v>
      </c>
      <c r="D169" s="107" t="s">
        <v>269</v>
      </c>
      <c r="E169" s="108">
        <v>3115.91</v>
      </c>
      <c r="F169" s="2">
        <f t="shared" si="14"/>
        <v>2055.877418</v>
      </c>
      <c r="G169" s="3">
        <f t="shared" si="15"/>
        <v>1060.032582</v>
      </c>
      <c r="H169" s="2">
        <f t="shared" si="20"/>
        <v>0</v>
      </c>
      <c r="I169" s="3">
        <f t="shared" si="21"/>
        <v>0</v>
      </c>
      <c r="J169" s="2">
        <f t="shared" si="22"/>
        <v>2055.877418</v>
      </c>
      <c r="K169" s="3">
        <f t="shared" si="23"/>
        <v>1060.032582</v>
      </c>
      <c r="L169" s="22"/>
    </row>
    <row r="170" spans="1:12" ht="12" thickBot="1" x14ac:dyDescent="0.25">
      <c r="A170" s="107" t="s">
        <v>79</v>
      </c>
      <c r="B170" s="107" t="s">
        <v>78</v>
      </c>
      <c r="C170" s="107" t="s">
        <v>324</v>
      </c>
      <c r="D170" s="107" t="s">
        <v>290</v>
      </c>
      <c r="E170" s="109">
        <v>1158.8599999999999</v>
      </c>
      <c r="F170" s="2">
        <f t="shared" si="14"/>
        <v>0</v>
      </c>
      <c r="G170" s="3">
        <f t="shared" si="15"/>
        <v>1158.8599999999999</v>
      </c>
      <c r="H170" s="2">
        <f t="shared" si="20"/>
        <v>0</v>
      </c>
      <c r="I170" s="3">
        <f t="shared" si="21"/>
        <v>0</v>
      </c>
      <c r="J170" s="2">
        <f t="shared" si="22"/>
        <v>0</v>
      </c>
      <c r="K170" s="3">
        <f t="shared" si="23"/>
        <v>1158.8599999999999</v>
      </c>
      <c r="L170" s="22"/>
    </row>
    <row r="171" spans="1:12" ht="12" thickBot="1" x14ac:dyDescent="0.25">
      <c r="A171" s="107" t="s">
        <v>77</v>
      </c>
      <c r="B171" s="107" t="s">
        <v>78</v>
      </c>
      <c r="C171" s="107" t="s">
        <v>324</v>
      </c>
      <c r="D171" s="107" t="s">
        <v>272</v>
      </c>
      <c r="E171" s="108">
        <v>5912640.2400000002</v>
      </c>
      <c r="F171" s="2">
        <f t="shared" si="14"/>
        <v>5912640.2400000002</v>
      </c>
      <c r="G171" s="3">
        <f t="shared" si="15"/>
        <v>0</v>
      </c>
      <c r="H171" s="2">
        <f t="shared" si="20"/>
        <v>0</v>
      </c>
      <c r="I171" s="3">
        <f t="shared" si="21"/>
        <v>0</v>
      </c>
      <c r="J171" s="2">
        <f t="shared" si="22"/>
        <v>5912640.2400000002</v>
      </c>
      <c r="K171" s="3">
        <f t="shared" si="23"/>
        <v>0</v>
      </c>
      <c r="L171" s="22"/>
    </row>
    <row r="172" spans="1:12" ht="12" thickBot="1" x14ac:dyDescent="0.25">
      <c r="A172" s="107" t="s">
        <v>79</v>
      </c>
      <c r="B172" s="107" t="s">
        <v>78</v>
      </c>
      <c r="C172" s="107" t="s">
        <v>324</v>
      </c>
      <c r="D172" s="107" t="s">
        <v>272</v>
      </c>
      <c r="E172" s="109">
        <v>2402921.8199999998</v>
      </c>
      <c r="F172" s="2">
        <f t="shared" si="14"/>
        <v>0</v>
      </c>
      <c r="G172" s="3">
        <f t="shared" si="15"/>
        <v>2402921.8199999998</v>
      </c>
      <c r="H172" s="2">
        <f t="shared" ref="H172:H175" si="32">IF(L172=1,-F172,0)</f>
        <v>0</v>
      </c>
      <c r="I172" s="3">
        <f t="shared" ref="I172:I175" si="33">IF(L172=1,-G172,0)</f>
        <v>0</v>
      </c>
      <c r="J172" s="2">
        <f t="shared" ref="J172:J175" si="34">F172+H172</f>
        <v>0</v>
      </c>
      <c r="K172" s="3">
        <f t="shared" ref="K172:K175" si="35">G172+I172</f>
        <v>2402921.8199999998</v>
      </c>
      <c r="L172" s="22"/>
    </row>
    <row r="173" spans="1:12" ht="12" thickBot="1" x14ac:dyDescent="0.25">
      <c r="A173" s="107" t="s">
        <v>77</v>
      </c>
      <c r="B173" s="107" t="s">
        <v>78</v>
      </c>
      <c r="C173" s="107" t="s">
        <v>324</v>
      </c>
      <c r="D173" s="107" t="s">
        <v>270</v>
      </c>
      <c r="E173" s="108">
        <v>7832721.0599999996</v>
      </c>
      <c r="F173" s="2">
        <f t="shared" si="14"/>
        <v>7832721.0599999996</v>
      </c>
      <c r="G173" s="3">
        <f t="shared" si="15"/>
        <v>0</v>
      </c>
      <c r="H173" s="2">
        <f t="shared" si="32"/>
        <v>0</v>
      </c>
      <c r="I173" s="3">
        <f t="shared" si="33"/>
        <v>0</v>
      </c>
      <c r="J173" s="2">
        <f t="shared" si="34"/>
        <v>7832721.0599999996</v>
      </c>
      <c r="K173" s="3">
        <f t="shared" si="35"/>
        <v>0</v>
      </c>
      <c r="L173" s="22"/>
    </row>
    <row r="174" spans="1:12" ht="12" thickBot="1" x14ac:dyDescent="0.25">
      <c r="A174" s="107" t="s">
        <v>79</v>
      </c>
      <c r="B174" s="107" t="s">
        <v>78</v>
      </c>
      <c r="C174" s="107" t="s">
        <v>324</v>
      </c>
      <c r="D174" s="107" t="s">
        <v>270</v>
      </c>
      <c r="E174" s="109">
        <v>3828373.95</v>
      </c>
      <c r="F174" s="2">
        <f t="shared" si="14"/>
        <v>0</v>
      </c>
      <c r="G174" s="3">
        <f t="shared" si="15"/>
        <v>3828373.95</v>
      </c>
      <c r="H174" s="2">
        <f t="shared" si="32"/>
        <v>0</v>
      </c>
      <c r="I174" s="3">
        <f t="shared" si="33"/>
        <v>0</v>
      </c>
      <c r="J174" s="2">
        <f t="shared" si="34"/>
        <v>0</v>
      </c>
      <c r="K174" s="3">
        <f t="shared" si="35"/>
        <v>3828373.95</v>
      </c>
      <c r="L174" s="22"/>
    </row>
    <row r="175" spans="1:12" ht="12" thickBot="1" x14ac:dyDescent="0.25">
      <c r="A175" s="107" t="s">
        <v>80</v>
      </c>
      <c r="B175" s="107" t="s">
        <v>81</v>
      </c>
      <c r="C175" s="107" t="s">
        <v>324</v>
      </c>
      <c r="D175" s="107" t="s">
        <v>270</v>
      </c>
      <c r="E175" s="108">
        <v>249029.11</v>
      </c>
      <c r="F175" s="2">
        <f t="shared" si="14"/>
        <v>164309.406778</v>
      </c>
      <c r="G175" s="3">
        <f t="shared" si="15"/>
        <v>84719.703221999996</v>
      </c>
      <c r="H175" s="2">
        <f t="shared" si="32"/>
        <v>0</v>
      </c>
      <c r="I175" s="3">
        <f t="shared" si="33"/>
        <v>0</v>
      </c>
      <c r="J175" s="2">
        <f t="shared" si="34"/>
        <v>164309.406778</v>
      </c>
      <c r="K175" s="3">
        <f t="shared" si="35"/>
        <v>84719.703221999996</v>
      </c>
      <c r="L175" s="22"/>
    </row>
    <row r="176" spans="1:12" ht="12" thickBot="1" x14ac:dyDescent="0.25">
      <c r="A176" s="107" t="s">
        <v>77</v>
      </c>
      <c r="B176" s="107" t="s">
        <v>78</v>
      </c>
      <c r="C176" s="107" t="s">
        <v>325</v>
      </c>
      <c r="D176" s="107" t="s">
        <v>277</v>
      </c>
      <c r="E176" s="109">
        <v>-5912640.2400000002</v>
      </c>
      <c r="F176" s="2">
        <f t="shared" si="14"/>
        <v>-5912640.2400000002</v>
      </c>
      <c r="G176" s="3">
        <f t="shared" si="15"/>
        <v>0</v>
      </c>
      <c r="H176" s="2">
        <f t="shared" si="20"/>
        <v>0</v>
      </c>
      <c r="I176" s="3">
        <f t="shared" si="21"/>
        <v>0</v>
      </c>
      <c r="J176" s="2">
        <f t="shared" si="22"/>
        <v>-5912640.2400000002</v>
      </c>
      <c r="K176" s="3">
        <f t="shared" si="23"/>
        <v>0</v>
      </c>
      <c r="L176" s="22"/>
    </row>
    <row r="177" spans="1:12" ht="12" thickBot="1" x14ac:dyDescent="0.25">
      <c r="A177" s="107" t="s">
        <v>79</v>
      </c>
      <c r="B177" s="107" t="s">
        <v>78</v>
      </c>
      <c r="C177" s="107" t="s">
        <v>325</v>
      </c>
      <c r="D177" s="107" t="s">
        <v>277</v>
      </c>
      <c r="E177" s="108">
        <v>-2402921.8199999998</v>
      </c>
      <c r="F177" s="2">
        <f t="shared" si="14"/>
        <v>0</v>
      </c>
      <c r="G177" s="3">
        <f t="shared" si="15"/>
        <v>-2402921.8199999998</v>
      </c>
      <c r="H177" s="2">
        <f t="shared" si="20"/>
        <v>0</v>
      </c>
      <c r="I177" s="3">
        <f t="shared" si="21"/>
        <v>0</v>
      </c>
      <c r="J177" s="2">
        <f t="shared" si="22"/>
        <v>0</v>
      </c>
      <c r="K177" s="3">
        <f t="shared" si="23"/>
        <v>-2402921.8199999998</v>
      </c>
      <c r="L177" s="22"/>
    </row>
    <row r="178" spans="1:12" ht="12" thickBot="1" x14ac:dyDescent="0.25">
      <c r="A178" s="107" t="s">
        <v>80</v>
      </c>
      <c r="B178" s="107" t="s">
        <v>81</v>
      </c>
      <c r="C178" s="107" t="s">
        <v>325</v>
      </c>
      <c r="D178" s="107" t="s">
        <v>308</v>
      </c>
      <c r="E178" s="109">
        <v>-169.13</v>
      </c>
      <c r="F178" s="2">
        <f t="shared" si="14"/>
        <v>-111.59197400000001</v>
      </c>
      <c r="G178" s="3">
        <f t="shared" si="15"/>
        <v>-57.538026000000002</v>
      </c>
      <c r="H178" s="2">
        <f t="shared" si="20"/>
        <v>0</v>
      </c>
      <c r="I178" s="3">
        <f t="shared" si="21"/>
        <v>0</v>
      </c>
      <c r="J178" s="2">
        <f t="shared" si="22"/>
        <v>-111.59197400000001</v>
      </c>
      <c r="K178" s="3">
        <f t="shared" si="23"/>
        <v>-57.538026000000002</v>
      </c>
      <c r="L178" s="22"/>
    </row>
    <row r="179" spans="1:12" ht="12" thickBot="1" x14ac:dyDescent="0.25">
      <c r="A179" s="107" t="s">
        <v>80</v>
      </c>
      <c r="B179" s="107" t="s">
        <v>81</v>
      </c>
      <c r="C179" s="107" t="s">
        <v>325</v>
      </c>
      <c r="D179" s="107" t="s">
        <v>308</v>
      </c>
      <c r="E179" s="108">
        <v>169.13</v>
      </c>
      <c r="F179" s="2">
        <f t="shared" si="14"/>
        <v>111.59197400000001</v>
      </c>
      <c r="G179" s="3">
        <f t="shared" si="15"/>
        <v>57.538026000000002</v>
      </c>
      <c r="H179" s="2">
        <f t="shared" ref="H179" si="36">IF(L179=1,-F179,0)</f>
        <v>0</v>
      </c>
      <c r="I179" s="3">
        <f t="shared" ref="I179" si="37">IF(L179=1,-G179,0)</f>
        <v>0</v>
      </c>
      <c r="J179" s="2">
        <f t="shared" ref="J179" si="38">F179+H179</f>
        <v>111.59197400000001</v>
      </c>
      <c r="K179" s="3">
        <f t="shared" ref="K179" si="39">G179+I179</f>
        <v>57.538026000000002</v>
      </c>
      <c r="L179" s="22"/>
    </row>
    <row r="180" spans="1:12" ht="12" thickBot="1" x14ac:dyDescent="0.25">
      <c r="A180" s="107" t="s">
        <v>80</v>
      </c>
      <c r="B180" s="107" t="s">
        <v>81</v>
      </c>
      <c r="C180" s="107" t="s">
        <v>325</v>
      </c>
      <c r="D180" s="107" t="s">
        <v>326</v>
      </c>
      <c r="E180" s="109">
        <v>37.5</v>
      </c>
      <c r="F180" s="2">
        <f t="shared" si="14"/>
        <v>24.742500000000003</v>
      </c>
      <c r="G180" s="3">
        <f t="shared" si="15"/>
        <v>12.7575</v>
      </c>
      <c r="H180" s="2">
        <f t="shared" ref="H180:H196" si="40">IF(L180=1,-F180,0)</f>
        <v>0</v>
      </c>
      <c r="I180" s="3">
        <f t="shared" ref="I180:I196" si="41">IF(L180=1,-G180,0)</f>
        <v>0</v>
      </c>
      <c r="J180" s="2">
        <f t="shared" ref="J180:J196" si="42">F180+H180</f>
        <v>24.742500000000003</v>
      </c>
      <c r="K180" s="3">
        <f t="shared" ref="K180:K196" si="43">G180+I180</f>
        <v>12.7575</v>
      </c>
      <c r="L180" s="22"/>
    </row>
    <row r="181" spans="1:12" ht="12" thickBot="1" x14ac:dyDescent="0.25">
      <c r="A181" s="107" t="s">
        <v>80</v>
      </c>
      <c r="B181" s="107" t="s">
        <v>81</v>
      </c>
      <c r="C181" s="107" t="s">
        <v>325</v>
      </c>
      <c r="D181" s="107" t="s">
        <v>326</v>
      </c>
      <c r="E181" s="108">
        <v>0.94</v>
      </c>
      <c r="F181" s="2">
        <f t="shared" si="14"/>
        <v>0.62021199999999999</v>
      </c>
      <c r="G181" s="3">
        <f t="shared" si="15"/>
        <v>0.31978799999999996</v>
      </c>
      <c r="H181" s="2">
        <f t="shared" si="40"/>
        <v>0</v>
      </c>
      <c r="I181" s="3">
        <f t="shared" si="41"/>
        <v>0</v>
      </c>
      <c r="J181" s="2">
        <f t="shared" si="42"/>
        <v>0.62021199999999999</v>
      </c>
      <c r="K181" s="3">
        <f t="shared" si="43"/>
        <v>0.31978799999999996</v>
      </c>
      <c r="L181" s="22"/>
    </row>
    <row r="182" spans="1:12" ht="12" thickBot="1" x14ac:dyDescent="0.25">
      <c r="A182" s="107" t="s">
        <v>80</v>
      </c>
      <c r="B182" s="107" t="s">
        <v>81</v>
      </c>
      <c r="C182" s="107" t="s">
        <v>325</v>
      </c>
      <c r="D182" s="107" t="s">
        <v>326</v>
      </c>
      <c r="E182" s="109">
        <v>127.5</v>
      </c>
      <c r="F182" s="2">
        <f t="shared" si="14"/>
        <v>84.124500000000012</v>
      </c>
      <c r="G182" s="3">
        <f t="shared" si="15"/>
        <v>43.375500000000002</v>
      </c>
      <c r="H182" s="2">
        <f t="shared" si="40"/>
        <v>0</v>
      </c>
      <c r="I182" s="3">
        <f t="shared" si="41"/>
        <v>0</v>
      </c>
      <c r="J182" s="2">
        <f t="shared" si="42"/>
        <v>84.124500000000012</v>
      </c>
      <c r="K182" s="3">
        <f t="shared" si="43"/>
        <v>43.375500000000002</v>
      </c>
      <c r="L182" s="22"/>
    </row>
    <row r="183" spans="1:12" ht="12" thickBot="1" x14ac:dyDescent="0.25">
      <c r="A183" s="107" t="s">
        <v>80</v>
      </c>
      <c r="B183" s="107" t="s">
        <v>81</v>
      </c>
      <c r="C183" s="107" t="s">
        <v>325</v>
      </c>
      <c r="D183" s="107" t="s">
        <v>326</v>
      </c>
      <c r="E183" s="108">
        <v>3.19</v>
      </c>
      <c r="F183" s="2">
        <f t="shared" si="14"/>
        <v>2.104762</v>
      </c>
      <c r="G183" s="3">
        <f t="shared" si="15"/>
        <v>1.0852379999999999</v>
      </c>
      <c r="H183" s="2">
        <f t="shared" si="40"/>
        <v>0</v>
      </c>
      <c r="I183" s="3">
        <f t="shared" si="41"/>
        <v>0</v>
      </c>
      <c r="J183" s="2">
        <f t="shared" si="42"/>
        <v>2.104762</v>
      </c>
      <c r="K183" s="3">
        <f t="shared" si="43"/>
        <v>1.0852379999999999</v>
      </c>
      <c r="L183" s="22"/>
    </row>
    <row r="184" spans="1:12" ht="12" thickBot="1" x14ac:dyDescent="0.25">
      <c r="A184" s="107" t="s">
        <v>77</v>
      </c>
      <c r="B184" s="107" t="s">
        <v>78</v>
      </c>
      <c r="C184" s="107" t="s">
        <v>325</v>
      </c>
      <c r="D184" s="107" t="s">
        <v>274</v>
      </c>
      <c r="E184" s="109">
        <v>-0.05</v>
      </c>
      <c r="F184" s="2">
        <f t="shared" si="14"/>
        <v>-0.05</v>
      </c>
      <c r="G184" s="3">
        <f t="shared" si="15"/>
        <v>0</v>
      </c>
      <c r="H184" s="2">
        <f t="shared" si="40"/>
        <v>0</v>
      </c>
      <c r="I184" s="3">
        <f t="shared" si="41"/>
        <v>0</v>
      </c>
      <c r="J184" s="2">
        <f t="shared" si="42"/>
        <v>-0.05</v>
      </c>
      <c r="K184" s="3">
        <f t="shared" si="43"/>
        <v>0</v>
      </c>
      <c r="L184" s="22"/>
    </row>
    <row r="185" spans="1:12" ht="12" thickBot="1" x14ac:dyDescent="0.25">
      <c r="A185" s="107" t="s">
        <v>79</v>
      </c>
      <c r="B185" s="107" t="s">
        <v>78</v>
      </c>
      <c r="C185" s="107" t="s">
        <v>325</v>
      </c>
      <c r="D185" s="107" t="s">
        <v>274</v>
      </c>
      <c r="E185" s="108">
        <v>-1158.8599999999999</v>
      </c>
      <c r="F185" s="2">
        <f t="shared" si="14"/>
        <v>0</v>
      </c>
      <c r="G185" s="3">
        <f t="shared" si="15"/>
        <v>-1158.8599999999999</v>
      </c>
      <c r="H185" s="2">
        <f t="shared" si="40"/>
        <v>0</v>
      </c>
      <c r="I185" s="3">
        <f t="shared" si="41"/>
        <v>0</v>
      </c>
      <c r="J185" s="2">
        <f t="shared" si="42"/>
        <v>0</v>
      </c>
      <c r="K185" s="3">
        <f t="shared" si="43"/>
        <v>-1158.8599999999999</v>
      </c>
      <c r="L185" s="22"/>
    </row>
    <row r="186" spans="1:12" ht="12" thickBot="1" x14ac:dyDescent="0.25">
      <c r="A186" s="107" t="s">
        <v>80</v>
      </c>
      <c r="B186" s="107" t="s">
        <v>81</v>
      </c>
      <c r="C186" s="107" t="s">
        <v>325</v>
      </c>
      <c r="D186" s="107" t="s">
        <v>274</v>
      </c>
      <c r="E186" s="109">
        <v>3175.59</v>
      </c>
      <c r="F186" s="2">
        <f t="shared" si="14"/>
        <v>2095.2542820000003</v>
      </c>
      <c r="G186" s="3">
        <f t="shared" si="15"/>
        <v>1080.335718</v>
      </c>
      <c r="H186" s="2">
        <f t="shared" si="40"/>
        <v>0</v>
      </c>
      <c r="I186" s="3">
        <f t="shared" si="41"/>
        <v>0</v>
      </c>
      <c r="J186" s="2">
        <f t="shared" si="42"/>
        <v>2095.2542820000003</v>
      </c>
      <c r="K186" s="3">
        <f t="shared" si="43"/>
        <v>1080.335718</v>
      </c>
      <c r="L186" s="22"/>
    </row>
    <row r="187" spans="1:12" ht="12" thickBot="1" x14ac:dyDescent="0.25">
      <c r="A187" s="107" t="s">
        <v>80</v>
      </c>
      <c r="B187" s="107" t="s">
        <v>81</v>
      </c>
      <c r="C187" s="107" t="s">
        <v>325</v>
      </c>
      <c r="D187" s="107" t="s">
        <v>309</v>
      </c>
      <c r="E187" s="108">
        <v>42000</v>
      </c>
      <c r="F187" s="2">
        <f t="shared" si="14"/>
        <v>27711.600000000002</v>
      </c>
      <c r="G187" s="3">
        <f t="shared" si="15"/>
        <v>14288.4</v>
      </c>
      <c r="H187" s="2">
        <f t="shared" si="40"/>
        <v>0</v>
      </c>
      <c r="I187" s="3">
        <f t="shared" si="41"/>
        <v>0</v>
      </c>
      <c r="J187" s="2">
        <f t="shared" si="42"/>
        <v>27711.600000000002</v>
      </c>
      <c r="K187" s="3">
        <f t="shared" si="43"/>
        <v>14288.4</v>
      </c>
      <c r="L187" s="22"/>
    </row>
    <row r="188" spans="1:12" ht="12" thickBot="1" x14ac:dyDescent="0.25">
      <c r="A188" s="107" t="s">
        <v>79</v>
      </c>
      <c r="B188" s="107" t="s">
        <v>78</v>
      </c>
      <c r="C188" s="107" t="s">
        <v>325</v>
      </c>
      <c r="D188" s="107" t="s">
        <v>291</v>
      </c>
      <c r="E188" s="109">
        <v>150.76</v>
      </c>
      <c r="F188" s="2">
        <f t="shared" si="14"/>
        <v>0</v>
      </c>
      <c r="G188" s="3">
        <f t="shared" si="15"/>
        <v>150.76</v>
      </c>
      <c r="H188" s="2">
        <f t="shared" si="40"/>
        <v>0</v>
      </c>
      <c r="I188" s="3">
        <f t="shared" si="41"/>
        <v>0</v>
      </c>
      <c r="J188" s="2">
        <f t="shared" si="42"/>
        <v>0</v>
      </c>
      <c r="K188" s="3">
        <f t="shared" si="43"/>
        <v>150.76</v>
      </c>
      <c r="L188" s="22"/>
    </row>
    <row r="189" spans="1:12" ht="12" thickBot="1" x14ac:dyDescent="0.25">
      <c r="A189" s="107" t="s">
        <v>77</v>
      </c>
      <c r="B189" s="107" t="s">
        <v>78</v>
      </c>
      <c r="C189" s="107" t="s">
        <v>325</v>
      </c>
      <c r="D189" s="107" t="s">
        <v>278</v>
      </c>
      <c r="E189" s="108">
        <v>6932125.7599999998</v>
      </c>
      <c r="F189" s="2">
        <f t="shared" si="14"/>
        <v>6932125.7599999998</v>
      </c>
      <c r="G189" s="3">
        <f t="shared" si="15"/>
        <v>0</v>
      </c>
      <c r="H189" s="2">
        <f t="shared" si="40"/>
        <v>0</v>
      </c>
      <c r="I189" s="3">
        <f t="shared" si="41"/>
        <v>0</v>
      </c>
      <c r="J189" s="2">
        <f t="shared" si="42"/>
        <v>6932125.7599999998</v>
      </c>
      <c r="K189" s="3">
        <f t="shared" si="43"/>
        <v>0</v>
      </c>
      <c r="L189" s="22"/>
    </row>
    <row r="190" spans="1:12" ht="12" thickBot="1" x14ac:dyDescent="0.25">
      <c r="A190" s="107" t="s">
        <v>79</v>
      </c>
      <c r="B190" s="107" t="s">
        <v>78</v>
      </c>
      <c r="C190" s="107" t="s">
        <v>325</v>
      </c>
      <c r="D190" s="107" t="s">
        <v>278</v>
      </c>
      <c r="E190" s="109">
        <v>3568441.94</v>
      </c>
      <c r="F190" s="2">
        <f t="shared" si="14"/>
        <v>0</v>
      </c>
      <c r="G190" s="3">
        <f t="shared" si="15"/>
        <v>3568441.94</v>
      </c>
      <c r="H190" s="2">
        <f t="shared" si="40"/>
        <v>0</v>
      </c>
      <c r="I190" s="3">
        <f t="shared" si="41"/>
        <v>0</v>
      </c>
      <c r="J190" s="2">
        <f t="shared" si="42"/>
        <v>0</v>
      </c>
      <c r="K190" s="3">
        <f t="shared" si="43"/>
        <v>3568441.94</v>
      </c>
      <c r="L190" s="22"/>
    </row>
    <row r="191" spans="1:12" ht="12" thickBot="1" x14ac:dyDescent="0.25">
      <c r="A191" s="107" t="s">
        <v>77</v>
      </c>
      <c r="B191" s="107" t="s">
        <v>78</v>
      </c>
      <c r="C191" s="107" t="s">
        <v>325</v>
      </c>
      <c r="D191" s="107" t="s">
        <v>275</v>
      </c>
      <c r="E191" s="108">
        <v>9353334.3399999999</v>
      </c>
      <c r="F191" s="2">
        <f t="shared" si="14"/>
        <v>9353334.3399999999</v>
      </c>
      <c r="G191" s="3">
        <f t="shared" si="15"/>
        <v>0</v>
      </c>
      <c r="H191" s="2">
        <f t="shared" si="40"/>
        <v>0</v>
      </c>
      <c r="I191" s="3">
        <f t="shared" si="41"/>
        <v>0</v>
      </c>
      <c r="J191" s="2">
        <f t="shared" si="42"/>
        <v>9353334.3399999999</v>
      </c>
      <c r="K191" s="3">
        <f t="shared" si="43"/>
        <v>0</v>
      </c>
      <c r="L191" s="22"/>
    </row>
    <row r="192" spans="1:12" ht="12" thickBot="1" x14ac:dyDescent="0.25">
      <c r="A192" s="107" t="s">
        <v>79</v>
      </c>
      <c r="B192" s="107" t="s">
        <v>78</v>
      </c>
      <c r="C192" s="107" t="s">
        <v>325</v>
      </c>
      <c r="D192" s="107" t="s">
        <v>275</v>
      </c>
      <c r="E192" s="109">
        <v>5212246.57</v>
      </c>
      <c r="F192" s="2">
        <f t="shared" si="14"/>
        <v>0</v>
      </c>
      <c r="G192" s="3">
        <f t="shared" si="15"/>
        <v>5212246.57</v>
      </c>
      <c r="H192" s="2">
        <f t="shared" si="40"/>
        <v>0</v>
      </c>
      <c r="I192" s="3">
        <f t="shared" si="41"/>
        <v>0</v>
      </c>
      <c r="J192" s="2">
        <f t="shared" si="42"/>
        <v>0</v>
      </c>
      <c r="K192" s="3">
        <f t="shared" si="43"/>
        <v>5212246.57</v>
      </c>
      <c r="L192" s="22"/>
    </row>
    <row r="193" spans="1:12" ht="12" thickBot="1" x14ac:dyDescent="0.25">
      <c r="A193" s="107" t="s">
        <v>80</v>
      </c>
      <c r="B193" s="107" t="s">
        <v>81</v>
      </c>
      <c r="C193" s="107" t="s">
        <v>325</v>
      </c>
      <c r="D193" s="107" t="s">
        <v>275</v>
      </c>
      <c r="E193" s="108">
        <v>321513.68</v>
      </c>
      <c r="F193" s="2">
        <f t="shared" si="14"/>
        <v>212134.72606400002</v>
      </c>
      <c r="G193" s="3">
        <f t="shared" si="15"/>
        <v>109378.95393600001</v>
      </c>
      <c r="H193" s="2">
        <f t="shared" si="40"/>
        <v>0</v>
      </c>
      <c r="I193" s="3">
        <f t="shared" si="41"/>
        <v>0</v>
      </c>
      <c r="J193" s="2">
        <f t="shared" si="42"/>
        <v>212134.72606400002</v>
      </c>
      <c r="K193" s="3">
        <f t="shared" si="43"/>
        <v>109378.95393600001</v>
      </c>
      <c r="L193" s="22"/>
    </row>
    <row r="194" spans="1:12" ht="12" thickBot="1" x14ac:dyDescent="0.25">
      <c r="A194" s="107" t="s">
        <v>77</v>
      </c>
      <c r="B194" s="107" t="s">
        <v>78</v>
      </c>
      <c r="C194" s="107" t="s">
        <v>325</v>
      </c>
      <c r="D194" s="107" t="s">
        <v>276</v>
      </c>
      <c r="E194" s="109">
        <v>1507039.42</v>
      </c>
      <c r="F194" s="2">
        <f t="shared" si="14"/>
        <v>1507039.42</v>
      </c>
      <c r="G194" s="3">
        <f t="shared" si="15"/>
        <v>0</v>
      </c>
      <c r="H194" s="2">
        <f t="shared" si="40"/>
        <v>0</v>
      </c>
      <c r="I194" s="3">
        <f t="shared" si="41"/>
        <v>0</v>
      </c>
      <c r="J194" s="2">
        <f t="shared" si="42"/>
        <v>1507039.42</v>
      </c>
      <c r="K194" s="3">
        <f t="shared" si="43"/>
        <v>0</v>
      </c>
      <c r="L194" s="22"/>
    </row>
    <row r="195" spans="1:12" ht="12" thickBot="1" x14ac:dyDescent="0.25">
      <c r="A195" s="107" t="s">
        <v>79</v>
      </c>
      <c r="B195" s="107" t="s">
        <v>78</v>
      </c>
      <c r="C195" s="107" t="s">
        <v>325</v>
      </c>
      <c r="D195" s="107" t="s">
        <v>276</v>
      </c>
      <c r="E195" s="108">
        <v>305836.24</v>
      </c>
      <c r="F195" s="2">
        <f t="shared" ref="F195:F196" si="44">IF($A195="40810002",$E195,IF($A195="40810602",$E195*$N$4,0))</f>
        <v>0</v>
      </c>
      <c r="G195" s="3">
        <f t="shared" si="15"/>
        <v>305836.24</v>
      </c>
      <c r="H195" s="2">
        <f t="shared" si="40"/>
        <v>0</v>
      </c>
      <c r="I195" s="3">
        <f t="shared" si="41"/>
        <v>0</v>
      </c>
      <c r="J195" s="2">
        <f t="shared" si="42"/>
        <v>0</v>
      </c>
      <c r="K195" s="3">
        <f t="shared" si="43"/>
        <v>305836.24</v>
      </c>
      <c r="L195" s="22"/>
    </row>
    <row r="196" spans="1:12" ht="12" thickBot="1" x14ac:dyDescent="0.25">
      <c r="A196" s="107" t="s">
        <v>80</v>
      </c>
      <c r="B196" s="107" t="s">
        <v>81</v>
      </c>
      <c r="C196" s="107" t="s">
        <v>325</v>
      </c>
      <c r="D196" s="107" t="s">
        <v>276</v>
      </c>
      <c r="E196" s="109">
        <v>3318.83</v>
      </c>
      <c r="F196" s="2">
        <f t="shared" si="44"/>
        <v>2189.7640340000003</v>
      </c>
      <c r="G196" s="3">
        <f t="shared" ref="G196" si="45">IF($A196="40810302",$E196,IF($A196="40810602",$E196*$N$5,0))</f>
        <v>1129.0659659999999</v>
      </c>
      <c r="H196" s="2">
        <f t="shared" si="40"/>
        <v>0</v>
      </c>
      <c r="I196" s="3">
        <f t="shared" si="41"/>
        <v>0</v>
      </c>
      <c r="J196" s="2">
        <f t="shared" si="42"/>
        <v>2189.7640340000003</v>
      </c>
      <c r="K196" s="3">
        <f t="shared" si="43"/>
        <v>1129.0659659999999</v>
      </c>
      <c r="L196" s="22"/>
    </row>
    <row r="197" spans="1:12" x14ac:dyDescent="0.2">
      <c r="F197" s="14"/>
      <c r="G197" s="18"/>
      <c r="H197" s="14"/>
      <c r="I197" s="18"/>
      <c r="J197" s="14"/>
      <c r="K197" s="18"/>
      <c r="L197" s="22"/>
    </row>
    <row r="198" spans="1:12" x14ac:dyDescent="0.2">
      <c r="F198" s="14"/>
      <c r="G198" s="18"/>
      <c r="H198" s="14"/>
      <c r="I198" s="18"/>
      <c r="J198" s="14"/>
      <c r="K198" s="18"/>
      <c r="L198" s="22"/>
    </row>
    <row r="199" spans="1:12" x14ac:dyDescent="0.2">
      <c r="F199" s="14"/>
      <c r="G199" s="18"/>
      <c r="H199" s="14"/>
      <c r="I199" s="18"/>
      <c r="J199" s="14"/>
      <c r="K199" s="18"/>
      <c r="L199" s="22"/>
    </row>
    <row r="200" spans="1:12" x14ac:dyDescent="0.2">
      <c r="F200" s="14"/>
      <c r="G200" s="18"/>
      <c r="H200" s="14"/>
      <c r="I200" s="18"/>
      <c r="J200" s="14"/>
      <c r="K200" s="18"/>
      <c r="L200" s="22"/>
    </row>
    <row r="201" spans="1:12" x14ac:dyDescent="0.2">
      <c r="F201" s="14"/>
      <c r="G201" s="18"/>
      <c r="H201" s="14"/>
      <c r="I201" s="18"/>
      <c r="J201" s="14"/>
      <c r="K201" s="18"/>
      <c r="L201" s="22"/>
    </row>
    <row r="202" spans="1:12" x14ac:dyDescent="0.2">
      <c r="F202" s="14"/>
      <c r="G202" s="18"/>
      <c r="H202" s="14"/>
      <c r="I202" s="18"/>
      <c r="J202" s="14"/>
      <c r="K202" s="18"/>
      <c r="L202" s="22"/>
    </row>
    <row r="203" spans="1:12" x14ac:dyDescent="0.2">
      <c r="F203" s="14"/>
      <c r="G203" s="18"/>
      <c r="H203" s="14"/>
      <c r="I203" s="18"/>
      <c r="J203" s="14"/>
      <c r="K203" s="18"/>
      <c r="L203" s="22"/>
    </row>
    <row r="204" spans="1:12" x14ac:dyDescent="0.2">
      <c r="F204" s="14"/>
      <c r="G204" s="18"/>
      <c r="H204" s="14"/>
      <c r="I204" s="18"/>
      <c r="J204" s="14"/>
      <c r="K204" s="18"/>
      <c r="L204" s="22"/>
    </row>
    <row r="205" spans="1:12" x14ac:dyDescent="0.2">
      <c r="F205" s="14"/>
      <c r="G205" s="18"/>
      <c r="H205" s="14"/>
      <c r="I205" s="18"/>
      <c r="J205" s="14"/>
      <c r="K205" s="18"/>
      <c r="L205" s="22"/>
    </row>
    <row r="206" spans="1:12" x14ac:dyDescent="0.2">
      <c r="A206" s="9" t="s">
        <v>77</v>
      </c>
      <c r="B206" s="9" t="s">
        <v>101</v>
      </c>
      <c r="D206" s="23">
        <v>44562</v>
      </c>
      <c r="E206" s="104">
        <v>0.01</v>
      </c>
      <c r="F206" s="2">
        <f>IF($L206=2,0,IF($A206="40810002",$E206,IF($A206="40810602",$E206*$N$4,0)))</f>
        <v>0</v>
      </c>
      <c r="G206" s="3">
        <f>IF($L206=2,0,IF($A206="40810302",$E206,IF($A206="40810602",$E206*$N$5,0)))</f>
        <v>0</v>
      </c>
      <c r="H206" s="2">
        <f>IF($L206=2,IF($A206="40810002",$E206,IF($A206="40810602",$E206*$N$4,0)))</f>
        <v>0.01</v>
      </c>
      <c r="I206" s="3">
        <f>IF($L206=2,IF($A206="40810302",$E206,IF($A206="40810602",$E206*$N$4,0)))</f>
        <v>0</v>
      </c>
      <c r="J206" s="2">
        <f t="shared" ref="J206" si="46">F206+H206</f>
        <v>0.01</v>
      </c>
      <c r="K206" s="3">
        <f t="shared" ref="K206" si="47">G206+I206</f>
        <v>0</v>
      </c>
      <c r="L206" s="4">
        <v>2</v>
      </c>
    </row>
    <row r="207" spans="1:12" x14ac:dyDescent="0.2">
      <c r="D207" s="23"/>
      <c r="E207" s="110"/>
      <c r="F207" s="2"/>
      <c r="G207" s="3"/>
      <c r="H207" s="2"/>
      <c r="I207" s="3"/>
      <c r="J207" s="2"/>
      <c r="K207" s="3"/>
      <c r="L207" s="4"/>
    </row>
    <row r="208" spans="1:12" x14ac:dyDescent="0.2">
      <c r="D208" s="23"/>
      <c r="E208" s="110"/>
      <c r="F208" s="2"/>
      <c r="G208" s="3"/>
      <c r="H208" s="2"/>
      <c r="I208" s="3"/>
      <c r="J208" s="2"/>
      <c r="K208" s="3"/>
      <c r="L208" s="4"/>
    </row>
    <row r="209" spans="1:12" x14ac:dyDescent="0.2">
      <c r="F209" s="14"/>
      <c r="G209" s="18"/>
      <c r="H209" s="14"/>
      <c r="I209" s="18"/>
      <c r="J209" s="14"/>
      <c r="K209" s="18"/>
      <c r="L209" s="22"/>
    </row>
    <row r="210" spans="1:12" x14ac:dyDescent="0.2">
      <c r="A210" s="11" t="s">
        <v>96</v>
      </c>
      <c r="B210" s="11"/>
      <c r="C210" s="11"/>
      <c r="D210" s="11">
        <v>40810002</v>
      </c>
      <c r="E210" s="11"/>
      <c r="F210" s="15">
        <f t="shared" ref="F210:K212" si="48">SUMIF($A$3:$A$209,$D210,F$3:F$209)</f>
        <v>93680124.010000035</v>
      </c>
      <c r="G210" s="19">
        <f t="shared" si="48"/>
        <v>0</v>
      </c>
      <c r="H210" s="15">
        <f t="shared" si="48"/>
        <v>-199.24</v>
      </c>
      <c r="I210" s="19">
        <f t="shared" si="48"/>
        <v>0</v>
      </c>
      <c r="J210" s="15">
        <f t="shared" si="48"/>
        <v>93679924.770000041</v>
      </c>
      <c r="K210" s="19">
        <f t="shared" si="48"/>
        <v>0</v>
      </c>
      <c r="L210" s="22"/>
    </row>
    <row r="211" spans="1:12" x14ac:dyDescent="0.2">
      <c r="A211" s="11" t="s">
        <v>97</v>
      </c>
      <c r="B211" s="11"/>
      <c r="C211" s="11"/>
      <c r="D211" s="11">
        <v>40810302</v>
      </c>
      <c r="E211" s="11"/>
      <c r="F211" s="15">
        <f t="shared" si="48"/>
        <v>0</v>
      </c>
      <c r="G211" s="19">
        <f t="shared" si="48"/>
        <v>40811690.300000012</v>
      </c>
      <c r="H211" s="15">
        <f t="shared" si="48"/>
        <v>0</v>
      </c>
      <c r="I211" s="19">
        <f t="shared" si="48"/>
        <v>2531.52</v>
      </c>
      <c r="J211" s="15">
        <f t="shared" si="48"/>
        <v>0</v>
      </c>
      <c r="K211" s="19">
        <f t="shared" si="48"/>
        <v>40814221.820000015</v>
      </c>
      <c r="L211" s="22"/>
    </row>
    <row r="212" spans="1:12" ht="12" thickBot="1" x14ac:dyDescent="0.25">
      <c r="A212" s="12" t="s">
        <v>98</v>
      </c>
      <c r="B212" s="12"/>
      <c r="C212" s="12"/>
      <c r="D212" s="12">
        <v>40810602</v>
      </c>
      <c r="E212" s="12"/>
      <c r="F212" s="16">
        <f t="shared" si="48"/>
        <v>2015971.8298680005</v>
      </c>
      <c r="G212" s="20">
        <f t="shared" si="48"/>
        <v>1039456.830132</v>
      </c>
      <c r="H212" s="16">
        <f t="shared" si="48"/>
        <v>-2339.6705940000002</v>
      </c>
      <c r="I212" s="20">
        <f t="shared" si="48"/>
        <v>-1206.359406</v>
      </c>
      <c r="J212" s="16">
        <f t="shared" si="48"/>
        <v>2013632.1592740007</v>
      </c>
      <c r="K212" s="20">
        <f t="shared" si="48"/>
        <v>1038250.470726</v>
      </c>
      <c r="L212" s="22"/>
    </row>
    <row r="213" spans="1:12" ht="12" thickBot="1" x14ac:dyDescent="0.25">
      <c r="A213" s="13" t="s">
        <v>95</v>
      </c>
      <c r="B213" s="13"/>
      <c r="C213" s="13"/>
      <c r="D213" s="13"/>
      <c r="E213" s="13"/>
      <c r="F213" s="17">
        <f>SUM(F210:F212)</f>
        <v>95696095.839868039</v>
      </c>
      <c r="G213" s="21">
        <f t="shared" ref="G213:K213" si="49">SUM(G210:G212)</f>
        <v>41851147.130132012</v>
      </c>
      <c r="H213" s="17">
        <f t="shared" si="49"/>
        <v>-2538.9105939999999</v>
      </c>
      <c r="I213" s="21">
        <f t="shared" si="49"/>
        <v>1325.1605939999999</v>
      </c>
      <c r="J213" s="17">
        <f t="shared" si="49"/>
        <v>95693556.929274037</v>
      </c>
      <c r="K213" s="21">
        <f t="shared" si="49"/>
        <v>41852472.290726013</v>
      </c>
      <c r="L213" s="22"/>
    </row>
    <row r="214" spans="1:12" ht="12" thickTop="1" x14ac:dyDescent="0.2">
      <c r="F214" s="10"/>
      <c r="G214" s="10"/>
      <c r="H214" s="10"/>
      <c r="I214" s="10"/>
      <c r="J214" s="10"/>
      <c r="K214" s="10"/>
    </row>
    <row r="215" spans="1:12" x14ac:dyDescent="0.2">
      <c r="F215" s="10"/>
      <c r="G215" s="10"/>
      <c r="H215" s="10"/>
      <c r="I215" s="10"/>
      <c r="J215" s="10"/>
      <c r="K215" s="10"/>
    </row>
    <row r="217" spans="1:12" ht="13.2" x14ac:dyDescent="0.25">
      <c r="A217" s="75" t="s">
        <v>327</v>
      </c>
      <c r="B217" s="76"/>
      <c r="C217" s="76"/>
      <c r="D217" s="76"/>
      <c r="E217" s="76"/>
    </row>
    <row r="218" spans="1:12" ht="13.2" x14ac:dyDescent="0.25">
      <c r="A218" s="75" t="s">
        <v>328</v>
      </c>
      <c r="B218" s="76"/>
      <c r="C218" s="76"/>
      <c r="D218" s="76"/>
      <c r="E218" s="76"/>
    </row>
  </sheetData>
  <mergeCells count="5">
    <mergeCell ref="F1:G1"/>
    <mergeCell ref="H1:I1"/>
    <mergeCell ref="J1:K1"/>
    <mergeCell ref="A1:C1"/>
    <mergeCell ref="A2:B2"/>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F30" sqref="F30"/>
    </sheetView>
  </sheetViews>
  <sheetFormatPr defaultRowHeight="12" x14ac:dyDescent="0.25"/>
  <cols>
    <col min="1" max="1" width="15.85546875" bestFit="1" customWidth="1"/>
    <col min="2" max="2" width="34.5703125" bestFit="1" customWidth="1"/>
    <col min="3" max="3" width="20.7109375" bestFit="1" customWidth="1"/>
    <col min="4" max="4" width="15.140625" bestFit="1" customWidth="1"/>
  </cols>
  <sheetData>
    <row r="1" spans="1:4" ht="15" thickBot="1" x14ac:dyDescent="0.3">
      <c r="A1" s="132"/>
      <c r="B1" s="133"/>
      <c r="C1" s="111"/>
      <c r="D1" s="112" t="s">
        <v>329</v>
      </c>
    </row>
    <row r="2" spans="1:4" ht="12.6" thickBot="1" x14ac:dyDescent="0.3">
      <c r="A2" s="134" t="s">
        <v>2</v>
      </c>
      <c r="B2" s="135"/>
      <c r="C2" s="112" t="s">
        <v>75</v>
      </c>
      <c r="D2" s="111" t="s">
        <v>3</v>
      </c>
    </row>
    <row r="3" spans="1:4" ht="12.6" thickBot="1" x14ac:dyDescent="0.3">
      <c r="A3" s="112" t="s">
        <v>82</v>
      </c>
      <c r="B3" s="112" t="s">
        <v>83</v>
      </c>
      <c r="C3" s="112" t="s">
        <v>217</v>
      </c>
      <c r="D3" s="113">
        <v>482379</v>
      </c>
    </row>
    <row r="4" spans="1:4" ht="12.6" thickBot="1" x14ac:dyDescent="0.3">
      <c r="A4" s="112" t="s">
        <v>82</v>
      </c>
      <c r="B4" s="112" t="s">
        <v>83</v>
      </c>
      <c r="C4" s="112" t="s">
        <v>222</v>
      </c>
      <c r="D4" s="114">
        <v>457786</v>
      </c>
    </row>
    <row r="5" spans="1:4" ht="12.6" thickBot="1" x14ac:dyDescent="0.3">
      <c r="A5" s="112" t="s">
        <v>82</v>
      </c>
      <c r="B5" s="112" t="s">
        <v>83</v>
      </c>
      <c r="C5" s="112" t="s">
        <v>227</v>
      </c>
      <c r="D5" s="113">
        <v>439913</v>
      </c>
    </row>
    <row r="6" spans="1:4" ht="12.6" thickBot="1" x14ac:dyDescent="0.3">
      <c r="A6" s="112" t="s">
        <v>82</v>
      </c>
      <c r="B6" s="112" t="s">
        <v>83</v>
      </c>
      <c r="C6" s="112" t="s">
        <v>232</v>
      </c>
      <c r="D6" s="114">
        <v>141242.99</v>
      </c>
    </row>
    <row r="7" spans="1:4" ht="12.6" thickBot="1" x14ac:dyDescent="0.3">
      <c r="A7" s="112" t="s">
        <v>82</v>
      </c>
      <c r="B7" s="112" t="s">
        <v>83</v>
      </c>
      <c r="C7" s="112" t="s">
        <v>237</v>
      </c>
      <c r="D7" s="113">
        <v>338451</v>
      </c>
    </row>
    <row r="8" spans="1:4" ht="12.6" thickBot="1" x14ac:dyDescent="0.3">
      <c r="A8" s="112" t="s">
        <v>82</v>
      </c>
      <c r="B8" s="112" t="s">
        <v>83</v>
      </c>
      <c r="C8" s="112" t="s">
        <v>242</v>
      </c>
      <c r="D8" s="114">
        <v>369480</v>
      </c>
    </row>
    <row r="9" spans="1:4" ht="12.6" thickBot="1" x14ac:dyDescent="0.3">
      <c r="A9" s="112" t="s">
        <v>82</v>
      </c>
      <c r="B9" s="112" t="s">
        <v>83</v>
      </c>
      <c r="C9" s="112" t="s">
        <v>247</v>
      </c>
      <c r="D9" s="113">
        <v>396530</v>
      </c>
    </row>
    <row r="10" spans="1:4" ht="12.6" thickBot="1" x14ac:dyDescent="0.3">
      <c r="A10" s="112" t="s">
        <v>82</v>
      </c>
      <c r="B10" s="112" t="s">
        <v>83</v>
      </c>
      <c r="C10" s="112" t="s">
        <v>252</v>
      </c>
      <c r="D10" s="114">
        <v>364363</v>
      </c>
    </row>
    <row r="11" spans="1:4" ht="12.6" thickBot="1" x14ac:dyDescent="0.3">
      <c r="A11" s="112" t="s">
        <v>82</v>
      </c>
      <c r="B11" s="112" t="s">
        <v>83</v>
      </c>
      <c r="C11" s="112" t="s">
        <v>257</v>
      </c>
      <c r="D11" s="113">
        <v>394775</v>
      </c>
    </row>
    <row r="12" spans="1:4" ht="12.6" thickBot="1" x14ac:dyDescent="0.3">
      <c r="A12" s="112" t="s">
        <v>82</v>
      </c>
      <c r="B12" s="112" t="s">
        <v>83</v>
      </c>
      <c r="C12" s="112" t="s">
        <v>262</v>
      </c>
      <c r="D12" s="114">
        <v>443789</v>
      </c>
    </row>
    <row r="13" spans="1:4" ht="12.6" thickBot="1" x14ac:dyDescent="0.3">
      <c r="A13" s="112" t="s">
        <v>82</v>
      </c>
      <c r="B13" s="112" t="s">
        <v>83</v>
      </c>
      <c r="C13" s="112" t="s">
        <v>267</v>
      </c>
      <c r="D13" s="113">
        <v>437627</v>
      </c>
    </row>
    <row r="14" spans="1:4" ht="12.6" thickBot="1" x14ac:dyDescent="0.3">
      <c r="A14" s="112" t="s">
        <v>82</v>
      </c>
      <c r="B14" s="112" t="s">
        <v>83</v>
      </c>
      <c r="C14" s="112" t="s">
        <v>273</v>
      </c>
      <c r="D14" s="114">
        <v>577544</v>
      </c>
    </row>
    <row r="15" spans="1:4" ht="12.6" thickBot="1" x14ac:dyDescent="0.3">
      <c r="A15" s="112" t="s">
        <v>82</v>
      </c>
      <c r="B15" s="112" t="s">
        <v>83</v>
      </c>
      <c r="C15" s="115" t="s">
        <v>99</v>
      </c>
      <c r="D15" s="116">
        <v>4843879.99</v>
      </c>
    </row>
    <row r="16" spans="1:4" ht="12.6" thickBot="1" x14ac:dyDescent="0.3">
      <c r="A16" s="112" t="s">
        <v>84</v>
      </c>
      <c r="B16" s="112" t="s">
        <v>85</v>
      </c>
      <c r="C16" s="112" t="s">
        <v>217</v>
      </c>
      <c r="D16" s="114">
        <v>265031</v>
      </c>
    </row>
    <row r="17" spans="1:4" ht="12.6" thickBot="1" x14ac:dyDescent="0.3">
      <c r="A17" s="112" t="s">
        <v>84</v>
      </c>
      <c r="B17" s="112" t="s">
        <v>85</v>
      </c>
      <c r="C17" s="112" t="s">
        <v>222</v>
      </c>
      <c r="D17" s="113">
        <v>268126</v>
      </c>
    </row>
    <row r="18" spans="1:4" ht="12.6" thickBot="1" x14ac:dyDescent="0.3">
      <c r="A18" s="112" t="s">
        <v>84</v>
      </c>
      <c r="B18" s="112" t="s">
        <v>85</v>
      </c>
      <c r="C18" s="112" t="s">
        <v>227</v>
      </c>
      <c r="D18" s="114">
        <v>243012</v>
      </c>
    </row>
    <row r="19" spans="1:4" ht="12.6" thickBot="1" x14ac:dyDescent="0.3">
      <c r="A19" s="112" t="s">
        <v>84</v>
      </c>
      <c r="B19" s="112" t="s">
        <v>85</v>
      </c>
      <c r="C19" s="112" t="s">
        <v>232</v>
      </c>
      <c r="D19" s="113">
        <v>162343.93</v>
      </c>
    </row>
    <row r="20" spans="1:4" ht="12.6" thickBot="1" x14ac:dyDescent="0.3">
      <c r="A20" s="112" t="s">
        <v>84</v>
      </c>
      <c r="B20" s="112" t="s">
        <v>85</v>
      </c>
      <c r="C20" s="112" t="s">
        <v>237</v>
      </c>
      <c r="D20" s="114">
        <v>121352</v>
      </c>
    </row>
    <row r="21" spans="1:4" ht="12.6" thickBot="1" x14ac:dyDescent="0.3">
      <c r="A21" s="112" t="s">
        <v>84</v>
      </c>
      <c r="B21" s="112" t="s">
        <v>85</v>
      </c>
      <c r="C21" s="112" t="s">
        <v>242</v>
      </c>
      <c r="D21" s="113">
        <v>89369</v>
      </c>
    </row>
    <row r="22" spans="1:4" ht="12.6" thickBot="1" x14ac:dyDescent="0.3">
      <c r="A22" s="112" t="s">
        <v>84</v>
      </c>
      <c r="B22" s="112" t="s">
        <v>85</v>
      </c>
      <c r="C22" s="112" t="s">
        <v>247</v>
      </c>
      <c r="D22" s="114">
        <v>73759</v>
      </c>
    </row>
    <row r="23" spans="1:4" ht="12.6" thickBot="1" x14ac:dyDescent="0.3">
      <c r="A23" s="112" t="s">
        <v>84</v>
      </c>
      <c r="B23" s="112" t="s">
        <v>85</v>
      </c>
      <c r="C23" s="112" t="s">
        <v>252</v>
      </c>
      <c r="D23" s="113">
        <v>76020</v>
      </c>
    </row>
    <row r="24" spans="1:4" ht="12.6" thickBot="1" x14ac:dyDescent="0.3">
      <c r="A24" s="112" t="s">
        <v>84</v>
      </c>
      <c r="B24" s="112" t="s">
        <v>85</v>
      </c>
      <c r="C24" s="112" t="s">
        <v>257</v>
      </c>
      <c r="D24" s="114">
        <v>97384</v>
      </c>
    </row>
    <row r="25" spans="1:4" ht="12.6" thickBot="1" x14ac:dyDescent="0.3">
      <c r="A25" s="112" t="s">
        <v>84</v>
      </c>
      <c r="B25" s="112" t="s">
        <v>85</v>
      </c>
      <c r="C25" s="112" t="s">
        <v>262</v>
      </c>
      <c r="D25" s="113">
        <v>160104</v>
      </c>
    </row>
    <row r="26" spans="1:4" ht="12.6" thickBot="1" x14ac:dyDescent="0.3">
      <c r="A26" s="112" t="s">
        <v>84</v>
      </c>
      <c r="B26" s="112" t="s">
        <v>85</v>
      </c>
      <c r="C26" s="112" t="s">
        <v>267</v>
      </c>
      <c r="D26" s="114">
        <v>229362</v>
      </c>
    </row>
    <row r="27" spans="1:4" ht="12.6" thickBot="1" x14ac:dyDescent="0.3">
      <c r="A27" s="112" t="s">
        <v>84</v>
      </c>
      <c r="B27" s="112" t="s">
        <v>85</v>
      </c>
      <c r="C27" s="112" t="s">
        <v>273</v>
      </c>
      <c r="D27" s="113">
        <v>330477</v>
      </c>
    </row>
    <row r="28" spans="1:4" ht="12.6" thickBot="1" x14ac:dyDescent="0.3">
      <c r="A28" s="112" t="s">
        <v>84</v>
      </c>
      <c r="B28" s="112" t="s">
        <v>85</v>
      </c>
      <c r="C28" s="115" t="s">
        <v>99</v>
      </c>
      <c r="D28" s="116">
        <v>2116339.9300000002</v>
      </c>
    </row>
    <row r="29" spans="1:4" ht="12.6" thickBot="1" x14ac:dyDescent="0.3">
      <c r="A29" s="129" t="s">
        <v>100</v>
      </c>
      <c r="B29" s="130"/>
      <c r="C29" s="131"/>
      <c r="D29" s="116">
        <v>6960219.9199999999</v>
      </c>
    </row>
  </sheetData>
  <mergeCells count="3">
    <mergeCell ref="A29:C29"/>
    <mergeCell ref="A1:B1"/>
    <mergeCell ref="A2:B2"/>
  </mergeCells>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B28" zoomScaleNormal="100" workbookViewId="0">
      <selection activeCell="F19" sqref="F19"/>
    </sheetView>
  </sheetViews>
  <sheetFormatPr defaultColWidth="11.42578125" defaultRowHeight="14.4" x14ac:dyDescent="0.3"/>
  <cols>
    <col min="1" max="1" width="11.7109375" style="89" customWidth="1"/>
    <col min="2" max="2" width="151.5703125" style="63" customWidth="1"/>
    <col min="3" max="3" width="4.7109375" style="63" bestFit="1" customWidth="1"/>
    <col min="4" max="4" width="22.7109375" style="63" bestFit="1" customWidth="1"/>
    <col min="5" max="5" width="20.42578125" style="63" bestFit="1" customWidth="1"/>
    <col min="6" max="6" width="25.5703125" style="63" bestFit="1" customWidth="1"/>
    <col min="7" max="16384" width="11.42578125" style="63"/>
  </cols>
  <sheetData>
    <row r="1" spans="1:6" x14ac:dyDescent="0.3">
      <c r="A1" s="77" t="s">
        <v>119</v>
      </c>
      <c r="B1" s="77"/>
      <c r="C1" s="77"/>
      <c r="D1" s="77"/>
      <c r="E1" s="77"/>
      <c r="F1" s="77"/>
    </row>
    <row r="2" spans="1:6" x14ac:dyDescent="0.3">
      <c r="A2" s="77" t="s">
        <v>120</v>
      </c>
      <c r="B2" s="77"/>
      <c r="C2" s="77"/>
      <c r="D2" s="77"/>
      <c r="E2" s="77"/>
      <c r="F2" s="77"/>
    </row>
    <row r="3" spans="1:6" x14ac:dyDescent="0.3">
      <c r="A3" s="77" t="s">
        <v>121</v>
      </c>
      <c r="B3" s="78"/>
      <c r="C3" s="78"/>
      <c r="D3" s="78"/>
      <c r="E3" s="78"/>
      <c r="F3" s="78"/>
    </row>
    <row r="5" spans="1:6" x14ac:dyDescent="0.3">
      <c r="A5" s="79" t="s">
        <v>122</v>
      </c>
    </row>
    <row r="6" spans="1:6" x14ac:dyDescent="0.3">
      <c r="A6" s="80" t="s">
        <v>123</v>
      </c>
    </row>
    <row r="7" spans="1:6" x14ac:dyDescent="0.3">
      <c r="A7" s="80" t="s">
        <v>124</v>
      </c>
    </row>
    <row r="8" spans="1:6" x14ac:dyDescent="0.3">
      <c r="A8" s="80" t="s">
        <v>125</v>
      </c>
    </row>
    <row r="9" spans="1:6" x14ac:dyDescent="0.3">
      <c r="A9" s="80" t="s">
        <v>126</v>
      </c>
    </row>
    <row r="10" spans="1:6" x14ac:dyDescent="0.3">
      <c r="A10" s="80"/>
    </row>
    <row r="11" spans="1:6" x14ac:dyDescent="0.3">
      <c r="A11" s="81" t="s">
        <v>127</v>
      </c>
    </row>
    <row r="12" spans="1:6" x14ac:dyDescent="0.3">
      <c r="A12" s="81" t="s">
        <v>128</v>
      </c>
      <c r="B12" s="63" t="s">
        <v>129</v>
      </c>
      <c r="C12" s="82" t="s">
        <v>128</v>
      </c>
      <c r="D12" s="83">
        <f>'[2]Allocated (CBR)'!$B$9</f>
        <v>2356568375.2400002</v>
      </c>
    </row>
    <row r="13" spans="1:6" x14ac:dyDescent="0.3">
      <c r="A13" s="81" t="s">
        <v>130</v>
      </c>
      <c r="B13" s="63" t="s">
        <v>131</v>
      </c>
      <c r="C13" s="84" t="s">
        <v>132</v>
      </c>
      <c r="D13" s="63" t="s">
        <v>130</v>
      </c>
    </row>
    <row r="14" spans="1:6" x14ac:dyDescent="0.3">
      <c r="A14" s="81" t="s">
        <v>133</v>
      </c>
      <c r="B14" s="63" t="s">
        <v>134</v>
      </c>
      <c r="C14" s="84"/>
      <c r="D14" s="63" t="s">
        <v>133</v>
      </c>
    </row>
    <row r="15" spans="1:6" x14ac:dyDescent="0.3">
      <c r="A15" s="81" t="s">
        <v>135</v>
      </c>
      <c r="B15" s="63" t="s">
        <v>136</v>
      </c>
      <c r="C15" s="63" t="s">
        <v>135</v>
      </c>
      <c r="D15" s="83"/>
    </row>
    <row r="16" spans="1:6" x14ac:dyDescent="0.3">
      <c r="A16" s="81" t="s">
        <v>137</v>
      </c>
      <c r="B16" s="63" t="s">
        <v>138</v>
      </c>
      <c r="C16" s="63" t="s">
        <v>137</v>
      </c>
      <c r="D16" s="83"/>
    </row>
    <row r="17" spans="1:7" ht="15" thickBot="1" x14ac:dyDescent="0.35">
      <c r="A17" s="81">
        <v>1</v>
      </c>
      <c r="B17" s="85" t="s">
        <v>139</v>
      </c>
      <c r="D17" s="63" t="s">
        <v>140</v>
      </c>
      <c r="E17" s="63">
        <v>1</v>
      </c>
      <c r="F17" s="86">
        <f>+D12</f>
        <v>2356568375.2400002</v>
      </c>
    </row>
    <row r="18" spans="1:7" ht="15.6" thickTop="1" thickBot="1" x14ac:dyDescent="0.35">
      <c r="A18" s="81">
        <v>2</v>
      </c>
      <c r="B18" s="63" t="s">
        <v>141</v>
      </c>
      <c r="E18" s="63">
        <v>2</v>
      </c>
      <c r="F18" s="86">
        <f>+E48</f>
        <v>79426898.789999992</v>
      </c>
      <c r="G18" s="63" t="s">
        <v>142</v>
      </c>
    </row>
    <row r="19" spans="1:7" ht="15" thickTop="1" x14ac:dyDescent="0.3">
      <c r="A19" s="81">
        <v>3</v>
      </c>
      <c r="B19" s="63" t="s">
        <v>143</v>
      </c>
      <c r="E19" s="63">
        <v>3</v>
      </c>
      <c r="F19" s="87">
        <f>SUM(F17:F18)</f>
        <v>2435995274.0300002</v>
      </c>
    </row>
    <row r="20" spans="1:7" x14ac:dyDescent="0.3">
      <c r="A20" s="81">
        <v>4</v>
      </c>
      <c r="B20" s="63" t="s">
        <v>144</v>
      </c>
      <c r="E20" s="63">
        <v>4</v>
      </c>
      <c r="F20" s="88"/>
    </row>
    <row r="21" spans="1:7" x14ac:dyDescent="0.3">
      <c r="A21" s="81" t="s">
        <v>145</v>
      </c>
      <c r="B21" s="63" t="s">
        <v>146</v>
      </c>
      <c r="E21" s="89" t="s">
        <v>147</v>
      </c>
      <c r="F21" s="90">
        <f>IF(AND(F19&gt;=1,F19&lt;20000),"ZERO", 0)</f>
        <v>0</v>
      </c>
    </row>
    <row r="22" spans="1:7" x14ac:dyDescent="0.3">
      <c r="A22" s="81" t="s">
        <v>148</v>
      </c>
      <c r="B22" s="63" t="s">
        <v>149</v>
      </c>
      <c r="C22" s="63" t="s">
        <v>150</v>
      </c>
      <c r="D22" s="91">
        <f>IF(AND(20000&lt;=F19,F19&lt;=50000),F19, 0)</f>
        <v>0</v>
      </c>
      <c r="E22" s="88" t="s">
        <v>151</v>
      </c>
      <c r="F22" s="92">
        <f>IF(D22&gt;1, (D22*0.001), 0)</f>
        <v>0</v>
      </c>
    </row>
    <row r="23" spans="1:7" x14ac:dyDescent="0.3">
      <c r="A23" s="81"/>
      <c r="B23" s="63" t="s">
        <v>152</v>
      </c>
    </row>
    <row r="24" spans="1:7" x14ac:dyDescent="0.3">
      <c r="A24" s="81" t="s">
        <v>153</v>
      </c>
      <c r="B24" s="63" t="s">
        <v>154</v>
      </c>
      <c r="C24" s="63" t="s">
        <v>155</v>
      </c>
      <c r="D24" s="92">
        <f>IF(F19&gt;50000, F19, 0)</f>
        <v>2435995274.0300002</v>
      </c>
    </row>
    <row r="25" spans="1:7" x14ac:dyDescent="0.3">
      <c r="A25" s="81" t="s">
        <v>156</v>
      </c>
      <c r="B25" s="63" t="s">
        <v>157</v>
      </c>
      <c r="C25" s="63" t="s">
        <v>158</v>
      </c>
      <c r="D25" s="92">
        <f>IF(D24&gt;1, 50000, 0)</f>
        <v>50000</v>
      </c>
      <c r="E25" s="88" t="s">
        <v>151</v>
      </c>
      <c r="F25" s="92">
        <f t="shared" ref="F25" si="0">IF(D25&gt;1, (D25*0.001), 0)</f>
        <v>50</v>
      </c>
    </row>
    <row r="26" spans="1:7" x14ac:dyDescent="0.3">
      <c r="A26" s="81" t="s">
        <v>159</v>
      </c>
      <c r="B26" s="63" t="s">
        <v>160</v>
      </c>
      <c r="C26" s="63" t="s">
        <v>161</v>
      </c>
      <c r="D26" s="92">
        <f>+D24-D25</f>
        <v>2435945274.0300002</v>
      </c>
      <c r="E26" s="88" t="s">
        <v>162</v>
      </c>
      <c r="F26" s="92">
        <f>IF(D26&gt;1, (D26*0.002), 0)</f>
        <v>4871890.5480600009</v>
      </c>
    </row>
    <row r="27" spans="1:7" x14ac:dyDescent="0.3">
      <c r="A27" s="81">
        <v>5</v>
      </c>
      <c r="B27" s="63" t="s">
        <v>163</v>
      </c>
      <c r="E27" s="63">
        <v>5</v>
      </c>
      <c r="F27" s="92">
        <f>SUM(F25:F26)</f>
        <v>4871940.5480600009</v>
      </c>
    </row>
    <row r="28" spans="1:7" x14ac:dyDescent="0.3">
      <c r="A28" s="81"/>
      <c r="E28" s="93" t="s">
        <v>164</v>
      </c>
      <c r="F28" s="94" t="s">
        <v>165</v>
      </c>
    </row>
    <row r="29" spans="1:7" x14ac:dyDescent="0.3">
      <c r="A29" s="81"/>
      <c r="B29" s="85" t="s">
        <v>166</v>
      </c>
    </row>
    <row r="30" spans="1:7" x14ac:dyDescent="0.3">
      <c r="A30" s="81">
        <v>6</v>
      </c>
      <c r="B30" s="63" t="s">
        <v>167</v>
      </c>
      <c r="E30" s="63">
        <v>6</v>
      </c>
      <c r="F30" s="88"/>
    </row>
    <row r="31" spans="1:7" x14ac:dyDescent="0.3">
      <c r="A31" s="81" t="s">
        <v>168</v>
      </c>
      <c r="B31" s="63" t="s">
        <v>169</v>
      </c>
      <c r="C31" s="63" t="s">
        <v>170</v>
      </c>
      <c r="D31" s="95">
        <v>0</v>
      </c>
      <c r="E31" s="88" t="s">
        <v>171</v>
      </c>
      <c r="F31" s="92">
        <f>IF(D31&gt;0, (D31*0.02), 0)</f>
        <v>0</v>
      </c>
    </row>
    <row r="32" spans="1:7" x14ac:dyDescent="0.3">
      <c r="A32" s="81">
        <v>7</v>
      </c>
      <c r="B32" s="63" t="s">
        <v>172</v>
      </c>
      <c r="E32" s="63">
        <v>7</v>
      </c>
      <c r="F32" s="88"/>
    </row>
    <row r="33" spans="1:6" x14ac:dyDescent="0.3">
      <c r="A33" s="81" t="s">
        <v>173</v>
      </c>
      <c r="B33" s="63" t="s">
        <v>174</v>
      </c>
      <c r="E33" s="89" t="s">
        <v>173</v>
      </c>
      <c r="F33" s="96"/>
    </row>
    <row r="34" spans="1:6" x14ac:dyDescent="0.3">
      <c r="A34" s="81" t="s">
        <v>175</v>
      </c>
      <c r="B34" s="63" t="s">
        <v>176</v>
      </c>
      <c r="E34" s="89" t="s">
        <v>175</v>
      </c>
      <c r="F34" s="92">
        <f>F27*F33*0.01</f>
        <v>0</v>
      </c>
    </row>
    <row r="35" spans="1:6" x14ac:dyDescent="0.3">
      <c r="A35" s="81">
        <v>8</v>
      </c>
      <c r="B35" s="63" t="s">
        <v>177</v>
      </c>
      <c r="E35" s="63">
        <v>8</v>
      </c>
      <c r="F35" s="92">
        <f>SUM(F34,F31)</f>
        <v>0</v>
      </c>
    </row>
    <row r="36" spans="1:6" x14ac:dyDescent="0.3">
      <c r="A36" s="81"/>
      <c r="E36" s="63" t="s">
        <v>164</v>
      </c>
      <c r="F36" s="94" t="s">
        <v>178</v>
      </c>
    </row>
    <row r="37" spans="1:6" x14ac:dyDescent="0.3">
      <c r="A37" s="81"/>
    </row>
    <row r="38" spans="1:6" x14ac:dyDescent="0.3">
      <c r="A38" s="81">
        <v>9</v>
      </c>
      <c r="B38" s="63" t="s">
        <v>179</v>
      </c>
      <c r="E38" s="63">
        <v>9</v>
      </c>
      <c r="F38" s="92">
        <f>IF((F21="ZERO"),"ZERO",SUM(F22,F27,F35))</f>
        <v>4871940.5480600009</v>
      </c>
    </row>
    <row r="39" spans="1:6" x14ac:dyDescent="0.3">
      <c r="A39" s="81"/>
    </row>
    <row r="40" spans="1:6" ht="28.8" x14ac:dyDescent="0.3">
      <c r="A40" s="81" t="s">
        <v>180</v>
      </c>
      <c r="B40" s="98" t="s">
        <v>181</v>
      </c>
    </row>
    <row r="41" spans="1:6" ht="28.8" x14ac:dyDescent="0.3">
      <c r="A41" s="81" t="s">
        <v>182</v>
      </c>
      <c r="B41" s="98" t="s">
        <v>183</v>
      </c>
    </row>
    <row r="43" spans="1:6" x14ac:dyDescent="0.3">
      <c r="B43" s="99" t="s">
        <v>184</v>
      </c>
      <c r="C43" s="97"/>
      <c r="D43" s="97"/>
      <c r="E43" s="97"/>
      <c r="F43" s="97"/>
    </row>
    <row r="44" spans="1:6" x14ac:dyDescent="0.3">
      <c r="B44" s="100" t="s">
        <v>185</v>
      </c>
      <c r="E44" s="101">
        <f>'[2]Unallocated Detail (CBR)'!$G$29</f>
        <v>-2300.27</v>
      </c>
    </row>
    <row r="45" spans="1:6" x14ac:dyDescent="0.3">
      <c r="B45" s="100" t="s">
        <v>186</v>
      </c>
      <c r="E45" s="101">
        <f>'[2]Unallocated Detail (CBR)'!$G$30</f>
        <v>15612318.02</v>
      </c>
    </row>
    <row r="46" spans="1:6" x14ac:dyDescent="0.3">
      <c r="B46" s="100" t="s">
        <v>187</v>
      </c>
      <c r="E46" s="101">
        <f>'[2]Unallocated Detail (CBR)'!$G$31</f>
        <v>18912458.850000001</v>
      </c>
    </row>
    <row r="47" spans="1:6" x14ac:dyDescent="0.3">
      <c r="B47" s="100" t="s">
        <v>216</v>
      </c>
      <c r="E47" s="101">
        <f>-'Other Elec Revenue'!E47</f>
        <v>44904422.189999998</v>
      </c>
    </row>
    <row r="48" spans="1:6" ht="15" thickBot="1" x14ac:dyDescent="0.35">
      <c r="B48" s="63" t="s">
        <v>332</v>
      </c>
      <c r="E48" s="102">
        <f>SUM(E44:E47)</f>
        <v>79426898.789999992</v>
      </c>
      <c r="F48" s="103"/>
    </row>
    <row r="49" spans="6:6" ht="15" thickTop="1" x14ac:dyDescent="0.3">
      <c r="F49" s="103"/>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89" customWidth="1"/>
    <col min="2" max="2" width="151.5703125" style="63" customWidth="1"/>
    <col min="3" max="3" width="4.7109375" style="63" bestFit="1" customWidth="1"/>
    <col min="4" max="4" width="22.7109375" style="63" bestFit="1" customWidth="1"/>
    <col min="5" max="5" width="20.42578125" style="63" bestFit="1" customWidth="1"/>
    <col min="6" max="6" width="25.5703125" style="63" bestFit="1" customWidth="1"/>
    <col min="7" max="16384" width="11.42578125" style="63"/>
  </cols>
  <sheetData>
    <row r="1" spans="1:6" x14ac:dyDescent="0.3">
      <c r="A1" s="77" t="s">
        <v>119</v>
      </c>
      <c r="B1" s="77"/>
      <c r="C1" s="77"/>
      <c r="D1" s="77"/>
      <c r="E1" s="77"/>
      <c r="F1" s="77"/>
    </row>
    <row r="2" spans="1:6" x14ac:dyDescent="0.3">
      <c r="A2" s="77" t="s">
        <v>188</v>
      </c>
      <c r="B2" s="77"/>
      <c r="C2" s="77"/>
      <c r="D2" s="77"/>
      <c r="E2" s="77"/>
      <c r="F2" s="77"/>
    </row>
    <row r="3" spans="1:6" x14ac:dyDescent="0.3">
      <c r="A3" s="77" t="s">
        <v>121</v>
      </c>
      <c r="B3" s="78"/>
      <c r="C3" s="78"/>
      <c r="D3" s="78"/>
      <c r="E3" s="78"/>
      <c r="F3" s="78"/>
    </row>
    <row r="5" spans="1:6" x14ac:dyDescent="0.3">
      <c r="A5" s="79" t="s">
        <v>189</v>
      </c>
    </row>
    <row r="6" spans="1:6" x14ac:dyDescent="0.3">
      <c r="A6" s="80" t="s">
        <v>190</v>
      </c>
    </row>
    <row r="7" spans="1:6" x14ac:dyDescent="0.3">
      <c r="A7" s="80" t="s">
        <v>191</v>
      </c>
    </row>
    <row r="8" spans="1:6" x14ac:dyDescent="0.3">
      <c r="A8" s="80" t="s">
        <v>125</v>
      </c>
    </row>
    <row r="9" spans="1:6" x14ac:dyDescent="0.3">
      <c r="A9" s="80" t="s">
        <v>192</v>
      </c>
    </row>
    <row r="10" spans="1:6" x14ac:dyDescent="0.3">
      <c r="A10" s="80"/>
    </row>
    <row r="11" spans="1:6" x14ac:dyDescent="0.3">
      <c r="A11" s="81" t="s">
        <v>127</v>
      </c>
    </row>
    <row r="12" spans="1:6" x14ac:dyDescent="0.3">
      <c r="A12" s="81" t="s">
        <v>128</v>
      </c>
      <c r="B12" s="63" t="s">
        <v>193</v>
      </c>
      <c r="C12" s="82" t="s">
        <v>128</v>
      </c>
      <c r="D12" s="83">
        <f>'[2]Allocated (CBR)'!$C$9</f>
        <v>1055975870.63</v>
      </c>
    </row>
    <row r="13" spans="1:6" x14ac:dyDescent="0.3">
      <c r="A13" s="81" t="s">
        <v>130</v>
      </c>
      <c r="B13" s="63" t="s">
        <v>131</v>
      </c>
      <c r="C13" s="84" t="s">
        <v>132</v>
      </c>
      <c r="D13" s="63" t="s">
        <v>130</v>
      </c>
    </row>
    <row r="14" spans="1:6" x14ac:dyDescent="0.3">
      <c r="A14" s="81" t="s">
        <v>133</v>
      </c>
      <c r="B14" s="63" t="s">
        <v>134</v>
      </c>
      <c r="C14" s="84"/>
      <c r="D14" s="63" t="s">
        <v>133</v>
      </c>
    </row>
    <row r="15" spans="1:6" x14ac:dyDescent="0.3">
      <c r="A15" s="81" t="s">
        <v>135</v>
      </c>
      <c r="B15" s="63" t="s">
        <v>136</v>
      </c>
      <c r="C15" s="63" t="s">
        <v>135</v>
      </c>
      <c r="D15" s="83"/>
    </row>
    <row r="16" spans="1:6" x14ac:dyDescent="0.3">
      <c r="A16" s="81" t="s">
        <v>137</v>
      </c>
      <c r="B16" s="63" t="s">
        <v>138</v>
      </c>
      <c r="C16" s="63" t="s">
        <v>137</v>
      </c>
      <c r="D16" s="83"/>
    </row>
    <row r="17" spans="1:6" ht="15" thickBot="1" x14ac:dyDescent="0.35">
      <c r="A17" s="81">
        <v>1</v>
      </c>
      <c r="B17" s="85" t="s">
        <v>139</v>
      </c>
      <c r="D17" s="63" t="s">
        <v>140</v>
      </c>
      <c r="E17" s="63">
        <v>1</v>
      </c>
      <c r="F17" s="86">
        <f>+D12</f>
        <v>1055975870.63</v>
      </c>
    </row>
    <row r="18" spans="1:6" ht="15.6" thickTop="1" thickBot="1" x14ac:dyDescent="0.35">
      <c r="A18" s="81">
        <v>2</v>
      </c>
      <c r="B18" s="63" t="s">
        <v>194</v>
      </c>
      <c r="E18" s="63">
        <v>2</v>
      </c>
      <c r="F18" s="86"/>
    </row>
    <row r="19" spans="1:6" ht="15" thickTop="1" x14ac:dyDescent="0.3">
      <c r="A19" s="81">
        <v>3</v>
      </c>
      <c r="B19" s="63" t="s">
        <v>143</v>
      </c>
      <c r="E19" s="63">
        <v>3</v>
      </c>
      <c r="F19" s="87">
        <f>SUM(F17:F18)</f>
        <v>1055975870.63</v>
      </c>
    </row>
    <row r="20" spans="1:6" x14ac:dyDescent="0.3">
      <c r="A20" s="81">
        <v>4</v>
      </c>
      <c r="B20" s="63" t="s">
        <v>144</v>
      </c>
      <c r="E20" s="63">
        <v>4</v>
      </c>
      <c r="F20" s="88"/>
    </row>
    <row r="21" spans="1:6" x14ac:dyDescent="0.3">
      <c r="A21" s="81" t="s">
        <v>145</v>
      </c>
      <c r="B21" s="63" t="s">
        <v>146</v>
      </c>
      <c r="E21" s="89" t="s">
        <v>147</v>
      </c>
      <c r="F21" s="90">
        <f>IF(AND(F19&gt;=1,F19&lt;20000),"ZERO", 0)</f>
        <v>0</v>
      </c>
    </row>
    <row r="22" spans="1:6" x14ac:dyDescent="0.3">
      <c r="A22" s="81" t="s">
        <v>148</v>
      </c>
      <c r="B22" s="63" t="s">
        <v>149</v>
      </c>
      <c r="C22" s="63" t="s">
        <v>150</v>
      </c>
      <c r="D22" s="91">
        <f>IF(AND(20000&lt;=F19,F19&lt;=50000),F19, 0)</f>
        <v>0</v>
      </c>
      <c r="E22" s="88" t="s">
        <v>151</v>
      </c>
      <c r="F22" s="92">
        <f>IF(D22&gt;1, (D22*0.001), 0)</f>
        <v>0</v>
      </c>
    </row>
    <row r="23" spans="1:6" x14ac:dyDescent="0.3">
      <c r="A23" s="81"/>
      <c r="B23" s="63" t="s">
        <v>152</v>
      </c>
    </row>
    <row r="24" spans="1:6" x14ac:dyDescent="0.3">
      <c r="A24" s="81" t="s">
        <v>153</v>
      </c>
      <c r="B24" s="63" t="s">
        <v>154</v>
      </c>
      <c r="C24" s="63" t="s">
        <v>155</v>
      </c>
      <c r="D24" s="92">
        <f>IF(F19&gt;50000, F19, 0)</f>
        <v>1055975870.63</v>
      </c>
    </row>
    <row r="25" spans="1:6" x14ac:dyDescent="0.3">
      <c r="A25" s="81" t="s">
        <v>156</v>
      </c>
      <c r="B25" s="63" t="s">
        <v>157</v>
      </c>
      <c r="C25" s="63" t="s">
        <v>158</v>
      </c>
      <c r="D25" s="92">
        <f>IF(D24&gt;1, 50000, 0)</f>
        <v>50000</v>
      </c>
      <c r="E25" s="88" t="s">
        <v>151</v>
      </c>
      <c r="F25" s="92">
        <f t="shared" ref="F25" si="0">IF(D25&gt;1, (D25*0.001), 0)</f>
        <v>50</v>
      </c>
    </row>
    <row r="26" spans="1:6" x14ac:dyDescent="0.3">
      <c r="A26" s="81" t="s">
        <v>159</v>
      </c>
      <c r="B26" s="63" t="s">
        <v>160</v>
      </c>
      <c r="C26" s="63" t="s">
        <v>161</v>
      </c>
      <c r="D26" s="92">
        <f>+D24-D25</f>
        <v>1055925870.63</v>
      </c>
      <c r="E26" s="88" t="s">
        <v>162</v>
      </c>
      <c r="F26" s="92">
        <f>IF(D26&gt;1, (D26*0.002), 0)</f>
        <v>2111851.74126</v>
      </c>
    </row>
    <row r="27" spans="1:6" x14ac:dyDescent="0.3">
      <c r="A27" s="81">
        <v>5</v>
      </c>
      <c r="B27" s="63" t="s">
        <v>163</v>
      </c>
      <c r="E27" s="63">
        <v>5</v>
      </c>
      <c r="F27" s="92">
        <f>SUM(F25:F26)</f>
        <v>2111901.74126</v>
      </c>
    </row>
    <row r="28" spans="1:6" x14ac:dyDescent="0.3">
      <c r="A28" s="81"/>
      <c r="E28" s="93" t="s">
        <v>164</v>
      </c>
      <c r="F28" s="94" t="s">
        <v>165</v>
      </c>
    </row>
    <row r="29" spans="1:6" x14ac:dyDescent="0.3">
      <c r="A29" s="81"/>
      <c r="B29" s="85" t="s">
        <v>166</v>
      </c>
    </row>
    <row r="30" spans="1:6" x14ac:dyDescent="0.3">
      <c r="A30" s="81">
        <v>6</v>
      </c>
      <c r="B30" s="63" t="s">
        <v>167</v>
      </c>
      <c r="E30" s="63">
        <v>6</v>
      </c>
      <c r="F30" s="88"/>
    </row>
    <row r="31" spans="1:6" x14ac:dyDescent="0.3">
      <c r="A31" s="81" t="s">
        <v>168</v>
      </c>
      <c r="B31" s="63" t="s">
        <v>169</v>
      </c>
      <c r="C31" s="63" t="s">
        <v>170</v>
      </c>
      <c r="D31" s="95">
        <v>0</v>
      </c>
      <c r="E31" s="88" t="s">
        <v>171</v>
      </c>
      <c r="F31" s="92">
        <f>IF(D31&gt;0, (D31*0.02), 0)</f>
        <v>0</v>
      </c>
    </row>
    <row r="32" spans="1:6" x14ac:dyDescent="0.3">
      <c r="A32" s="81">
        <v>7</v>
      </c>
      <c r="B32" s="63" t="s">
        <v>172</v>
      </c>
      <c r="E32" s="63">
        <v>7</v>
      </c>
      <c r="F32" s="88"/>
    </row>
    <row r="33" spans="1:8" x14ac:dyDescent="0.3">
      <c r="A33" s="81" t="s">
        <v>173</v>
      </c>
      <c r="B33" s="63" t="s">
        <v>174</v>
      </c>
      <c r="E33" s="89" t="s">
        <v>173</v>
      </c>
      <c r="F33" s="96"/>
    </row>
    <row r="34" spans="1:8" x14ac:dyDescent="0.3">
      <c r="A34" s="81" t="s">
        <v>175</v>
      </c>
      <c r="B34" s="63" t="s">
        <v>176</v>
      </c>
      <c r="E34" s="89" t="s">
        <v>175</v>
      </c>
      <c r="F34" s="92">
        <f>F27*F33*0.01</f>
        <v>0</v>
      </c>
    </row>
    <row r="35" spans="1:8" x14ac:dyDescent="0.3">
      <c r="A35" s="81">
        <v>8</v>
      </c>
      <c r="B35" s="63" t="s">
        <v>177</v>
      </c>
      <c r="E35" s="63">
        <v>8</v>
      </c>
      <c r="F35" s="92">
        <f>SUM(F34,F31)</f>
        <v>0</v>
      </c>
    </row>
    <row r="36" spans="1:8" x14ac:dyDescent="0.3">
      <c r="A36" s="81"/>
      <c r="E36" s="63" t="s">
        <v>164</v>
      </c>
      <c r="F36" s="94" t="s">
        <v>178</v>
      </c>
    </row>
    <row r="37" spans="1:8" x14ac:dyDescent="0.3">
      <c r="A37" s="81"/>
    </row>
    <row r="38" spans="1:8" x14ac:dyDescent="0.3">
      <c r="A38" s="81">
        <v>9</v>
      </c>
      <c r="B38" s="63" t="s">
        <v>195</v>
      </c>
      <c r="E38" s="63">
        <v>9</v>
      </c>
      <c r="F38" s="92">
        <f>IF((F21="ZERO"),"ZERO",SUM(F22,F27,F35))</f>
        <v>2111901.74126</v>
      </c>
    </row>
    <row r="39" spans="1:8" x14ac:dyDescent="0.3">
      <c r="A39" s="81"/>
    </row>
    <row r="40" spans="1:8" ht="100.8" x14ac:dyDescent="0.3">
      <c r="A40" s="81" t="s">
        <v>180</v>
      </c>
      <c r="B40" s="98" t="s">
        <v>196</v>
      </c>
    </row>
    <row r="41" spans="1:8" ht="28.8" x14ac:dyDescent="0.3">
      <c r="A41" s="81" t="s">
        <v>182</v>
      </c>
      <c r="B41" s="98" t="s">
        <v>183</v>
      </c>
    </row>
    <row r="43" spans="1:8" x14ac:dyDescent="0.3">
      <c r="G43" s="97"/>
      <c r="H43" s="97"/>
    </row>
    <row r="44" spans="1:8" x14ac:dyDescent="0.3">
      <c r="G44" s="97"/>
      <c r="H44" s="97"/>
    </row>
    <row r="45" spans="1:8" x14ac:dyDescent="0.3">
      <c r="G45" s="97"/>
      <c r="H45" s="97"/>
    </row>
    <row r="46" spans="1:8" x14ac:dyDescent="0.3">
      <c r="G46" s="97"/>
      <c r="H46" s="97"/>
    </row>
    <row r="47" spans="1:8" x14ac:dyDescent="0.3">
      <c r="G47" s="97"/>
      <c r="H47" s="97"/>
    </row>
    <row r="48" spans="1:8" x14ac:dyDescent="0.3">
      <c r="B48" s="97"/>
      <c r="C48" s="97"/>
      <c r="D48" s="97"/>
      <c r="E48" s="97"/>
      <c r="F48" s="97"/>
      <c r="G48" s="97"/>
      <c r="H48" s="97"/>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17" workbookViewId="0">
      <selection activeCell="E47" sqref="E47"/>
    </sheetView>
  </sheetViews>
  <sheetFormatPr defaultRowHeight="12" x14ac:dyDescent="0.25"/>
  <cols>
    <col min="1" max="1" width="20.5703125" bestFit="1" customWidth="1"/>
    <col min="2" max="2" width="13.5703125" bestFit="1" customWidth="1"/>
    <col min="3" max="3" width="10.7109375" bestFit="1" customWidth="1"/>
    <col min="4" max="4" width="44" bestFit="1" customWidth="1"/>
    <col min="5" max="5" width="18.85546875" bestFit="1" customWidth="1"/>
  </cols>
  <sheetData>
    <row r="1" spans="1:5" ht="15" thickBot="1" x14ac:dyDescent="0.3">
      <c r="A1" s="124"/>
      <c r="B1" s="125"/>
      <c r="C1" s="126"/>
      <c r="D1" s="106"/>
      <c r="E1" s="107" t="s">
        <v>0</v>
      </c>
    </row>
    <row r="2" spans="1:5" ht="15" thickBot="1" x14ac:dyDescent="0.3">
      <c r="A2" s="127" t="s">
        <v>1</v>
      </c>
      <c r="B2" s="128"/>
      <c r="C2" s="107" t="s">
        <v>2</v>
      </c>
      <c r="D2" s="105"/>
      <c r="E2" s="106" t="s">
        <v>3</v>
      </c>
    </row>
    <row r="3" spans="1:5" ht="12.6" thickBot="1" x14ac:dyDescent="0.3">
      <c r="A3" s="117" t="s">
        <v>4</v>
      </c>
      <c r="B3" s="117" t="s">
        <v>5</v>
      </c>
      <c r="C3" s="117" t="s">
        <v>197</v>
      </c>
      <c r="D3" s="117" t="s">
        <v>198</v>
      </c>
      <c r="E3" s="118">
        <v>-341.34</v>
      </c>
    </row>
    <row r="4" spans="1:5" ht="12.6" thickBot="1" x14ac:dyDescent="0.3">
      <c r="A4" s="117" t="s">
        <v>4</v>
      </c>
      <c r="B4" s="117" t="s">
        <v>5</v>
      </c>
      <c r="C4" s="117" t="s">
        <v>6</v>
      </c>
      <c r="D4" s="117" t="s">
        <v>7</v>
      </c>
      <c r="E4" s="119">
        <v>39241.910000000003</v>
      </c>
    </row>
    <row r="5" spans="1:5" ht="12.6" thickBot="1" x14ac:dyDescent="0.3">
      <c r="A5" s="117" t="s">
        <v>4</v>
      </c>
      <c r="B5" s="117" t="s">
        <v>5</v>
      </c>
      <c r="C5" s="117" t="s">
        <v>8</v>
      </c>
      <c r="D5" s="117" t="s">
        <v>9</v>
      </c>
      <c r="E5" s="118">
        <v>-202335.63</v>
      </c>
    </row>
    <row r="6" spans="1:5" ht="12.6" thickBot="1" x14ac:dyDescent="0.3">
      <c r="A6" s="117" t="s">
        <v>4</v>
      </c>
      <c r="B6" s="117" t="s">
        <v>5</v>
      </c>
      <c r="C6" s="117" t="s">
        <v>10</v>
      </c>
      <c r="D6" s="117" t="s">
        <v>11</v>
      </c>
      <c r="E6" s="119">
        <v>-268275.99</v>
      </c>
    </row>
    <row r="7" spans="1:5" ht="12.6" thickBot="1" x14ac:dyDescent="0.3">
      <c r="A7" s="117" t="s">
        <v>4</v>
      </c>
      <c r="B7" s="117" t="s">
        <v>5</v>
      </c>
      <c r="C7" s="117" t="s">
        <v>12</v>
      </c>
      <c r="D7" s="117" t="s">
        <v>13</v>
      </c>
      <c r="E7" s="118">
        <v>-171204332.72999999</v>
      </c>
    </row>
    <row r="8" spans="1:5" ht="12.6" thickBot="1" x14ac:dyDescent="0.3">
      <c r="A8" s="117" t="s">
        <v>4</v>
      </c>
      <c r="B8" s="117" t="s">
        <v>5</v>
      </c>
      <c r="C8" s="117" t="s">
        <v>14</v>
      </c>
      <c r="D8" s="117" t="s">
        <v>15</v>
      </c>
      <c r="E8" s="119">
        <v>122242846.33</v>
      </c>
    </row>
    <row r="9" spans="1:5" ht="12.6" thickBot="1" x14ac:dyDescent="0.3">
      <c r="A9" s="117" t="s">
        <v>4</v>
      </c>
      <c r="B9" s="117" t="s">
        <v>5</v>
      </c>
      <c r="C9" s="117" t="s">
        <v>16</v>
      </c>
      <c r="D9" s="117" t="s">
        <v>17</v>
      </c>
      <c r="E9" s="118">
        <v>-65401.9</v>
      </c>
    </row>
    <row r="10" spans="1:5" ht="12.6" thickBot="1" x14ac:dyDescent="0.3">
      <c r="A10" s="117" t="s">
        <v>4</v>
      </c>
      <c r="B10" s="117" t="s">
        <v>5</v>
      </c>
      <c r="C10" s="117" t="s">
        <v>18</v>
      </c>
      <c r="D10" s="117" t="s">
        <v>19</v>
      </c>
      <c r="E10" s="119">
        <v>-838486.19</v>
      </c>
    </row>
    <row r="11" spans="1:5" ht="12.6" thickBot="1" x14ac:dyDescent="0.3">
      <c r="A11" s="117" t="s">
        <v>4</v>
      </c>
      <c r="B11" s="117" t="s">
        <v>5</v>
      </c>
      <c r="C11" s="117" t="s">
        <v>211</v>
      </c>
      <c r="D11" s="117" t="s">
        <v>212</v>
      </c>
      <c r="E11" s="118">
        <v>-15702432.43</v>
      </c>
    </row>
    <row r="12" spans="1:5" ht="12.6" thickBot="1" x14ac:dyDescent="0.3">
      <c r="A12" s="117" t="s">
        <v>4</v>
      </c>
      <c r="B12" s="117" t="s">
        <v>5</v>
      </c>
      <c r="C12" s="117" t="s">
        <v>20</v>
      </c>
      <c r="D12" s="117" t="s">
        <v>21</v>
      </c>
      <c r="E12" s="119">
        <v>-1520224.74</v>
      </c>
    </row>
    <row r="13" spans="1:5" ht="12.6" thickBot="1" x14ac:dyDescent="0.3">
      <c r="A13" s="117" t="s">
        <v>4</v>
      </c>
      <c r="B13" s="117" t="s">
        <v>5</v>
      </c>
      <c r="C13" s="117" t="s">
        <v>22</v>
      </c>
      <c r="D13" s="117" t="s">
        <v>23</v>
      </c>
      <c r="E13" s="118">
        <v>-7023895.9100000001</v>
      </c>
    </row>
    <row r="14" spans="1:5" ht="12.6" thickBot="1" x14ac:dyDescent="0.3">
      <c r="A14" s="117" t="s">
        <v>4</v>
      </c>
      <c r="B14" s="117" t="s">
        <v>5</v>
      </c>
      <c r="C14" s="117" t="s">
        <v>24</v>
      </c>
      <c r="D14" s="117" t="s">
        <v>25</v>
      </c>
      <c r="E14" s="119">
        <v>-162486.06</v>
      </c>
    </row>
    <row r="15" spans="1:5" ht="12.6" thickBot="1" x14ac:dyDescent="0.3">
      <c r="A15" s="117" t="s">
        <v>4</v>
      </c>
      <c r="B15" s="117" t="s">
        <v>5</v>
      </c>
      <c r="C15" s="117" t="s">
        <v>26</v>
      </c>
      <c r="D15" s="117" t="s">
        <v>27</v>
      </c>
      <c r="E15" s="118">
        <v>16999553.84</v>
      </c>
    </row>
    <row r="16" spans="1:5" ht="12.6" thickBot="1" x14ac:dyDescent="0.3">
      <c r="A16" s="117" t="s">
        <v>4</v>
      </c>
      <c r="B16" s="117" t="s">
        <v>5</v>
      </c>
      <c r="C16" s="117" t="s">
        <v>28</v>
      </c>
      <c r="D16" s="117" t="s">
        <v>29</v>
      </c>
      <c r="E16" s="119">
        <v>745989.72</v>
      </c>
    </row>
    <row r="17" spans="1:5" ht="12.6" thickBot="1" x14ac:dyDescent="0.3">
      <c r="A17" s="117" t="s">
        <v>4</v>
      </c>
      <c r="B17" s="117" t="s">
        <v>5</v>
      </c>
      <c r="C17" s="117" t="s">
        <v>30</v>
      </c>
      <c r="D17" s="117" t="s">
        <v>31</v>
      </c>
      <c r="E17" s="118">
        <v>-3387243.17</v>
      </c>
    </row>
    <row r="18" spans="1:5" ht="12.6" thickBot="1" x14ac:dyDescent="0.3">
      <c r="A18" s="117" t="s">
        <v>4</v>
      </c>
      <c r="B18" s="117" t="s">
        <v>5</v>
      </c>
      <c r="C18" s="117" t="s">
        <v>32</v>
      </c>
      <c r="D18" s="117" t="s">
        <v>33</v>
      </c>
      <c r="E18" s="119">
        <v>-2868000.1</v>
      </c>
    </row>
    <row r="19" spans="1:5" ht="12.6" thickBot="1" x14ac:dyDescent="0.3">
      <c r="A19" s="117" t="s">
        <v>4</v>
      </c>
      <c r="B19" s="117" t="s">
        <v>5</v>
      </c>
      <c r="C19" s="117" t="s">
        <v>34</v>
      </c>
      <c r="D19" s="117" t="s">
        <v>35</v>
      </c>
      <c r="E19" s="118">
        <v>-1697248.71</v>
      </c>
    </row>
    <row r="20" spans="1:5" ht="12.6" thickBot="1" x14ac:dyDescent="0.3">
      <c r="A20" s="117" t="s">
        <v>4</v>
      </c>
      <c r="B20" s="117" t="s">
        <v>5</v>
      </c>
      <c r="C20" s="117" t="s">
        <v>199</v>
      </c>
      <c r="D20" s="117" t="s">
        <v>200</v>
      </c>
      <c r="E20" s="119">
        <v>-1119663.58</v>
      </c>
    </row>
    <row r="21" spans="1:5" ht="12.6" thickBot="1" x14ac:dyDescent="0.3">
      <c r="A21" s="117" t="s">
        <v>4</v>
      </c>
      <c r="B21" s="117" t="s">
        <v>5</v>
      </c>
      <c r="C21" s="117" t="s">
        <v>36</v>
      </c>
      <c r="D21" s="117" t="s">
        <v>37</v>
      </c>
      <c r="E21" s="118">
        <v>4927857.91</v>
      </c>
    </row>
    <row r="22" spans="1:5" ht="12.6" thickBot="1" x14ac:dyDescent="0.3">
      <c r="A22" s="117" t="s">
        <v>4</v>
      </c>
      <c r="B22" s="117" t="s">
        <v>5</v>
      </c>
      <c r="C22" s="117" t="s">
        <v>38</v>
      </c>
      <c r="D22" s="117" t="s">
        <v>39</v>
      </c>
      <c r="E22" s="119">
        <v>4467717.47</v>
      </c>
    </row>
    <row r="23" spans="1:5" ht="12.6" thickBot="1" x14ac:dyDescent="0.3">
      <c r="A23" s="117" t="s">
        <v>4</v>
      </c>
      <c r="B23" s="117" t="s">
        <v>5</v>
      </c>
      <c r="C23" s="117" t="s">
        <v>40</v>
      </c>
      <c r="D23" s="117" t="s">
        <v>41</v>
      </c>
      <c r="E23" s="118">
        <v>246461.42</v>
      </c>
    </row>
    <row r="24" spans="1:5" ht="12.6" thickBot="1" x14ac:dyDescent="0.3">
      <c r="A24" s="117" t="s">
        <v>4</v>
      </c>
      <c r="B24" s="117" t="s">
        <v>5</v>
      </c>
      <c r="C24" s="117" t="s">
        <v>42</v>
      </c>
      <c r="D24" s="117" t="s">
        <v>43</v>
      </c>
      <c r="E24" s="119">
        <v>-2602913.4300000002</v>
      </c>
    </row>
    <row r="25" spans="1:5" ht="12.6" thickBot="1" x14ac:dyDescent="0.3">
      <c r="A25" s="117" t="s">
        <v>4</v>
      </c>
      <c r="B25" s="117" t="s">
        <v>5</v>
      </c>
      <c r="C25" s="117" t="s">
        <v>44</v>
      </c>
      <c r="D25" s="117" t="s">
        <v>45</v>
      </c>
      <c r="E25" s="118">
        <v>3860293.96</v>
      </c>
    </row>
    <row r="26" spans="1:5" ht="12.6" thickBot="1" x14ac:dyDescent="0.3">
      <c r="A26" s="117" t="s">
        <v>4</v>
      </c>
      <c r="B26" s="117" t="s">
        <v>5</v>
      </c>
      <c r="C26" s="117" t="s">
        <v>46</v>
      </c>
      <c r="D26" s="117" t="s">
        <v>47</v>
      </c>
      <c r="E26" s="119">
        <v>1189386.07</v>
      </c>
    </row>
    <row r="27" spans="1:5" ht="12.6" thickBot="1" x14ac:dyDescent="0.3">
      <c r="A27" s="117" t="s">
        <v>4</v>
      </c>
      <c r="B27" s="117" t="s">
        <v>5</v>
      </c>
      <c r="C27" s="117" t="s">
        <v>48</v>
      </c>
      <c r="D27" s="117" t="s">
        <v>49</v>
      </c>
      <c r="E27" s="118">
        <v>438242.77</v>
      </c>
    </row>
    <row r="28" spans="1:5" ht="12.6" thickBot="1" x14ac:dyDescent="0.3">
      <c r="A28" s="117" t="s">
        <v>4</v>
      </c>
      <c r="B28" s="117" t="s">
        <v>5</v>
      </c>
      <c r="C28" s="117" t="s">
        <v>50</v>
      </c>
      <c r="D28" s="117" t="s">
        <v>51</v>
      </c>
      <c r="E28" s="119">
        <v>1887812.19</v>
      </c>
    </row>
    <row r="29" spans="1:5" ht="12.6" thickBot="1" x14ac:dyDescent="0.3">
      <c r="A29" s="117" t="s">
        <v>4</v>
      </c>
      <c r="B29" s="117" t="s">
        <v>5</v>
      </c>
      <c r="C29" s="117" t="s">
        <v>52</v>
      </c>
      <c r="D29" s="117" t="s">
        <v>53</v>
      </c>
      <c r="E29" s="118">
        <v>1896605.59</v>
      </c>
    </row>
    <row r="30" spans="1:5" ht="12.6" thickBot="1" x14ac:dyDescent="0.3">
      <c r="A30" s="117" t="s">
        <v>4</v>
      </c>
      <c r="B30" s="117" t="s">
        <v>5</v>
      </c>
      <c r="C30" s="117" t="s">
        <v>201</v>
      </c>
      <c r="D30" s="117" t="s">
        <v>202</v>
      </c>
      <c r="E30" s="119">
        <v>-2139634.23</v>
      </c>
    </row>
    <row r="31" spans="1:5" ht="12.6" thickBot="1" x14ac:dyDescent="0.3">
      <c r="A31" s="117" t="s">
        <v>4</v>
      </c>
      <c r="B31" s="117" t="s">
        <v>5</v>
      </c>
      <c r="C31" s="117" t="s">
        <v>203</v>
      </c>
      <c r="D31" s="117" t="s">
        <v>204</v>
      </c>
      <c r="E31" s="118">
        <v>-627328.9</v>
      </c>
    </row>
    <row r="32" spans="1:5" ht="12.6" thickBot="1" x14ac:dyDescent="0.3">
      <c r="A32" s="117" t="s">
        <v>4</v>
      </c>
      <c r="B32" s="117" t="s">
        <v>5</v>
      </c>
      <c r="C32" s="117" t="s">
        <v>54</v>
      </c>
      <c r="D32" s="117" t="s">
        <v>55</v>
      </c>
      <c r="E32" s="119">
        <v>38116.660000000003</v>
      </c>
    </row>
    <row r="33" spans="1:5" ht="12.6" thickBot="1" x14ac:dyDescent="0.3">
      <c r="A33" s="117" t="s">
        <v>4</v>
      </c>
      <c r="B33" s="117" t="s">
        <v>5</v>
      </c>
      <c r="C33" s="117" t="s">
        <v>56</v>
      </c>
      <c r="D33" s="117" t="s">
        <v>57</v>
      </c>
      <c r="E33" s="118">
        <v>-7170320.4800000004</v>
      </c>
    </row>
    <row r="34" spans="1:5" ht="12.6" thickBot="1" x14ac:dyDescent="0.3">
      <c r="A34" s="117" t="s">
        <v>4</v>
      </c>
      <c r="B34" s="117" t="s">
        <v>5</v>
      </c>
      <c r="C34" s="117" t="s">
        <v>58</v>
      </c>
      <c r="D34" s="117" t="s">
        <v>213</v>
      </c>
      <c r="E34" s="119">
        <v>-56622.25</v>
      </c>
    </row>
    <row r="35" spans="1:5" ht="12.6" thickBot="1" x14ac:dyDescent="0.3">
      <c r="A35" s="117" t="s">
        <v>4</v>
      </c>
      <c r="B35" s="117" t="s">
        <v>5</v>
      </c>
      <c r="C35" s="117" t="s">
        <v>214</v>
      </c>
      <c r="D35" s="117" t="s">
        <v>215</v>
      </c>
      <c r="E35" s="118">
        <v>-7320.59</v>
      </c>
    </row>
    <row r="36" spans="1:5" ht="12.6" thickBot="1" x14ac:dyDescent="0.3">
      <c r="A36" s="117" t="s">
        <v>4</v>
      </c>
      <c r="B36" s="117" t="s">
        <v>5</v>
      </c>
      <c r="C36" s="117" t="s">
        <v>59</v>
      </c>
      <c r="D36" s="117" t="s">
        <v>60</v>
      </c>
      <c r="E36" s="119">
        <v>14314854.75</v>
      </c>
    </row>
    <row r="37" spans="1:5" ht="12.6" thickBot="1" x14ac:dyDescent="0.3">
      <c r="A37" s="117" t="s">
        <v>4</v>
      </c>
      <c r="B37" s="117" t="s">
        <v>5</v>
      </c>
      <c r="C37" s="117" t="s">
        <v>205</v>
      </c>
      <c r="D37" s="117" t="s">
        <v>206</v>
      </c>
      <c r="E37" s="118">
        <v>-96999.88</v>
      </c>
    </row>
    <row r="38" spans="1:5" ht="12.6" thickBot="1" x14ac:dyDescent="0.3">
      <c r="A38" s="117" t="s">
        <v>4</v>
      </c>
      <c r="B38" s="117" t="s">
        <v>5</v>
      </c>
      <c r="C38" s="117" t="s">
        <v>61</v>
      </c>
      <c r="D38" s="117" t="s">
        <v>62</v>
      </c>
      <c r="E38" s="119">
        <v>-1555090.25</v>
      </c>
    </row>
    <row r="39" spans="1:5" ht="12.6" thickBot="1" x14ac:dyDescent="0.3">
      <c r="A39" s="117" t="s">
        <v>4</v>
      </c>
      <c r="B39" s="117" t="s">
        <v>5</v>
      </c>
      <c r="C39" s="117" t="s">
        <v>63</v>
      </c>
      <c r="D39" s="117" t="s">
        <v>64</v>
      </c>
      <c r="E39" s="118">
        <v>-1395443.93</v>
      </c>
    </row>
    <row r="40" spans="1:5" ht="12.6" thickBot="1" x14ac:dyDescent="0.3">
      <c r="A40" s="117" t="s">
        <v>4</v>
      </c>
      <c r="B40" s="117" t="s">
        <v>5</v>
      </c>
      <c r="C40" s="117" t="s">
        <v>207</v>
      </c>
      <c r="D40" s="117" t="s">
        <v>208</v>
      </c>
      <c r="E40" s="119">
        <v>-1327558.3500000001</v>
      </c>
    </row>
    <row r="41" spans="1:5" ht="12.6" thickBot="1" x14ac:dyDescent="0.3">
      <c r="A41" s="117" t="s">
        <v>4</v>
      </c>
      <c r="B41" s="117" t="s">
        <v>5</v>
      </c>
      <c r="C41" s="117" t="s">
        <v>209</v>
      </c>
      <c r="D41" s="117" t="s">
        <v>210</v>
      </c>
      <c r="E41" s="118">
        <v>-870182.77</v>
      </c>
    </row>
    <row r="42" spans="1:5" ht="12.6" thickBot="1" x14ac:dyDescent="0.3">
      <c r="A42" s="117" t="s">
        <v>4</v>
      </c>
      <c r="B42" s="117" t="s">
        <v>5</v>
      </c>
      <c r="C42" s="117" t="s">
        <v>65</v>
      </c>
      <c r="D42" s="117" t="s">
        <v>66</v>
      </c>
      <c r="E42" s="119">
        <v>-1014.29</v>
      </c>
    </row>
    <row r="43" spans="1:5" ht="12.6" thickBot="1" x14ac:dyDescent="0.3">
      <c r="A43" s="117" t="s">
        <v>4</v>
      </c>
      <c r="B43" s="117" t="s">
        <v>5</v>
      </c>
      <c r="C43" s="117" t="s">
        <v>67</v>
      </c>
      <c r="D43" s="117" t="s">
        <v>68</v>
      </c>
      <c r="E43" s="118">
        <v>1622496.28</v>
      </c>
    </row>
    <row r="44" spans="1:5" ht="12.6" thickBot="1" x14ac:dyDescent="0.3">
      <c r="A44" s="117" t="s">
        <v>4</v>
      </c>
      <c r="B44" s="117" t="s">
        <v>5</v>
      </c>
      <c r="C44" s="117" t="s">
        <v>69</v>
      </c>
      <c r="D44" s="117" t="s">
        <v>70</v>
      </c>
      <c r="E44" s="119">
        <v>1405656.78</v>
      </c>
    </row>
    <row r="45" spans="1:5" ht="12.6" thickBot="1" x14ac:dyDescent="0.3">
      <c r="A45" s="117" t="s">
        <v>4</v>
      </c>
      <c r="B45" s="117" t="s">
        <v>5</v>
      </c>
      <c r="C45" s="117" t="s">
        <v>71</v>
      </c>
      <c r="D45" s="117" t="s">
        <v>72</v>
      </c>
      <c r="E45" s="118">
        <v>-507307.44</v>
      </c>
    </row>
    <row r="46" spans="1:5" ht="12.6" thickBot="1" x14ac:dyDescent="0.3">
      <c r="A46" s="117" t="s">
        <v>4</v>
      </c>
      <c r="B46" s="117" t="s">
        <v>5</v>
      </c>
      <c r="C46" s="117" t="s">
        <v>73</v>
      </c>
      <c r="D46" s="117" t="s">
        <v>74</v>
      </c>
      <c r="E46" s="119">
        <v>3190549.43</v>
      </c>
    </row>
    <row r="47" spans="1:5" ht="12.6" thickBot="1" x14ac:dyDescent="0.3">
      <c r="A47" s="117" t="s">
        <v>4</v>
      </c>
      <c r="B47" s="117" t="s">
        <v>5</v>
      </c>
      <c r="C47" s="129" t="s">
        <v>99</v>
      </c>
      <c r="D47" s="131"/>
      <c r="E47" s="120">
        <v>-44904422.189999998</v>
      </c>
    </row>
  </sheetData>
  <mergeCells count="3">
    <mergeCell ref="A1:C1"/>
    <mergeCell ref="A2:B2"/>
    <mergeCell ref="C47:D47"/>
  </mergeCells>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2.6.303.84659</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21C1D357C085C49BC7CACB41DBF096E" ma:contentTypeVersion="28" ma:contentTypeDescription="" ma:contentTypeScope="" ma:versionID="607d2032f40e5706bfb559560ff945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2022-03-31T07:00:00+00:00</OpenedDate>
    <SignificantOrder xmlns="dc463f71-b30c-4ab2-9473-d307f9d35888">false</SignificantOrder>
    <Date1 xmlns="dc463f71-b30c-4ab2-9473-d307f9d35888">2022-03-31T07:00:00+00:00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220231</DocketNumber>
    <DelegatedOrder xmlns="dc463f71-b30c-4ab2-9473-d307f9d35888">false</DelegatedOrder>
  </documentManagement>
</p:properties>
</file>

<file path=customXml/itemProps1.xml><?xml version="1.0" encoding="utf-8"?>
<ds:datastoreItem xmlns:ds="http://schemas.openxmlformats.org/officeDocument/2006/customXml" ds:itemID="{8E0F8261-C513-49F6-917E-8B74E91C1CFF}">
  <ds:schemaRefs>
    <ds:schemaRef ds:uri="http://www.sap.com/cof/excel/application"/>
  </ds:schemaRefs>
</ds:datastoreItem>
</file>

<file path=customXml/itemProps2.xml><?xml version="1.0" encoding="utf-8"?>
<ds:datastoreItem xmlns:ds="http://schemas.openxmlformats.org/officeDocument/2006/customXml" ds:itemID="{BA19E8CC-E273-4F6A-A1D2-777DA4EA1408}"/>
</file>

<file path=customXml/itemProps3.xml><?xml version="1.0" encoding="utf-8"?>
<ds:datastoreItem xmlns:ds="http://schemas.openxmlformats.org/officeDocument/2006/customXml" ds:itemID="{ADA3E430-01C5-4ECB-9E43-7DC0CF55F089}"/>
</file>

<file path=customXml/itemProps4.xml><?xml version="1.0" encoding="utf-8"?>
<ds:datastoreItem xmlns:ds="http://schemas.openxmlformats.org/officeDocument/2006/customXml" ds:itemID="{F871AFAF-D8AA-4A5A-9979-741F450DAA9A}"/>
</file>

<file path=customXml/itemProps5.xml><?xml version="1.0" encoding="utf-8"?>
<ds:datastoreItem xmlns:ds="http://schemas.openxmlformats.org/officeDocument/2006/customXml" ds:itemID="{1F7E6617-816B-42BE-A8A7-1859D46F94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Peterson, Pete</cp:lastModifiedBy>
  <dcterms:created xsi:type="dcterms:W3CDTF">2020-01-30T21:49:52Z</dcterms:created>
  <dcterms:modified xsi:type="dcterms:W3CDTF">2022-03-11T21:50:21Z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0x0101006E56B4D1795A2E4DB2F0B01679ED314A00E21C1D357C085C49BC7CACB41DBF096E</vt:lpwstr>
  </property>
  <property fmtid="{D5CDD505-2E9C-101B-9397-08002B2CF9AE}" pid="3" name="_docset_NoMedatataSyncRequired">
    <vt:lpwstr>False</vt:lpwstr>
  </property>
  <property fmtid="{D5CDD505-2E9C-101B-9397-08002B2CF9AE}" pid="4" name="IsEFSEC">
    <vt:bool>false</vt:bool>
  </property>
</Properties>
</file>