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dministrative Resources\Public\Rate Dept Filings WUTC Portal\21-06-01 Renewable Portfolio Standard Report\"/>
    </mc:Choice>
  </mc:AlternateContent>
  <bookViews>
    <workbookView xWindow="6255" yWindow="0" windowWidth="12945" windowHeight="6075" tabRatio="670"/>
  </bookViews>
  <sheets>
    <sheet name="Cover" sheetId="9" r:id="rId1"/>
    <sheet name="Instructions" sheetId="7" r:id="rId2"/>
    <sheet name="Compliance Summary" sheetId="6" r:id="rId3"/>
    <sheet name="Facility Detail" sheetId="1" r:id="rId4"/>
    <sheet name="Generation Rollup" sheetId="8" r:id="rId5"/>
  </sheets>
  <definedNames>
    <definedName name="_xlnm._FilterDatabase" localSheetId="3" hidden="1">'Facility Detail'!$A$58:$N$1919</definedName>
    <definedName name="ApprenticeshipBonus">'Facility Detail'!$B$1930</definedName>
    <definedName name="Facilities">'Facility Detail'!$B$4:$H$53</definedName>
    <definedName name="FacilityTypes">'Facility Detail'!$B$1937:$B$1946</definedName>
    <definedName name="LaborBonus">'Facility Detail'!$B$1925:$B$1927</definedName>
    <definedName name="_xlnm.Print_Area" localSheetId="2">'Compliance Summary'!$A$2:$F$44</definedName>
    <definedName name="_xlnm.Print_Area" localSheetId="3">'Facility Detail'!$A$1:$H$552</definedName>
    <definedName name="_xlnm.Print_Area" localSheetId="4">'Generation Rollup'!$A$1:$G$72</definedName>
    <definedName name="_xlnm.Print_Area" localSheetId="1">Instructions!$A$2:$F$39</definedName>
    <definedName name="StartYear">'Facility Detail'!$B$1933</definedName>
  </definedNames>
  <calcPr calcId="162913"/>
</workbook>
</file>

<file path=xl/calcChain.xml><?xml version="1.0" encoding="utf-8"?>
<calcChain xmlns="http://schemas.openxmlformats.org/spreadsheetml/2006/main">
  <c r="F466" i="1" l="1"/>
  <c r="G392" i="1"/>
  <c r="D1506" i="1" l="1"/>
  <c r="E1506" i="1" s="1"/>
  <c r="F1506" i="1" s="1"/>
  <c r="G1506" i="1" s="1"/>
  <c r="H1506" i="1" s="1"/>
  <c r="E784" i="1"/>
  <c r="F784" i="1" s="1"/>
  <c r="G784" i="1" s="1"/>
  <c r="H784" i="1" s="1"/>
  <c r="D784" i="1"/>
  <c r="D670" i="1"/>
  <c r="E670" i="1" s="1"/>
  <c r="F670" i="1" s="1"/>
  <c r="G670" i="1" s="1"/>
  <c r="H670" i="1" s="1"/>
  <c r="H214" i="1" l="1"/>
  <c r="H291" i="1" l="1"/>
  <c r="H252" i="1"/>
  <c r="H138" i="1"/>
  <c r="H100" i="1"/>
  <c r="H62" i="1"/>
  <c r="G294" i="1" l="1"/>
  <c r="D356" i="1"/>
  <c r="B355" i="1"/>
  <c r="H354" i="1"/>
  <c r="B354" i="1"/>
  <c r="B353" i="1"/>
  <c r="G352" i="1"/>
  <c r="B352" i="1"/>
  <c r="B351" i="1"/>
  <c r="F350" i="1"/>
  <c r="B350" i="1"/>
  <c r="B349" i="1"/>
  <c r="E348" i="1"/>
  <c r="B348" i="1"/>
  <c r="B347" i="1"/>
  <c r="B346" i="1"/>
  <c r="H343" i="1"/>
  <c r="G343" i="1"/>
  <c r="F343" i="1"/>
  <c r="E343" i="1"/>
  <c r="D343" i="1"/>
  <c r="H332" i="1"/>
  <c r="G332" i="1"/>
  <c r="F332" i="1"/>
  <c r="H356" i="1" l="1"/>
  <c r="E356" i="1"/>
  <c r="G356" i="1"/>
  <c r="F356" i="1"/>
  <c r="B1647" i="1" l="1"/>
  <c r="B1646" i="1"/>
  <c r="B1645" i="1"/>
  <c r="G1644" i="1"/>
  <c r="B1644" i="1"/>
  <c r="B1643" i="1"/>
  <c r="F1642" i="1"/>
  <c r="B1642" i="1"/>
  <c r="B1641" i="1"/>
  <c r="B1640" i="1"/>
  <c r="B1639" i="1"/>
  <c r="B1638" i="1"/>
  <c r="D1637" i="1"/>
  <c r="H1635" i="1"/>
  <c r="G1635" i="1"/>
  <c r="F1635" i="1"/>
  <c r="E1635" i="1"/>
  <c r="D1635" i="1"/>
  <c r="D1631" i="1"/>
  <c r="D1626" i="1"/>
  <c r="H1624" i="1"/>
  <c r="G1624" i="1"/>
  <c r="F1624" i="1"/>
  <c r="E1624" i="1"/>
  <c r="D1624" i="1"/>
  <c r="D1620" i="1"/>
  <c r="D1496" i="1"/>
  <c r="B1495" i="1"/>
  <c r="B1494" i="1"/>
  <c r="B1493" i="1"/>
  <c r="G1492" i="1"/>
  <c r="B1492" i="1"/>
  <c r="B1491" i="1"/>
  <c r="F1490" i="1"/>
  <c r="B1490" i="1"/>
  <c r="B1489" i="1"/>
  <c r="E1488" i="1"/>
  <c r="B1488" i="1"/>
  <c r="B1487" i="1"/>
  <c r="B1486" i="1"/>
  <c r="H1483" i="1"/>
  <c r="G1483" i="1"/>
  <c r="F1483" i="1"/>
  <c r="E1483" i="1"/>
  <c r="D1483" i="1"/>
  <c r="H1472" i="1"/>
  <c r="G1472" i="1"/>
  <c r="F1472" i="1"/>
  <c r="E1472" i="1"/>
  <c r="D1472" i="1"/>
  <c r="D1534" i="1"/>
  <c r="B1533" i="1"/>
  <c r="B1532" i="1"/>
  <c r="B1531" i="1"/>
  <c r="G1530" i="1"/>
  <c r="B1530" i="1"/>
  <c r="B1529" i="1"/>
  <c r="F1528" i="1"/>
  <c r="B1528" i="1"/>
  <c r="B1527" i="1"/>
  <c r="E1526" i="1"/>
  <c r="B1526" i="1"/>
  <c r="B1525" i="1"/>
  <c r="B1524" i="1"/>
  <c r="H1521" i="1"/>
  <c r="G1521" i="1"/>
  <c r="F1521" i="1"/>
  <c r="E1521" i="1"/>
  <c r="D1521" i="1"/>
  <c r="H1510" i="1"/>
  <c r="G1510" i="1"/>
  <c r="F1510" i="1"/>
  <c r="E1510" i="1"/>
  <c r="D1510" i="1"/>
  <c r="B1191" i="1"/>
  <c r="H1190" i="1"/>
  <c r="B1190" i="1"/>
  <c r="B1189" i="1"/>
  <c r="G1188" i="1"/>
  <c r="B1188" i="1"/>
  <c r="B1187" i="1"/>
  <c r="F1186" i="1"/>
  <c r="B1186" i="1"/>
  <c r="B1185" i="1"/>
  <c r="B1184" i="1"/>
  <c r="B1183" i="1"/>
  <c r="B1182" i="1"/>
  <c r="D1181" i="1"/>
  <c r="H1179" i="1"/>
  <c r="G1179" i="1"/>
  <c r="F1179" i="1"/>
  <c r="E1179" i="1"/>
  <c r="D1179" i="1"/>
  <c r="D1175" i="1"/>
  <c r="D1170" i="1"/>
  <c r="H1168" i="1"/>
  <c r="G1168" i="1"/>
  <c r="F1168" i="1"/>
  <c r="E1168" i="1"/>
  <c r="D1168" i="1"/>
  <c r="D1164" i="1"/>
  <c r="H1192" i="1" l="1"/>
  <c r="E1620" i="1"/>
  <c r="E1637" i="1"/>
  <c r="G1192" i="1"/>
  <c r="F1192" i="1"/>
  <c r="F1534" i="1"/>
  <c r="F1496" i="1"/>
  <c r="F1648" i="1"/>
  <c r="E1631" i="1"/>
  <c r="F1620" i="1"/>
  <c r="E1626" i="1"/>
  <c r="E1496" i="1"/>
  <c r="E1534" i="1"/>
  <c r="E1164" i="1"/>
  <c r="E1175" i="1"/>
  <c r="E1181" i="1"/>
  <c r="E1170" i="1"/>
  <c r="F1637" i="1" l="1"/>
  <c r="G1637" i="1" s="1"/>
  <c r="F1631" i="1"/>
  <c r="F1626" i="1"/>
  <c r="G1620" i="1"/>
  <c r="F1181" i="1"/>
  <c r="F1170" i="1"/>
  <c r="F1164" i="1"/>
  <c r="F1175" i="1"/>
  <c r="H1637" i="1" l="1"/>
  <c r="G1631" i="1"/>
  <c r="H1620" i="1"/>
  <c r="G1626" i="1"/>
  <c r="G1175" i="1"/>
  <c r="G1170" i="1"/>
  <c r="G1164" i="1"/>
  <c r="G1181" i="1"/>
  <c r="H1631" i="1" l="1"/>
  <c r="H1164" i="1"/>
  <c r="H1175" i="1"/>
  <c r="H1181" i="1"/>
  <c r="H1626" i="1"/>
  <c r="H1170" i="1"/>
  <c r="B963" i="1"/>
  <c r="B962" i="1"/>
  <c r="B961" i="1"/>
  <c r="G960" i="1"/>
  <c r="B960" i="1"/>
  <c r="B959" i="1"/>
  <c r="F958" i="1"/>
  <c r="B958" i="1"/>
  <c r="B957" i="1"/>
  <c r="B956" i="1"/>
  <c r="B955" i="1"/>
  <c r="B954" i="1"/>
  <c r="D953" i="1"/>
  <c r="H951" i="1"/>
  <c r="G951" i="1"/>
  <c r="F951" i="1"/>
  <c r="E951" i="1"/>
  <c r="D951" i="1"/>
  <c r="D947" i="1"/>
  <c r="D942" i="1"/>
  <c r="H940" i="1"/>
  <c r="G940" i="1"/>
  <c r="F940" i="1"/>
  <c r="E940" i="1"/>
  <c r="D940" i="1"/>
  <c r="D936" i="1"/>
  <c r="B1001" i="1"/>
  <c r="B1000" i="1"/>
  <c r="B999" i="1"/>
  <c r="G998" i="1"/>
  <c r="B998" i="1"/>
  <c r="B997" i="1"/>
  <c r="F996" i="1"/>
  <c r="B996" i="1"/>
  <c r="B995" i="1"/>
  <c r="B994" i="1"/>
  <c r="B993" i="1"/>
  <c r="B992" i="1"/>
  <c r="D991" i="1"/>
  <c r="H989" i="1"/>
  <c r="G989" i="1"/>
  <c r="F989" i="1"/>
  <c r="E989" i="1"/>
  <c r="D989" i="1"/>
  <c r="D985" i="1"/>
  <c r="D980" i="1"/>
  <c r="H978" i="1"/>
  <c r="G978" i="1"/>
  <c r="F978" i="1"/>
  <c r="E978" i="1"/>
  <c r="D978" i="1"/>
  <c r="D974" i="1"/>
  <c r="D812" i="1"/>
  <c r="B811" i="1"/>
  <c r="B810" i="1"/>
  <c r="E809" i="1"/>
  <c r="B809" i="1"/>
  <c r="G808" i="1"/>
  <c r="B808" i="1"/>
  <c r="B807" i="1"/>
  <c r="F806" i="1"/>
  <c r="B806" i="1"/>
  <c r="B805" i="1"/>
  <c r="E804" i="1"/>
  <c r="B804" i="1"/>
  <c r="B803" i="1"/>
  <c r="B802" i="1"/>
  <c r="H799" i="1"/>
  <c r="G799" i="1"/>
  <c r="F799" i="1"/>
  <c r="E799" i="1"/>
  <c r="D799" i="1"/>
  <c r="H788" i="1"/>
  <c r="G788" i="1"/>
  <c r="F788" i="1"/>
  <c r="E788" i="1"/>
  <c r="D788" i="1"/>
  <c r="D698" i="1"/>
  <c r="B697" i="1"/>
  <c r="B696" i="1"/>
  <c r="B695" i="1"/>
  <c r="G694" i="1"/>
  <c r="B694" i="1"/>
  <c r="B693" i="1"/>
  <c r="F692" i="1"/>
  <c r="B692" i="1"/>
  <c r="B691" i="1"/>
  <c r="E690" i="1"/>
  <c r="B690" i="1"/>
  <c r="B689" i="1"/>
  <c r="B688" i="1"/>
  <c r="H685" i="1"/>
  <c r="G685" i="1"/>
  <c r="F685" i="1"/>
  <c r="E685" i="1"/>
  <c r="D685" i="1"/>
  <c r="H674" i="1"/>
  <c r="G674" i="1"/>
  <c r="F674" i="1"/>
  <c r="E674" i="1"/>
  <c r="D674" i="1"/>
  <c r="A19" i="8" a="1"/>
  <c r="A19" i="8" s="1"/>
  <c r="D584" i="1"/>
  <c r="B583" i="1"/>
  <c r="B582" i="1"/>
  <c r="B581" i="1"/>
  <c r="G580" i="1"/>
  <c r="B580" i="1"/>
  <c r="B579" i="1"/>
  <c r="F578" i="1"/>
  <c r="B578" i="1"/>
  <c r="B577" i="1"/>
  <c r="E576" i="1"/>
  <c r="B576" i="1"/>
  <c r="B575" i="1"/>
  <c r="B574" i="1"/>
  <c r="H571" i="1"/>
  <c r="G571" i="1"/>
  <c r="F571" i="1"/>
  <c r="E571" i="1"/>
  <c r="D571" i="1"/>
  <c r="H560" i="1"/>
  <c r="G560" i="1"/>
  <c r="F560" i="1"/>
  <c r="E560" i="1"/>
  <c r="D560" i="1"/>
  <c r="D556" i="1"/>
  <c r="D622" i="1"/>
  <c r="B621" i="1"/>
  <c r="B620" i="1"/>
  <c r="B619" i="1"/>
  <c r="G618" i="1"/>
  <c r="B618" i="1"/>
  <c r="B617" i="1"/>
  <c r="F616" i="1"/>
  <c r="B616" i="1"/>
  <c r="B615" i="1"/>
  <c r="E614" i="1"/>
  <c r="B614" i="1"/>
  <c r="B613" i="1"/>
  <c r="B612" i="1"/>
  <c r="H609" i="1"/>
  <c r="G609" i="1"/>
  <c r="F609" i="1"/>
  <c r="E609" i="1"/>
  <c r="D609" i="1"/>
  <c r="H598" i="1"/>
  <c r="G598" i="1"/>
  <c r="F598" i="1"/>
  <c r="E598" i="1"/>
  <c r="D598" i="1"/>
  <c r="E812" i="1" l="1"/>
  <c r="E974" i="1"/>
  <c r="D573" i="1"/>
  <c r="E573" i="1" s="1"/>
  <c r="E947" i="1"/>
  <c r="F947" i="1" s="1"/>
  <c r="F622" i="1"/>
  <c r="F964" i="1"/>
  <c r="F584" i="1"/>
  <c r="F698" i="1"/>
  <c r="F812" i="1"/>
  <c r="F1002" i="1"/>
  <c r="E991" i="1"/>
  <c r="E953" i="1"/>
  <c r="E936" i="1"/>
  <c r="E985" i="1"/>
  <c r="E942" i="1"/>
  <c r="E980" i="1"/>
  <c r="E698" i="1"/>
  <c r="A66" i="8"/>
  <c r="A58" i="8"/>
  <c r="A50" i="8"/>
  <c r="A42" i="8"/>
  <c r="A34" i="8"/>
  <c r="A26" i="8"/>
  <c r="A69" i="8"/>
  <c r="A61" i="8"/>
  <c r="A53" i="8"/>
  <c r="A45" i="8"/>
  <c r="A25" i="8"/>
  <c r="A68" i="8"/>
  <c r="A60" i="8"/>
  <c r="A52" i="8"/>
  <c r="A48" i="8"/>
  <c r="A44" i="8"/>
  <c r="A40" i="8"/>
  <c r="A36" i="8"/>
  <c r="A32" i="8"/>
  <c r="A28" i="8"/>
  <c r="A20" i="8"/>
  <c r="A70" i="8"/>
  <c r="A62" i="8"/>
  <c r="A54" i="8"/>
  <c r="A46" i="8"/>
  <c r="A38" i="8"/>
  <c r="A30" i="8"/>
  <c r="A22" i="8"/>
  <c r="A65" i="8"/>
  <c r="A57" i="8"/>
  <c r="A49" i="8"/>
  <c r="A41" i="8"/>
  <c r="A37" i="8"/>
  <c r="A33" i="8"/>
  <c r="A29" i="8"/>
  <c r="A21" i="8"/>
  <c r="A64" i="8"/>
  <c r="A56" i="8"/>
  <c r="A24" i="8"/>
  <c r="A67" i="8"/>
  <c r="A63" i="8"/>
  <c r="A59" i="8"/>
  <c r="A55" i="8"/>
  <c r="A51" i="8"/>
  <c r="A47" i="8"/>
  <c r="A43" i="8"/>
  <c r="A39" i="8"/>
  <c r="A35" i="8"/>
  <c r="A31" i="8"/>
  <c r="A27" i="8"/>
  <c r="A23" i="8"/>
  <c r="D567" i="1"/>
  <c r="E556" i="1"/>
  <c r="D562" i="1"/>
  <c r="E584" i="1"/>
  <c r="E622" i="1"/>
  <c r="B1343" i="1"/>
  <c r="B1342" i="1"/>
  <c r="B1341" i="1"/>
  <c r="G1340" i="1"/>
  <c r="B1340" i="1"/>
  <c r="B1339" i="1"/>
  <c r="F1338" i="1"/>
  <c r="B1338" i="1"/>
  <c r="B1337" i="1"/>
  <c r="B1336" i="1"/>
  <c r="B1335" i="1"/>
  <c r="B1334" i="1"/>
  <c r="D1333" i="1"/>
  <c r="H1331" i="1"/>
  <c r="G1331" i="1"/>
  <c r="F1331" i="1"/>
  <c r="E1331" i="1"/>
  <c r="D1331" i="1"/>
  <c r="D1327" i="1"/>
  <c r="D1322" i="1"/>
  <c r="H1320" i="1"/>
  <c r="G1320" i="1"/>
  <c r="F1320" i="1"/>
  <c r="E1320" i="1"/>
  <c r="D1320" i="1"/>
  <c r="D1316" i="1"/>
  <c r="F974" i="1" l="1"/>
  <c r="E1333" i="1"/>
  <c r="F985" i="1"/>
  <c r="E1327" i="1"/>
  <c r="F1344" i="1"/>
  <c r="F936" i="1"/>
  <c r="F991" i="1"/>
  <c r="F953" i="1"/>
  <c r="F942" i="1"/>
  <c r="G947" i="1"/>
  <c r="F980" i="1"/>
  <c r="F556" i="1"/>
  <c r="E567" i="1"/>
  <c r="E562" i="1"/>
  <c r="F573" i="1"/>
  <c r="E1316" i="1"/>
  <c r="E1322" i="1"/>
  <c r="A59" i="1"/>
  <c r="G974" i="1" l="1"/>
  <c r="H974" i="1" s="1"/>
  <c r="F1333" i="1"/>
  <c r="G1333" i="1" s="1"/>
  <c r="F1327" i="1"/>
  <c r="G985" i="1"/>
  <c r="H947" i="1"/>
  <c r="G936" i="1"/>
  <c r="G991" i="1"/>
  <c r="G953" i="1"/>
  <c r="G942" i="1"/>
  <c r="G980" i="1"/>
  <c r="G573" i="1"/>
  <c r="F562" i="1"/>
  <c r="G556" i="1"/>
  <c r="F567" i="1"/>
  <c r="F1316" i="1"/>
  <c r="F1322" i="1"/>
  <c r="C59" i="1"/>
  <c r="C93" i="1"/>
  <c r="A97" i="1"/>
  <c r="G1327" i="1" l="1"/>
  <c r="H1327" i="1" s="1"/>
  <c r="H985" i="1"/>
  <c r="H953" i="1"/>
  <c r="H980" i="1"/>
  <c r="H573" i="1"/>
  <c r="H991" i="1"/>
  <c r="H936" i="1"/>
  <c r="H1333" i="1"/>
  <c r="H556" i="1"/>
  <c r="H942" i="1"/>
  <c r="C60" i="1"/>
  <c r="G1316" i="1"/>
  <c r="G567" i="1"/>
  <c r="G562" i="1"/>
  <c r="F69" i="1"/>
  <c r="D69" i="1"/>
  <c r="F68" i="1"/>
  <c r="D68" i="1"/>
  <c r="G69" i="1"/>
  <c r="G68" i="1"/>
  <c r="E69" i="1"/>
  <c r="G1322" i="1"/>
  <c r="H68" i="1"/>
  <c r="H69" i="1"/>
  <c r="C97" i="1"/>
  <c r="C131" i="1"/>
  <c r="E68" i="1"/>
  <c r="A135" i="1"/>
  <c r="H1316" i="1" l="1"/>
  <c r="H1322" i="1"/>
  <c r="H562" i="1"/>
  <c r="H567" i="1"/>
  <c r="C169" i="1"/>
  <c r="H107" i="1"/>
  <c r="E106" i="1"/>
  <c r="C98" i="1"/>
  <c r="F107" i="1"/>
  <c r="F106" i="1"/>
  <c r="G107" i="1"/>
  <c r="D106" i="1"/>
  <c r="H106" i="1"/>
  <c r="D107" i="1"/>
  <c r="G106" i="1"/>
  <c r="E107" i="1"/>
  <c r="C135" i="1"/>
  <c r="A173" i="1"/>
  <c r="C207" i="1" l="1"/>
  <c r="B62" i="1"/>
  <c r="H145" i="1"/>
  <c r="D145" i="1"/>
  <c r="G145" i="1"/>
  <c r="F145" i="1"/>
  <c r="E145" i="1"/>
  <c r="H144" i="1"/>
  <c r="D144" i="1"/>
  <c r="G144" i="1"/>
  <c r="F144" i="1"/>
  <c r="E144" i="1"/>
  <c r="C136" i="1"/>
  <c r="C173" i="1"/>
  <c r="A211" i="1"/>
  <c r="B100" i="1" l="1"/>
  <c r="C245" i="1"/>
  <c r="H183" i="1"/>
  <c r="D183" i="1"/>
  <c r="G183" i="1"/>
  <c r="F183" i="1"/>
  <c r="E183" i="1"/>
  <c r="H182" i="1"/>
  <c r="D182" i="1"/>
  <c r="G182" i="1"/>
  <c r="F182" i="1"/>
  <c r="E182" i="1"/>
  <c r="C174" i="1"/>
  <c r="C211" i="1"/>
  <c r="A249" i="1"/>
  <c r="B138" i="1" l="1"/>
  <c r="C283" i="1"/>
  <c r="H221" i="1"/>
  <c r="D221" i="1"/>
  <c r="G221" i="1"/>
  <c r="F221" i="1"/>
  <c r="E221" i="1"/>
  <c r="C212" i="1"/>
  <c r="C249" i="1"/>
  <c r="B176" i="1" l="1"/>
  <c r="G259" i="1"/>
  <c r="E259" i="1"/>
  <c r="D259" i="1"/>
  <c r="F259" i="1"/>
  <c r="H259" i="1"/>
  <c r="C250" i="1"/>
  <c r="A288" i="1"/>
  <c r="B252" i="1" l="1"/>
  <c r="B214" i="1"/>
  <c r="C322" i="1"/>
  <c r="A326" i="1"/>
  <c r="C288" i="1"/>
  <c r="C360" i="1" l="1"/>
  <c r="C326" i="1"/>
  <c r="H298" i="1"/>
  <c r="D298" i="1"/>
  <c r="G298" i="1"/>
  <c r="F298" i="1"/>
  <c r="E298" i="1"/>
  <c r="C289" i="1"/>
  <c r="H297" i="1"/>
  <c r="D297" i="1"/>
  <c r="G297" i="1"/>
  <c r="F297" i="1"/>
  <c r="E297" i="1"/>
  <c r="A364" i="1" l="1"/>
  <c r="E336" i="1"/>
  <c r="F335" i="1"/>
  <c r="D336" i="1"/>
  <c r="C327" i="1"/>
  <c r="H336" i="1"/>
  <c r="D335" i="1"/>
  <c r="G336" i="1"/>
  <c r="H335" i="1"/>
  <c r="F336" i="1"/>
  <c r="G335" i="1"/>
  <c r="E335" i="1"/>
  <c r="C398" i="1" l="1"/>
  <c r="A402" i="1"/>
  <c r="C364" i="1"/>
  <c r="D374" i="1" s="1"/>
  <c r="B291" i="1"/>
  <c r="E337" i="1"/>
  <c r="H337" i="1"/>
  <c r="G337" i="1"/>
  <c r="D337" i="1"/>
  <c r="F337" i="1"/>
  <c r="G360" i="1" l="1"/>
  <c r="H360" i="1"/>
  <c r="C436" i="1"/>
  <c r="A440" i="1"/>
  <c r="C402" i="1"/>
  <c r="G412" i="1" s="1"/>
  <c r="E360" i="1"/>
  <c r="D360" i="1"/>
  <c r="E374" i="1"/>
  <c r="F374" i="1"/>
  <c r="H374" i="1"/>
  <c r="G374" i="1"/>
  <c r="C365" i="1"/>
  <c r="B329" i="1" s="1"/>
  <c r="F360" i="1"/>
  <c r="C474" i="1" l="1"/>
  <c r="A478" i="1"/>
  <c r="C440" i="1"/>
  <c r="H450" i="1" s="1"/>
  <c r="H412" i="1"/>
  <c r="D412" i="1"/>
  <c r="C403" i="1"/>
  <c r="E412" i="1"/>
  <c r="F412" i="1"/>
  <c r="B367" i="1" l="1"/>
  <c r="C512" i="1"/>
  <c r="A516" i="1"/>
  <c r="C550" i="1" s="1"/>
  <c r="G450" i="1"/>
  <c r="C478" i="1"/>
  <c r="E487" i="1" s="1"/>
  <c r="F450" i="1"/>
  <c r="D450" i="1"/>
  <c r="C441" i="1"/>
  <c r="E450" i="1"/>
  <c r="B405" i="1" l="1"/>
  <c r="A554" i="1"/>
  <c r="C516" i="1"/>
  <c r="H526" i="1" s="1"/>
  <c r="C479" i="1"/>
  <c r="H488" i="1"/>
  <c r="G487" i="1"/>
  <c r="F487" i="1"/>
  <c r="D487" i="1"/>
  <c r="D488" i="1"/>
  <c r="E488" i="1"/>
  <c r="H487" i="1"/>
  <c r="G488" i="1"/>
  <c r="F488" i="1"/>
  <c r="D525" i="1" l="1"/>
  <c r="E525" i="1"/>
  <c r="D526" i="1"/>
  <c r="H525" i="1"/>
  <c r="C517" i="1"/>
  <c r="B481" i="1" s="1"/>
  <c r="G526" i="1"/>
  <c r="B443" i="1"/>
  <c r="F525" i="1"/>
  <c r="F526" i="1"/>
  <c r="G525" i="1"/>
  <c r="E526" i="1"/>
  <c r="A592" i="1"/>
  <c r="C588" i="1"/>
  <c r="C554" i="1"/>
  <c r="H563" i="1" l="1"/>
  <c r="D563" i="1"/>
  <c r="E563" i="1"/>
  <c r="G564" i="1"/>
  <c r="G563" i="1"/>
  <c r="E564" i="1"/>
  <c r="C555" i="1"/>
  <c r="H564" i="1"/>
  <c r="D564" i="1"/>
  <c r="F564" i="1"/>
  <c r="F563" i="1"/>
  <c r="A630" i="1"/>
  <c r="C592" i="1"/>
  <c r="C626" i="1"/>
  <c r="E565" i="1" l="1"/>
  <c r="B519" i="1"/>
  <c r="D565" i="1"/>
  <c r="D601" i="1"/>
  <c r="D602" i="1"/>
  <c r="E602" i="1"/>
  <c r="H602" i="1"/>
  <c r="F602" i="1"/>
  <c r="E601" i="1"/>
  <c r="G602" i="1"/>
  <c r="C593" i="1"/>
  <c r="H601" i="1"/>
  <c r="F601" i="1"/>
  <c r="G601" i="1"/>
  <c r="G565" i="1"/>
  <c r="H565" i="1"/>
  <c r="F565" i="1"/>
  <c r="A668" i="1"/>
  <c r="C664" i="1"/>
  <c r="C630" i="1"/>
  <c r="G698" i="1"/>
  <c r="H696" i="1"/>
  <c r="H698" i="1" l="1"/>
  <c r="G582" i="1"/>
  <c r="G584" i="1" s="1"/>
  <c r="F588" i="1"/>
  <c r="D588" i="1"/>
  <c r="E588" i="1"/>
  <c r="B557" i="1"/>
  <c r="G603" i="1"/>
  <c r="F603" i="1"/>
  <c r="E603" i="1"/>
  <c r="E639" i="1"/>
  <c r="F640" i="1"/>
  <c r="C631" i="1"/>
  <c r="G640" i="1"/>
  <c r="G639" i="1"/>
  <c r="H639" i="1"/>
  <c r="D640" i="1"/>
  <c r="F639" i="1"/>
  <c r="H640" i="1"/>
  <c r="E640" i="1"/>
  <c r="D639" i="1"/>
  <c r="A706" i="1"/>
  <c r="C702" i="1"/>
  <c r="C668" i="1"/>
  <c r="H603" i="1"/>
  <c r="D603" i="1"/>
  <c r="H582" i="1" l="1"/>
  <c r="H584" i="1" s="1"/>
  <c r="H588" i="1" s="1"/>
  <c r="G620" i="1"/>
  <c r="G622" i="1" s="1"/>
  <c r="E626" i="1"/>
  <c r="D626" i="1"/>
  <c r="F626" i="1"/>
  <c r="B595" i="1"/>
  <c r="C740" i="1"/>
  <c r="C706" i="1"/>
  <c r="A744" i="1"/>
  <c r="A782" i="1" s="1"/>
  <c r="C669" i="1"/>
  <c r="E678" i="1"/>
  <c r="G678" i="1"/>
  <c r="E677" i="1"/>
  <c r="H678" i="1"/>
  <c r="F678" i="1"/>
  <c r="F677" i="1"/>
  <c r="H677" i="1"/>
  <c r="D677" i="1"/>
  <c r="G677" i="1"/>
  <c r="D678" i="1"/>
  <c r="G588" i="1"/>
  <c r="H620" i="1" l="1"/>
  <c r="B633" i="1"/>
  <c r="D679" i="1"/>
  <c r="C782" i="1"/>
  <c r="C816" i="1"/>
  <c r="G679" i="1"/>
  <c r="C707" i="1"/>
  <c r="G715" i="1"/>
  <c r="D715" i="1"/>
  <c r="F715" i="1"/>
  <c r="E715" i="1"/>
  <c r="H715" i="1"/>
  <c r="H679" i="1"/>
  <c r="E679" i="1"/>
  <c r="C778" i="1"/>
  <c r="C744" i="1"/>
  <c r="G626" i="1"/>
  <c r="F679" i="1"/>
  <c r="A820" i="1"/>
  <c r="G812" i="1"/>
  <c r="H622" i="1" l="1"/>
  <c r="H702" i="1"/>
  <c r="G702" i="1"/>
  <c r="D702" i="1"/>
  <c r="F702" i="1"/>
  <c r="E702" i="1"/>
  <c r="B671" i="1"/>
  <c r="G791" i="1"/>
  <c r="G792" i="1"/>
  <c r="D792" i="1"/>
  <c r="F791" i="1"/>
  <c r="C783" i="1"/>
  <c r="E792" i="1"/>
  <c r="F792" i="1"/>
  <c r="H792" i="1"/>
  <c r="H791" i="1"/>
  <c r="D791" i="1"/>
  <c r="E791" i="1"/>
  <c r="E753" i="1"/>
  <c r="G753" i="1"/>
  <c r="C745" i="1"/>
  <c r="H753" i="1"/>
  <c r="F753" i="1"/>
  <c r="D753" i="1"/>
  <c r="C854" i="1"/>
  <c r="C820" i="1"/>
  <c r="A858" i="1"/>
  <c r="A896" i="1" s="1"/>
  <c r="H626" i="1" l="1"/>
  <c r="B709" i="1"/>
  <c r="E793" i="1"/>
  <c r="F793" i="1"/>
  <c r="D793" i="1"/>
  <c r="A934" i="1"/>
  <c r="C930" i="1"/>
  <c r="C896" i="1"/>
  <c r="C892" i="1"/>
  <c r="C858" i="1"/>
  <c r="H829" i="1"/>
  <c r="F829" i="1"/>
  <c r="G829" i="1"/>
  <c r="E829" i="1"/>
  <c r="C821" i="1"/>
  <c r="D829" i="1"/>
  <c r="H793" i="1"/>
  <c r="B747" i="1"/>
  <c r="G793" i="1"/>
  <c r="E816" i="1" l="1"/>
  <c r="F816" i="1"/>
  <c r="D816" i="1"/>
  <c r="B785" i="1"/>
  <c r="G906" i="1"/>
  <c r="D906" i="1"/>
  <c r="C897" i="1"/>
  <c r="D905" i="1"/>
  <c r="F906" i="1"/>
  <c r="G905" i="1"/>
  <c r="E906" i="1"/>
  <c r="E905" i="1"/>
  <c r="F905" i="1"/>
  <c r="H905" i="1"/>
  <c r="H906" i="1"/>
  <c r="E867" i="1"/>
  <c r="D868" i="1"/>
  <c r="H868" i="1"/>
  <c r="C859" i="1"/>
  <c r="G868" i="1"/>
  <c r="F867" i="1"/>
  <c r="E868" i="1"/>
  <c r="G867" i="1"/>
  <c r="H867" i="1"/>
  <c r="F868" i="1"/>
  <c r="D867" i="1"/>
  <c r="H810" i="1"/>
  <c r="G816" i="1"/>
  <c r="C934" i="1"/>
  <c r="C968" i="1"/>
  <c r="A972" i="1"/>
  <c r="H812" i="1" l="1"/>
  <c r="B823" i="1"/>
  <c r="B861" i="1"/>
  <c r="C972" i="1"/>
  <c r="C1006" i="1"/>
  <c r="G944" i="1"/>
  <c r="H943" i="1"/>
  <c r="G943" i="1"/>
  <c r="F944" i="1"/>
  <c r="D943" i="1"/>
  <c r="F943" i="1"/>
  <c r="E943" i="1"/>
  <c r="D944" i="1"/>
  <c r="H944" i="1"/>
  <c r="C935" i="1"/>
  <c r="E944" i="1"/>
  <c r="A1010" i="1"/>
  <c r="H816" i="1" l="1"/>
  <c r="B899" i="1"/>
  <c r="H945" i="1"/>
  <c r="D945" i="1"/>
  <c r="C1010" i="1"/>
  <c r="C1044" i="1"/>
  <c r="C973" i="1"/>
  <c r="F982" i="1"/>
  <c r="G981" i="1"/>
  <c r="F981" i="1"/>
  <c r="G982" i="1"/>
  <c r="H981" i="1"/>
  <c r="E981" i="1"/>
  <c r="E982" i="1"/>
  <c r="D981" i="1"/>
  <c r="H982" i="1"/>
  <c r="D982" i="1"/>
  <c r="F945" i="1"/>
  <c r="E945" i="1"/>
  <c r="G945" i="1"/>
  <c r="A1048" i="1"/>
  <c r="D956" i="1" l="1"/>
  <c r="F968" i="1"/>
  <c r="E983" i="1"/>
  <c r="B937" i="1"/>
  <c r="G962" i="1"/>
  <c r="H983" i="1"/>
  <c r="D983" i="1"/>
  <c r="G983" i="1"/>
  <c r="C1048" i="1"/>
  <c r="C1082" i="1"/>
  <c r="F983" i="1"/>
  <c r="A1086" i="1"/>
  <c r="G1020" i="1"/>
  <c r="H1020" i="1"/>
  <c r="F1020" i="1"/>
  <c r="H1019" i="1"/>
  <c r="D1020" i="1"/>
  <c r="E1020" i="1"/>
  <c r="C1011" i="1"/>
  <c r="E1019" i="1"/>
  <c r="G1019" i="1"/>
  <c r="F1019" i="1"/>
  <c r="D1019" i="1"/>
  <c r="D964" i="1" l="1"/>
  <c r="D968" i="1" s="1"/>
  <c r="E956" i="1"/>
  <c r="F1006" i="1"/>
  <c r="B975" i="1"/>
  <c r="G1000" i="1"/>
  <c r="C1086" i="1"/>
  <c r="C1120" i="1"/>
  <c r="A1124" i="1"/>
  <c r="G964" i="1"/>
  <c r="H962" i="1"/>
  <c r="H1058" i="1"/>
  <c r="F1057" i="1"/>
  <c r="D1057" i="1"/>
  <c r="F1058" i="1"/>
  <c r="D1058" i="1"/>
  <c r="H1057" i="1"/>
  <c r="G1058" i="1"/>
  <c r="G1057" i="1"/>
  <c r="C1049" i="1"/>
  <c r="E1058" i="1"/>
  <c r="E1057" i="1"/>
  <c r="D994" i="1"/>
  <c r="D187" i="1"/>
  <c r="E149" i="1"/>
  <c r="F187" i="1"/>
  <c r="E187" i="1"/>
  <c r="F111" i="1"/>
  <c r="E111" i="1"/>
  <c r="D111" i="1"/>
  <c r="D378" i="1"/>
  <c r="G378" i="1"/>
  <c r="F378" i="1"/>
  <c r="H964" i="1" l="1"/>
  <c r="E964" i="1"/>
  <c r="B1013" i="1"/>
  <c r="G968" i="1"/>
  <c r="D1096" i="1"/>
  <c r="H1096" i="1"/>
  <c r="F1096" i="1"/>
  <c r="D1095" i="1"/>
  <c r="G1095" i="1"/>
  <c r="F1095" i="1"/>
  <c r="C1087" i="1"/>
  <c r="E1096" i="1"/>
  <c r="G1096" i="1"/>
  <c r="E1095" i="1"/>
  <c r="H1095" i="1"/>
  <c r="E994" i="1"/>
  <c r="D1002" i="1"/>
  <c r="C1124" i="1"/>
  <c r="C1158" i="1"/>
  <c r="A1162" i="1"/>
  <c r="H1000" i="1"/>
  <c r="G1002" i="1"/>
  <c r="H968" i="1" l="1"/>
  <c r="H1002" i="1"/>
  <c r="D1006" i="1"/>
  <c r="E1002" i="1"/>
  <c r="E968" i="1"/>
  <c r="B1051" i="1"/>
  <c r="G1006" i="1"/>
  <c r="A1200" i="1"/>
  <c r="A1238" i="1" s="1"/>
  <c r="C1162" i="1"/>
  <c r="C1196" i="1"/>
  <c r="G1133" i="1"/>
  <c r="E1133" i="1"/>
  <c r="E1134" i="1"/>
  <c r="F1134" i="1"/>
  <c r="F1133" i="1"/>
  <c r="H1133" i="1"/>
  <c r="H1134" i="1"/>
  <c r="C1125" i="1"/>
  <c r="D1133" i="1"/>
  <c r="G1134" i="1"/>
  <c r="D1134" i="1"/>
  <c r="H1006" i="1" l="1"/>
  <c r="E1006" i="1"/>
  <c r="B1089" i="1"/>
  <c r="C1238" i="1"/>
  <c r="C1272" i="1"/>
  <c r="A1276" i="1"/>
  <c r="G1171" i="1"/>
  <c r="D1172" i="1"/>
  <c r="F1171" i="1"/>
  <c r="D1171" i="1"/>
  <c r="C1163" i="1"/>
  <c r="E1172" i="1"/>
  <c r="H1171" i="1"/>
  <c r="H1172" i="1"/>
  <c r="G1172" i="1"/>
  <c r="F1172" i="1"/>
  <c r="E1171" i="1"/>
  <c r="C1200" i="1"/>
  <c r="C1234" i="1"/>
  <c r="B1127" i="1" l="1"/>
  <c r="E1173" i="1"/>
  <c r="H1173" i="1"/>
  <c r="F1173" i="1"/>
  <c r="C1310" i="1"/>
  <c r="C1276" i="1"/>
  <c r="G1173" i="1"/>
  <c r="A1314" i="1"/>
  <c r="A1352" i="1" s="1"/>
  <c r="C1201" i="1"/>
  <c r="F1210" i="1"/>
  <c r="G1209" i="1"/>
  <c r="H1210" i="1"/>
  <c r="D1210" i="1"/>
  <c r="D1209" i="1"/>
  <c r="F1209" i="1"/>
  <c r="E1209" i="1"/>
  <c r="E1210" i="1"/>
  <c r="G1210" i="1"/>
  <c r="H1209" i="1"/>
  <c r="D1173" i="1"/>
  <c r="H1247" i="1"/>
  <c r="E1247" i="1"/>
  <c r="E1248" i="1"/>
  <c r="F1248" i="1"/>
  <c r="H1248" i="1"/>
  <c r="F1247" i="1"/>
  <c r="C1239" i="1"/>
  <c r="G1248" i="1"/>
  <c r="D1247" i="1"/>
  <c r="G1247" i="1"/>
  <c r="D1248" i="1"/>
  <c r="H1196" i="1" l="1"/>
  <c r="G1196" i="1"/>
  <c r="F1196" i="1"/>
  <c r="B1165" i="1"/>
  <c r="B1203" i="1"/>
  <c r="D1184" i="1"/>
  <c r="C1386" i="1"/>
  <c r="C1352" i="1"/>
  <c r="C1348" i="1"/>
  <c r="C1314" i="1"/>
  <c r="A1390" i="1"/>
  <c r="G1286" i="1"/>
  <c r="F1286" i="1"/>
  <c r="C1277" i="1"/>
  <c r="E1286" i="1"/>
  <c r="F1285" i="1"/>
  <c r="D1286" i="1"/>
  <c r="H1286" i="1"/>
  <c r="D1285" i="1"/>
  <c r="E1285" i="1"/>
  <c r="G1285" i="1"/>
  <c r="H1285" i="1"/>
  <c r="B1241" i="1" l="1"/>
  <c r="C1424" i="1"/>
  <c r="C1390" i="1"/>
  <c r="A1428" i="1"/>
  <c r="A1466" i="1" s="1"/>
  <c r="D1361" i="1"/>
  <c r="G1362" i="1"/>
  <c r="H1362" i="1"/>
  <c r="G1361" i="1"/>
  <c r="H1361" i="1"/>
  <c r="E1362" i="1"/>
  <c r="C1353" i="1"/>
  <c r="D1362" i="1"/>
  <c r="F1362" i="1"/>
  <c r="F1361" i="1"/>
  <c r="E1361" i="1"/>
  <c r="E1184" i="1"/>
  <c r="D1192" i="1"/>
  <c r="F1323" i="1"/>
  <c r="E1323" i="1"/>
  <c r="D1323" i="1"/>
  <c r="H1323" i="1"/>
  <c r="G1324" i="1"/>
  <c r="F1324" i="1"/>
  <c r="C1315" i="1"/>
  <c r="G1323" i="1"/>
  <c r="D1324" i="1"/>
  <c r="H1324" i="1"/>
  <c r="E1324" i="1"/>
  <c r="E1192" i="1" l="1"/>
  <c r="D1196" i="1"/>
  <c r="B1279" i="1"/>
  <c r="H1325" i="1"/>
  <c r="F1325" i="1"/>
  <c r="C1500" i="1"/>
  <c r="C1466" i="1"/>
  <c r="G1325" i="1"/>
  <c r="D1399" i="1"/>
  <c r="F1400" i="1"/>
  <c r="E1399" i="1"/>
  <c r="H1400" i="1"/>
  <c r="F1399" i="1"/>
  <c r="E1400" i="1"/>
  <c r="G1399" i="1"/>
  <c r="H1399" i="1"/>
  <c r="G1400" i="1"/>
  <c r="C1391" i="1"/>
  <c r="D1400" i="1"/>
  <c r="D1325" i="1"/>
  <c r="E1325" i="1"/>
  <c r="B1317" i="1"/>
  <c r="C1462" i="1"/>
  <c r="C1428" i="1"/>
  <c r="A1504" i="1"/>
  <c r="H1532" i="1"/>
  <c r="G1534" i="1"/>
  <c r="H1534" i="1" l="1"/>
  <c r="G1342" i="1"/>
  <c r="F1348" i="1"/>
  <c r="E1196" i="1"/>
  <c r="B1355" i="1"/>
  <c r="C1538" i="1"/>
  <c r="C1504" i="1"/>
  <c r="A1542" i="1"/>
  <c r="D1438" i="1"/>
  <c r="G1437" i="1"/>
  <c r="F1438" i="1"/>
  <c r="H1438" i="1"/>
  <c r="H1437" i="1"/>
  <c r="F1437" i="1"/>
  <c r="C1429" i="1"/>
  <c r="G1438" i="1"/>
  <c r="D1437" i="1"/>
  <c r="E1438" i="1"/>
  <c r="E1437" i="1"/>
  <c r="D1336" i="1"/>
  <c r="E1476" i="1"/>
  <c r="C1467" i="1"/>
  <c r="E1475" i="1"/>
  <c r="D1475" i="1"/>
  <c r="F1476" i="1"/>
  <c r="D1476" i="1"/>
  <c r="G1475" i="1"/>
  <c r="F1475" i="1"/>
  <c r="H1476" i="1"/>
  <c r="H1475" i="1"/>
  <c r="G1476" i="1"/>
  <c r="H1342" i="1" l="1"/>
  <c r="G1344" i="1"/>
  <c r="H1477" i="1"/>
  <c r="B1431" i="1"/>
  <c r="B1393" i="1"/>
  <c r="D1477" i="1"/>
  <c r="E1477" i="1"/>
  <c r="F1477" i="1"/>
  <c r="C1542" i="1"/>
  <c r="C1576" i="1"/>
  <c r="G1477" i="1"/>
  <c r="D1344" i="1"/>
  <c r="E1336" i="1"/>
  <c r="E1513" i="1"/>
  <c r="C1505" i="1"/>
  <c r="E1514" i="1"/>
  <c r="D1514" i="1"/>
  <c r="H1513" i="1"/>
  <c r="G1513" i="1"/>
  <c r="G1514" i="1"/>
  <c r="D1513" i="1"/>
  <c r="H1514" i="1"/>
  <c r="F1514" i="1"/>
  <c r="F1513" i="1"/>
  <c r="A1580" i="1"/>
  <c r="H1344" i="1" l="1"/>
  <c r="G1348" i="1"/>
  <c r="D1500" i="1"/>
  <c r="E1344" i="1"/>
  <c r="F1500" i="1"/>
  <c r="D1348" i="1"/>
  <c r="E1500" i="1"/>
  <c r="D1515" i="1"/>
  <c r="B1469" i="1"/>
  <c r="A1618" i="1"/>
  <c r="A1656" i="1" s="1"/>
  <c r="A1694" i="1" s="1"/>
  <c r="C1580" i="1"/>
  <c r="C1614" i="1"/>
  <c r="F1515" i="1"/>
  <c r="G1515" i="1"/>
  <c r="G1494" i="1"/>
  <c r="C1543" i="1"/>
  <c r="D1551" i="1"/>
  <c r="F1551" i="1"/>
  <c r="E1551" i="1"/>
  <c r="G1551" i="1"/>
  <c r="H1551" i="1"/>
  <c r="H1515" i="1"/>
  <c r="E1515" i="1"/>
  <c r="H1348" i="1" l="1"/>
  <c r="F1538" i="1"/>
  <c r="E1538" i="1"/>
  <c r="H1538" i="1"/>
  <c r="G1538" i="1"/>
  <c r="D1538" i="1"/>
  <c r="E1348" i="1"/>
  <c r="B1507" i="1"/>
  <c r="C1694" i="1"/>
  <c r="C1728" i="1"/>
  <c r="E1589" i="1"/>
  <c r="D1589" i="1"/>
  <c r="G1589" i="1"/>
  <c r="C1581" i="1"/>
  <c r="F1589" i="1"/>
  <c r="H1589" i="1"/>
  <c r="C1690" i="1"/>
  <c r="C1656" i="1"/>
  <c r="G1496" i="1"/>
  <c r="H1494" i="1"/>
  <c r="A1732" i="1"/>
  <c r="A1770" i="1" s="1"/>
  <c r="C1618" i="1"/>
  <c r="C1652" i="1"/>
  <c r="H1496" i="1" l="1"/>
  <c r="B1545" i="1"/>
  <c r="A1808" i="1"/>
  <c r="A1846" i="1" s="1"/>
  <c r="C1770" i="1"/>
  <c r="C1804" i="1"/>
  <c r="F1627" i="1"/>
  <c r="G1627" i="1"/>
  <c r="C1619" i="1"/>
  <c r="G1628" i="1"/>
  <c r="D1628" i="1"/>
  <c r="E1627" i="1"/>
  <c r="F1628" i="1"/>
  <c r="E1628" i="1"/>
  <c r="D1627" i="1"/>
  <c r="H1628" i="1"/>
  <c r="H1627" i="1"/>
  <c r="G1500" i="1"/>
  <c r="G1665" i="1"/>
  <c r="F1665" i="1"/>
  <c r="C1657" i="1"/>
  <c r="D1666" i="1"/>
  <c r="E1665" i="1"/>
  <c r="F1666" i="1"/>
  <c r="D1665" i="1"/>
  <c r="G1666" i="1"/>
  <c r="H1665" i="1"/>
  <c r="E1666" i="1"/>
  <c r="H1666" i="1"/>
  <c r="H1703" i="1"/>
  <c r="D1704" i="1"/>
  <c r="G1704" i="1"/>
  <c r="H1704" i="1"/>
  <c r="E1703" i="1"/>
  <c r="F1704" i="1"/>
  <c r="E1704" i="1"/>
  <c r="F1703" i="1"/>
  <c r="G1703" i="1"/>
  <c r="C1695" i="1"/>
  <c r="D1703" i="1"/>
  <c r="C1732" i="1"/>
  <c r="C1766" i="1"/>
  <c r="E294" i="1"/>
  <c r="E65" i="1"/>
  <c r="E378" i="1"/>
  <c r="H1500" i="1" l="1"/>
  <c r="D1629" i="1"/>
  <c r="B1583" i="1"/>
  <c r="B1621" i="1"/>
  <c r="H1742" i="1"/>
  <c r="D1742" i="1"/>
  <c r="E1741" i="1"/>
  <c r="E1742" i="1"/>
  <c r="G1741" i="1"/>
  <c r="H1741" i="1"/>
  <c r="G1742" i="1"/>
  <c r="C1733" i="1"/>
  <c r="F1742" i="1"/>
  <c r="D1741" i="1"/>
  <c r="F1741" i="1"/>
  <c r="A1884" i="1"/>
  <c r="C1846" i="1"/>
  <c r="C1880" i="1"/>
  <c r="H1629" i="1"/>
  <c r="E1780" i="1"/>
  <c r="F1779" i="1"/>
  <c r="G1780" i="1"/>
  <c r="D1780" i="1"/>
  <c r="G1779" i="1"/>
  <c r="H1780" i="1"/>
  <c r="H1779" i="1"/>
  <c r="F1780" i="1"/>
  <c r="E1779" i="1"/>
  <c r="D1779" i="1"/>
  <c r="C1771" i="1"/>
  <c r="F1629" i="1"/>
  <c r="B1659" i="1"/>
  <c r="E1629" i="1"/>
  <c r="G1629" i="1"/>
  <c r="C1842" i="1"/>
  <c r="C1808" i="1"/>
  <c r="G1890" i="1"/>
  <c r="H1890" i="1"/>
  <c r="G1852" i="1"/>
  <c r="H1852" i="1"/>
  <c r="G1814" i="1"/>
  <c r="H1814" i="1"/>
  <c r="G1776" i="1"/>
  <c r="H1776" i="1"/>
  <c r="G1738" i="1"/>
  <c r="H1738" i="1"/>
  <c r="G1700" i="1"/>
  <c r="H1700" i="1"/>
  <c r="G1662" i="1"/>
  <c r="H1662" i="1"/>
  <c r="G1586" i="1"/>
  <c r="H1586" i="1"/>
  <c r="H1590" i="1" l="1"/>
  <c r="D1640" i="1"/>
  <c r="E1640" i="1" s="1"/>
  <c r="F1652" i="1"/>
  <c r="B1697" i="1"/>
  <c r="D1818" i="1"/>
  <c r="G1818" i="1"/>
  <c r="C1809" i="1"/>
  <c r="H1817" i="1"/>
  <c r="F1817" i="1"/>
  <c r="G1817" i="1"/>
  <c r="E1817" i="1"/>
  <c r="D1817" i="1"/>
  <c r="F1818" i="1"/>
  <c r="E1818" i="1"/>
  <c r="H1818" i="1"/>
  <c r="C1884" i="1"/>
  <c r="C1918" i="1"/>
  <c r="G1646" i="1"/>
  <c r="B1735" i="1"/>
  <c r="H1855" i="1"/>
  <c r="G1855" i="1"/>
  <c r="E1855" i="1"/>
  <c r="E1856" i="1"/>
  <c r="G1856" i="1"/>
  <c r="H1856" i="1"/>
  <c r="D1855" i="1"/>
  <c r="F1855" i="1"/>
  <c r="F1856" i="1"/>
  <c r="D1856" i="1"/>
  <c r="C1847" i="1"/>
  <c r="G1590" i="1"/>
  <c r="C4" i="6"/>
  <c r="B1" i="1"/>
  <c r="A1" i="8"/>
  <c r="A5" i="8" a="1"/>
  <c r="A5" i="8" s="1"/>
  <c r="C18" i="8"/>
  <c r="D18" i="8" s="1"/>
  <c r="C4" i="8"/>
  <c r="D4" i="8" s="1"/>
  <c r="E1648" i="1" l="1"/>
  <c r="D1648" i="1"/>
  <c r="B1811" i="1"/>
  <c r="B1773" i="1"/>
  <c r="C1885" i="1"/>
  <c r="D1893" i="1"/>
  <c r="F1893" i="1"/>
  <c r="G1894" i="1"/>
  <c r="H1893" i="1"/>
  <c r="E1893" i="1"/>
  <c r="F1894" i="1"/>
  <c r="E1894" i="1"/>
  <c r="G1893" i="1"/>
  <c r="D1894" i="1"/>
  <c r="H1894" i="1"/>
  <c r="H1646" i="1"/>
  <c r="G1648" i="1"/>
  <c r="E4" i="8"/>
  <c r="E18" i="8"/>
  <c r="A12" i="8"/>
  <c r="A8" i="8"/>
  <c r="A11" i="8"/>
  <c r="A7" i="8"/>
  <c r="A10" i="8"/>
  <c r="A6" i="8"/>
  <c r="A13" i="8"/>
  <c r="A9" i="8"/>
  <c r="H1648" i="1" l="1"/>
  <c r="D1652" i="1"/>
  <c r="E1652" i="1"/>
  <c r="G1652" i="1"/>
  <c r="B1887" i="1"/>
  <c r="B1849" i="1"/>
  <c r="F18" i="8"/>
  <c r="F4" i="8"/>
  <c r="H1652" i="1" l="1"/>
  <c r="G4" i="8"/>
  <c r="G18" i="8"/>
  <c r="G1910" i="1" l="1"/>
  <c r="F1908" i="1"/>
  <c r="H1901" i="1"/>
  <c r="G1901" i="1"/>
  <c r="F1901" i="1"/>
  <c r="F1890" i="1"/>
  <c r="G1872" i="1"/>
  <c r="F1870" i="1"/>
  <c r="H1863" i="1"/>
  <c r="G1863" i="1"/>
  <c r="F1863" i="1"/>
  <c r="F1852" i="1"/>
  <c r="G1834" i="1"/>
  <c r="F1832" i="1"/>
  <c r="H1825" i="1"/>
  <c r="G1825" i="1"/>
  <c r="F1825" i="1"/>
  <c r="F1814" i="1"/>
  <c r="G1796" i="1"/>
  <c r="F1794" i="1"/>
  <c r="H1787" i="1"/>
  <c r="G1787" i="1"/>
  <c r="F1787" i="1"/>
  <c r="F1776" i="1"/>
  <c r="G1758" i="1"/>
  <c r="F1756" i="1"/>
  <c r="H1749" i="1"/>
  <c r="G1749" i="1"/>
  <c r="F1749" i="1"/>
  <c r="F1738" i="1"/>
  <c r="G1720" i="1"/>
  <c r="F1718" i="1"/>
  <c r="H1711" i="1"/>
  <c r="G1711" i="1"/>
  <c r="F1711" i="1"/>
  <c r="F1700" i="1"/>
  <c r="G1682" i="1"/>
  <c r="F1680" i="1"/>
  <c r="H1673" i="1"/>
  <c r="G1673" i="1"/>
  <c r="F1673" i="1"/>
  <c r="F1662" i="1"/>
  <c r="G1606" i="1"/>
  <c r="F1604" i="1"/>
  <c r="H1597" i="1"/>
  <c r="G1597" i="1"/>
  <c r="F1597" i="1"/>
  <c r="F1586" i="1"/>
  <c r="G1454" i="1"/>
  <c r="F1452" i="1"/>
  <c r="H1445" i="1"/>
  <c r="G1445" i="1"/>
  <c r="F1445" i="1"/>
  <c r="H1434" i="1"/>
  <c r="G1434" i="1"/>
  <c r="F1434" i="1"/>
  <c r="G1416" i="1"/>
  <c r="F1414" i="1"/>
  <c r="H1407" i="1"/>
  <c r="G1407" i="1"/>
  <c r="F1407" i="1"/>
  <c r="H1396" i="1"/>
  <c r="G1396" i="1"/>
  <c r="F1396" i="1"/>
  <c r="G1378" i="1"/>
  <c r="F1376" i="1"/>
  <c r="H1369" i="1"/>
  <c r="G1369" i="1"/>
  <c r="F1369" i="1"/>
  <c r="H1358" i="1"/>
  <c r="G1358" i="1"/>
  <c r="F1358" i="1"/>
  <c r="G1302" i="1"/>
  <c r="F1300" i="1"/>
  <c r="H1293" i="1"/>
  <c r="G1293" i="1"/>
  <c r="F1293" i="1"/>
  <c r="H1282" i="1"/>
  <c r="G1282" i="1"/>
  <c r="F1282" i="1"/>
  <c r="G1264" i="1"/>
  <c r="F1262" i="1"/>
  <c r="H1255" i="1"/>
  <c r="G1255" i="1"/>
  <c r="F1255" i="1"/>
  <c r="H1244" i="1"/>
  <c r="G1244" i="1"/>
  <c r="F1244" i="1"/>
  <c r="G1226" i="1"/>
  <c r="F1224" i="1"/>
  <c r="H1217" i="1"/>
  <c r="G1217" i="1"/>
  <c r="F1217" i="1"/>
  <c r="H1206" i="1"/>
  <c r="G1206" i="1"/>
  <c r="F1206" i="1"/>
  <c r="G1150" i="1"/>
  <c r="F1148" i="1"/>
  <c r="H1141" i="1"/>
  <c r="G1141" i="1"/>
  <c r="F1141" i="1"/>
  <c r="H1130" i="1"/>
  <c r="G1130" i="1"/>
  <c r="F1130" i="1"/>
  <c r="G1112" i="1"/>
  <c r="F1110" i="1"/>
  <c r="H1103" i="1"/>
  <c r="G1103" i="1"/>
  <c r="F1103" i="1"/>
  <c r="H1092" i="1"/>
  <c r="G1092" i="1"/>
  <c r="F1092" i="1"/>
  <c r="G1074" i="1"/>
  <c r="F1072" i="1"/>
  <c r="H1065" i="1"/>
  <c r="G1065" i="1"/>
  <c r="F1065" i="1"/>
  <c r="H1054" i="1"/>
  <c r="G1054" i="1"/>
  <c r="F1054" i="1"/>
  <c r="G1036" i="1"/>
  <c r="F1034" i="1"/>
  <c r="H1027" i="1"/>
  <c r="G1027" i="1"/>
  <c r="F1027" i="1"/>
  <c r="H1016" i="1"/>
  <c r="G1016" i="1"/>
  <c r="F1016" i="1"/>
  <c r="G656" i="1"/>
  <c r="F654" i="1"/>
  <c r="H647" i="1"/>
  <c r="G647" i="1"/>
  <c r="F647" i="1"/>
  <c r="H636" i="1"/>
  <c r="G636" i="1"/>
  <c r="F636" i="1"/>
  <c r="G457" i="1"/>
  <c r="H457" i="1"/>
  <c r="H446" i="1"/>
  <c r="G446" i="1"/>
  <c r="F446" i="1"/>
  <c r="H522" i="1"/>
  <c r="G522" i="1"/>
  <c r="F522" i="1"/>
  <c r="H484" i="1"/>
  <c r="G484" i="1"/>
  <c r="F484" i="1"/>
  <c r="H864" i="1"/>
  <c r="G864" i="1"/>
  <c r="F864" i="1"/>
  <c r="H712" i="1"/>
  <c r="G712" i="1"/>
  <c r="F712" i="1"/>
  <c r="H750" i="1"/>
  <c r="G750" i="1"/>
  <c r="F750" i="1"/>
  <c r="H826" i="1"/>
  <c r="G826" i="1"/>
  <c r="F826" i="1"/>
  <c r="H1548" i="1"/>
  <c r="G1548" i="1"/>
  <c r="F1548" i="1"/>
  <c r="H902" i="1"/>
  <c r="G902" i="1"/>
  <c r="F902" i="1"/>
  <c r="B1913" i="1"/>
  <c r="B1912" i="1"/>
  <c r="B1911" i="1"/>
  <c r="B1910" i="1"/>
  <c r="B1909" i="1"/>
  <c r="B1908" i="1"/>
  <c r="B1907" i="1"/>
  <c r="B1906" i="1"/>
  <c r="B1905" i="1"/>
  <c r="B1904" i="1"/>
  <c r="B1875" i="1"/>
  <c r="B1874" i="1"/>
  <c r="B1873" i="1"/>
  <c r="B1872" i="1"/>
  <c r="B1871" i="1"/>
  <c r="B1870" i="1"/>
  <c r="B1869" i="1"/>
  <c r="B1868" i="1"/>
  <c r="B1867" i="1"/>
  <c r="B1866" i="1"/>
  <c r="B1837" i="1"/>
  <c r="B1836" i="1"/>
  <c r="B1835" i="1"/>
  <c r="B1834" i="1"/>
  <c r="B1833" i="1"/>
  <c r="B1832" i="1"/>
  <c r="B1831" i="1"/>
  <c r="B1830" i="1"/>
  <c r="B1829" i="1"/>
  <c r="B1828" i="1"/>
  <c r="B1799" i="1"/>
  <c r="B1798" i="1"/>
  <c r="B1797" i="1"/>
  <c r="B1796" i="1"/>
  <c r="B1795" i="1"/>
  <c r="B1794" i="1"/>
  <c r="B1793" i="1"/>
  <c r="B1792" i="1"/>
  <c r="B1791" i="1"/>
  <c r="B1790" i="1"/>
  <c r="B1761" i="1"/>
  <c r="B1760" i="1"/>
  <c r="B1759" i="1"/>
  <c r="B1758" i="1"/>
  <c r="B1757" i="1"/>
  <c r="B1756" i="1"/>
  <c r="B1755" i="1"/>
  <c r="B1754" i="1"/>
  <c r="B1753" i="1"/>
  <c r="B1752" i="1"/>
  <c r="B1723" i="1"/>
  <c r="B1722" i="1"/>
  <c r="B1721" i="1"/>
  <c r="B1720" i="1"/>
  <c r="B1719" i="1"/>
  <c r="B1718" i="1"/>
  <c r="B1717" i="1"/>
  <c r="B1716" i="1"/>
  <c r="B1715" i="1"/>
  <c r="B1714" i="1"/>
  <c r="B1685" i="1"/>
  <c r="B1684" i="1"/>
  <c r="B1683" i="1"/>
  <c r="B1682" i="1"/>
  <c r="B1681" i="1"/>
  <c r="B1680" i="1"/>
  <c r="B1679" i="1"/>
  <c r="B1678" i="1"/>
  <c r="B1677" i="1"/>
  <c r="B1676" i="1"/>
  <c r="B1609" i="1"/>
  <c r="B1608" i="1"/>
  <c r="B1607" i="1"/>
  <c r="B1606" i="1"/>
  <c r="B1605" i="1"/>
  <c r="B1604" i="1"/>
  <c r="B1603" i="1"/>
  <c r="B1602" i="1"/>
  <c r="B1601" i="1"/>
  <c r="B1600" i="1"/>
  <c r="B1457" i="1"/>
  <c r="B1456" i="1"/>
  <c r="B1455" i="1"/>
  <c r="B1454" i="1"/>
  <c r="B1453" i="1"/>
  <c r="B1452" i="1"/>
  <c r="B1451" i="1"/>
  <c r="B1450" i="1"/>
  <c r="B1449" i="1"/>
  <c r="B1448" i="1"/>
  <c r="B1419" i="1"/>
  <c r="B1418" i="1"/>
  <c r="B1417" i="1"/>
  <c r="B1416" i="1"/>
  <c r="B1415" i="1"/>
  <c r="B1414" i="1"/>
  <c r="B1413" i="1"/>
  <c r="B1412" i="1"/>
  <c r="B1411" i="1"/>
  <c r="B1410" i="1"/>
  <c r="B1381" i="1"/>
  <c r="B1380" i="1"/>
  <c r="B1379" i="1"/>
  <c r="B1378" i="1"/>
  <c r="B1377" i="1"/>
  <c r="B1376" i="1"/>
  <c r="B1375" i="1"/>
  <c r="B1374" i="1"/>
  <c r="B1373" i="1"/>
  <c r="B1372" i="1"/>
  <c r="B1305" i="1"/>
  <c r="B1304" i="1"/>
  <c r="B1303" i="1"/>
  <c r="B1302" i="1"/>
  <c r="B1301" i="1"/>
  <c r="B1300" i="1"/>
  <c r="B1299" i="1"/>
  <c r="B1298" i="1"/>
  <c r="B1297" i="1"/>
  <c r="B1296" i="1"/>
  <c r="B1267" i="1"/>
  <c r="B1266" i="1"/>
  <c r="B1265" i="1"/>
  <c r="B1264" i="1"/>
  <c r="B1263" i="1"/>
  <c r="B1262" i="1"/>
  <c r="B1261" i="1"/>
  <c r="B1260" i="1"/>
  <c r="B1259" i="1"/>
  <c r="B1258" i="1"/>
  <c r="B1229" i="1"/>
  <c r="B1228" i="1"/>
  <c r="B1227" i="1"/>
  <c r="B1226" i="1"/>
  <c r="B1225" i="1"/>
  <c r="B1224" i="1"/>
  <c r="B1223" i="1"/>
  <c r="B1222" i="1"/>
  <c r="B1221" i="1"/>
  <c r="B1220" i="1"/>
  <c r="B1153" i="1"/>
  <c r="B1152" i="1"/>
  <c r="B1151" i="1"/>
  <c r="B1150" i="1"/>
  <c r="B1149" i="1"/>
  <c r="B1148" i="1"/>
  <c r="B1147" i="1"/>
  <c r="B1146" i="1"/>
  <c r="B1145" i="1"/>
  <c r="B1144" i="1"/>
  <c r="B1115" i="1"/>
  <c r="B1114" i="1"/>
  <c r="B1113" i="1"/>
  <c r="B1112" i="1"/>
  <c r="B1111" i="1"/>
  <c r="B1110" i="1"/>
  <c r="B1109" i="1"/>
  <c r="B1108" i="1"/>
  <c r="B1107" i="1"/>
  <c r="B1106" i="1"/>
  <c r="B1077" i="1"/>
  <c r="B1076" i="1"/>
  <c r="B1075" i="1"/>
  <c r="B1074" i="1"/>
  <c r="B1073" i="1"/>
  <c r="B1072" i="1"/>
  <c r="B1071" i="1"/>
  <c r="B1070" i="1"/>
  <c r="B1069" i="1"/>
  <c r="B1068" i="1"/>
  <c r="B1039" i="1"/>
  <c r="B1038" i="1"/>
  <c r="B1037" i="1"/>
  <c r="B1036" i="1"/>
  <c r="B1035" i="1"/>
  <c r="B1034" i="1"/>
  <c r="B1033" i="1"/>
  <c r="B1032" i="1"/>
  <c r="B1031" i="1"/>
  <c r="B1030" i="1"/>
  <c r="B659" i="1"/>
  <c r="B658" i="1"/>
  <c r="B657" i="1"/>
  <c r="B656" i="1"/>
  <c r="B655" i="1"/>
  <c r="B654" i="1"/>
  <c r="B653" i="1"/>
  <c r="B652" i="1"/>
  <c r="B651" i="1"/>
  <c r="B650" i="1"/>
  <c r="B469" i="1"/>
  <c r="B468" i="1"/>
  <c r="B467" i="1"/>
  <c r="G466" i="1"/>
  <c r="B466" i="1"/>
  <c r="B465" i="1"/>
  <c r="F464" i="1"/>
  <c r="B464" i="1"/>
  <c r="B463" i="1"/>
  <c r="B462" i="1"/>
  <c r="B461" i="1"/>
  <c r="B460" i="1"/>
  <c r="D1447" i="1"/>
  <c r="E1445" i="1"/>
  <c r="D1445" i="1"/>
  <c r="D1441" i="1"/>
  <c r="D1436" i="1"/>
  <c r="E1434" i="1"/>
  <c r="D1434" i="1"/>
  <c r="D1430" i="1"/>
  <c r="D1599" i="1"/>
  <c r="E1597" i="1"/>
  <c r="D1597" i="1"/>
  <c r="D1593" i="1"/>
  <c r="D1588" i="1"/>
  <c r="E1586" i="1"/>
  <c r="D1586" i="1"/>
  <c r="D1582" i="1"/>
  <c r="D1675" i="1"/>
  <c r="E1673" i="1"/>
  <c r="D1673" i="1"/>
  <c r="D1669" i="1"/>
  <c r="D1664" i="1"/>
  <c r="E1662" i="1"/>
  <c r="D1662" i="1"/>
  <c r="D1658" i="1"/>
  <c r="D1713" i="1"/>
  <c r="E1711" i="1"/>
  <c r="D1711" i="1"/>
  <c r="D1707" i="1"/>
  <c r="D1702" i="1"/>
  <c r="E1700" i="1"/>
  <c r="D1700" i="1"/>
  <c r="D1696" i="1"/>
  <c r="D1751" i="1"/>
  <c r="E1749" i="1"/>
  <c r="D1749" i="1"/>
  <c r="D1745" i="1"/>
  <c r="D1740" i="1"/>
  <c r="E1738" i="1"/>
  <c r="D1738" i="1"/>
  <c r="D1734" i="1"/>
  <c r="D1789" i="1"/>
  <c r="E1787" i="1"/>
  <c r="D1787" i="1"/>
  <c r="D1783" i="1"/>
  <c r="D1778" i="1"/>
  <c r="E1776" i="1"/>
  <c r="D1776" i="1"/>
  <c r="D1772" i="1"/>
  <c r="D1827" i="1"/>
  <c r="E1825" i="1"/>
  <c r="D1825" i="1"/>
  <c r="D1821" i="1"/>
  <c r="D1816" i="1"/>
  <c r="E1814" i="1"/>
  <c r="D1814" i="1"/>
  <c r="D1810" i="1"/>
  <c r="D1865" i="1"/>
  <c r="E1863" i="1"/>
  <c r="D1863" i="1"/>
  <c r="D1859" i="1"/>
  <c r="D1854" i="1"/>
  <c r="E1852" i="1"/>
  <c r="D1852" i="1"/>
  <c r="D1848" i="1"/>
  <c r="D1903" i="1"/>
  <c r="E1901" i="1"/>
  <c r="D1901" i="1"/>
  <c r="D1897" i="1"/>
  <c r="D1892" i="1"/>
  <c r="E1890" i="1"/>
  <c r="D1890" i="1"/>
  <c r="D1886" i="1"/>
  <c r="G716" i="1" l="1"/>
  <c r="H716" i="1"/>
  <c r="F716" i="1"/>
  <c r="F754" i="1"/>
  <c r="G754" i="1"/>
  <c r="H754" i="1"/>
  <c r="E1903" i="1"/>
  <c r="E1827" i="1"/>
  <c r="E1778" i="1"/>
  <c r="E1789" i="1"/>
  <c r="H1552" i="1"/>
  <c r="E1848" i="1"/>
  <c r="E1810" i="1"/>
  <c r="E1892" i="1"/>
  <c r="E1816" i="1"/>
  <c r="E1821" i="1"/>
  <c r="E1772" i="1"/>
  <c r="E1783" i="1"/>
  <c r="H449" i="1"/>
  <c r="H830" i="1"/>
  <c r="G449" i="1"/>
  <c r="G830" i="1"/>
  <c r="G1552" i="1"/>
  <c r="F1800" i="1"/>
  <c r="F1876" i="1"/>
  <c r="F1552" i="1"/>
  <c r="F1838" i="1"/>
  <c r="F1914" i="1"/>
  <c r="E1590" i="1"/>
  <c r="F830" i="1"/>
  <c r="F1590" i="1"/>
  <c r="D1590" i="1"/>
  <c r="F449" i="1"/>
  <c r="E1745" i="1"/>
  <c r="E1751" i="1"/>
  <c r="E1740" i="1"/>
  <c r="E1707" i="1"/>
  <c r="E1702" i="1"/>
  <c r="E1669" i="1"/>
  <c r="F470" i="1"/>
  <c r="F1040" i="1"/>
  <c r="F1116" i="1"/>
  <c r="F1230" i="1"/>
  <c r="F1306" i="1"/>
  <c r="F1420" i="1"/>
  <c r="E1439" i="1"/>
  <c r="F660" i="1"/>
  <c r="F1078" i="1"/>
  <c r="F1154" i="1"/>
  <c r="F1268" i="1"/>
  <c r="F1382" i="1"/>
  <c r="F1458" i="1"/>
  <c r="F1610" i="1"/>
  <c r="F1686" i="1"/>
  <c r="F1724" i="1"/>
  <c r="F1762" i="1"/>
  <c r="E1667" i="1"/>
  <c r="G1135" i="1"/>
  <c r="G1249" i="1"/>
  <c r="G1439" i="1"/>
  <c r="G1857" i="1"/>
  <c r="E1857" i="1"/>
  <c r="D1819" i="1"/>
  <c r="E1895" i="1"/>
  <c r="D1857" i="1"/>
  <c r="F641" i="1"/>
  <c r="F1059" i="1"/>
  <c r="H1097" i="1"/>
  <c r="H1211" i="1"/>
  <c r="H1287" i="1"/>
  <c r="H1401" i="1"/>
  <c r="F1667" i="1"/>
  <c r="F1895" i="1"/>
  <c r="D1667" i="1"/>
  <c r="D1439" i="1"/>
  <c r="E1781" i="1"/>
  <c r="F1021" i="1"/>
  <c r="H1059" i="1"/>
  <c r="F1097" i="1"/>
  <c r="H1135" i="1"/>
  <c r="F1211" i="1"/>
  <c r="H1249" i="1"/>
  <c r="F1287" i="1"/>
  <c r="H1363" i="1"/>
  <c r="F1401" i="1"/>
  <c r="H1439" i="1"/>
  <c r="H1591" i="1"/>
  <c r="H1667" i="1"/>
  <c r="H1705" i="1"/>
  <c r="H1743" i="1"/>
  <c r="D1895" i="1"/>
  <c r="F1135" i="1"/>
  <c r="G1211" i="1"/>
  <c r="F1363" i="1"/>
  <c r="G1591" i="1"/>
  <c r="F1705" i="1"/>
  <c r="H1781" i="1"/>
  <c r="H1819" i="1"/>
  <c r="G1021" i="1"/>
  <c r="F1249" i="1"/>
  <c r="G1287" i="1"/>
  <c r="F1439" i="1"/>
  <c r="F1781" i="1"/>
  <c r="F1819" i="1"/>
  <c r="H1857" i="1"/>
  <c r="D1781" i="1"/>
  <c r="G1781" i="1"/>
  <c r="G1363" i="1"/>
  <c r="E1886" i="1"/>
  <c r="E1897" i="1"/>
  <c r="E1854" i="1"/>
  <c r="E1865" i="1"/>
  <c r="E1713" i="1"/>
  <c r="E1664" i="1"/>
  <c r="E1675" i="1"/>
  <c r="E1588" i="1"/>
  <c r="E1599" i="1"/>
  <c r="E1436" i="1"/>
  <c r="E1447" i="1"/>
  <c r="E1859" i="1"/>
  <c r="E1734" i="1"/>
  <c r="E1696" i="1"/>
  <c r="E1658" i="1"/>
  <c r="E1582" i="1"/>
  <c r="E1593" i="1"/>
  <c r="E1430" i="1"/>
  <c r="E1441" i="1"/>
  <c r="H641" i="1"/>
  <c r="G641" i="1"/>
  <c r="H1021" i="1"/>
  <c r="H1895" i="1"/>
  <c r="G1895" i="1"/>
  <c r="G1819" i="1"/>
  <c r="G1743" i="1"/>
  <c r="G1705" i="1"/>
  <c r="G1667" i="1"/>
  <c r="G1401" i="1"/>
  <c r="H1152" i="1"/>
  <c r="G1097" i="1"/>
  <c r="G1059" i="1"/>
  <c r="F1857" i="1"/>
  <c r="F1743" i="1"/>
  <c r="G1154" i="1"/>
  <c r="E1819" i="1"/>
  <c r="E1705" i="1"/>
  <c r="D1705" i="1"/>
  <c r="F1669" i="1" l="1"/>
  <c r="G1669" i="1" s="1"/>
  <c r="F1821" i="1"/>
  <c r="F1816" i="1"/>
  <c r="F1848" i="1"/>
  <c r="F1789" i="1"/>
  <c r="F1827" i="1"/>
  <c r="F1783" i="1"/>
  <c r="G1783" i="1" s="1"/>
  <c r="H1154" i="1"/>
  <c r="F1772" i="1"/>
  <c r="F1892" i="1"/>
  <c r="F1810" i="1"/>
  <c r="F1778" i="1"/>
  <c r="F1903" i="1"/>
  <c r="G1836" i="1"/>
  <c r="G1798" i="1"/>
  <c r="D1906" i="1"/>
  <c r="G1912" i="1"/>
  <c r="G1874" i="1"/>
  <c r="D1868" i="1"/>
  <c r="D1830" i="1"/>
  <c r="F1804" i="1"/>
  <c r="F1918" i="1"/>
  <c r="F1591" i="1"/>
  <c r="F1707" i="1"/>
  <c r="F1745" i="1"/>
  <c r="F1740" i="1"/>
  <c r="F1751" i="1"/>
  <c r="F1702" i="1"/>
  <c r="D1678" i="1"/>
  <c r="G1304" i="1"/>
  <c r="G1458" i="1"/>
  <c r="F1462" i="1"/>
  <c r="F1272" i="1"/>
  <c r="F1690" i="1"/>
  <c r="G1266" i="1"/>
  <c r="G1608" i="1"/>
  <c r="G1230" i="1"/>
  <c r="F1234" i="1"/>
  <c r="F1044" i="1"/>
  <c r="F664" i="1"/>
  <c r="G1684" i="1"/>
  <c r="G658" i="1"/>
  <c r="F1424" i="1"/>
  <c r="F1158" i="1"/>
  <c r="G1114" i="1"/>
  <c r="G1158" i="1"/>
  <c r="G1722" i="1"/>
  <c r="F1386" i="1"/>
  <c r="F1310" i="1"/>
  <c r="F1120" i="1"/>
  <c r="G1076" i="1"/>
  <c r="G1418" i="1"/>
  <c r="G1760" i="1"/>
  <c r="G1380" i="1"/>
  <c r="G1040" i="1"/>
  <c r="F1728" i="1"/>
  <c r="F1082" i="1"/>
  <c r="D1450" i="1"/>
  <c r="F1842" i="1"/>
  <c r="D1792" i="1"/>
  <c r="D1716" i="1"/>
  <c r="F1582" i="1"/>
  <c r="F1447" i="1"/>
  <c r="F1675" i="1"/>
  <c r="F1713" i="1"/>
  <c r="F1854" i="1"/>
  <c r="F1886" i="1"/>
  <c r="F1441" i="1"/>
  <c r="F1593" i="1"/>
  <c r="F1658" i="1"/>
  <c r="F1696" i="1"/>
  <c r="F1859" i="1"/>
  <c r="F1430" i="1"/>
  <c r="F1734" i="1"/>
  <c r="F1599" i="1"/>
  <c r="F1436" i="1"/>
  <c r="F1588" i="1"/>
  <c r="F1664" i="1"/>
  <c r="F1865" i="1"/>
  <c r="F1897" i="1"/>
  <c r="F1880" i="1"/>
  <c r="F1766" i="1"/>
  <c r="H1158" i="1" l="1"/>
  <c r="G1778" i="1"/>
  <c r="G1892" i="1"/>
  <c r="G1789" i="1"/>
  <c r="G1816" i="1"/>
  <c r="G1903" i="1"/>
  <c r="G1810" i="1"/>
  <c r="G1772" i="1"/>
  <c r="H1783" i="1"/>
  <c r="H1669" i="1"/>
  <c r="G1827" i="1"/>
  <c r="G1848" i="1"/>
  <c r="G1821" i="1"/>
  <c r="G1116" i="1"/>
  <c r="H1874" i="1"/>
  <c r="G1420" i="1"/>
  <c r="G1610" i="1"/>
  <c r="G1614" i="1" s="1"/>
  <c r="E1906" i="1"/>
  <c r="H1798" i="1"/>
  <c r="G1762" i="1"/>
  <c r="G1078" i="1"/>
  <c r="G1724" i="1"/>
  <c r="H1266" i="1"/>
  <c r="G1382" i="1"/>
  <c r="G1386" i="1" s="1"/>
  <c r="G660" i="1"/>
  <c r="H1304" i="1"/>
  <c r="H1912" i="1"/>
  <c r="H1836" i="1"/>
  <c r="G1876" i="1"/>
  <c r="G1914" i="1"/>
  <c r="G1800" i="1"/>
  <c r="G1838" i="1"/>
  <c r="D1914" i="1"/>
  <c r="E1830" i="1"/>
  <c r="D1876" i="1"/>
  <c r="D1838" i="1"/>
  <c r="E1868" i="1"/>
  <c r="F1614" i="1"/>
  <c r="G1707" i="1"/>
  <c r="E54" i="8"/>
  <c r="E45" i="8"/>
  <c r="E46" i="8"/>
  <c r="E49" i="8"/>
  <c r="E51" i="8"/>
  <c r="E35" i="8"/>
  <c r="E56" i="8"/>
  <c r="E52" i="8"/>
  <c r="E44" i="8"/>
  <c r="E63" i="8"/>
  <c r="E47" i="8"/>
  <c r="E64" i="8"/>
  <c r="E66" i="8"/>
  <c r="E55" i="8"/>
  <c r="E62" i="8"/>
  <c r="E50" i="8"/>
  <c r="E65" i="8"/>
  <c r="E53" i="8"/>
  <c r="E48" i="8"/>
  <c r="E67" i="8"/>
  <c r="E57" i="8"/>
  <c r="E34" i="8"/>
  <c r="G1740" i="1"/>
  <c r="G1745" i="1"/>
  <c r="G1751" i="1"/>
  <c r="D1686" i="1"/>
  <c r="E1678" i="1"/>
  <c r="G1702" i="1"/>
  <c r="D1724" i="1"/>
  <c r="H1456" i="1"/>
  <c r="G1306" i="1"/>
  <c r="G1268" i="1"/>
  <c r="E1716" i="1"/>
  <c r="H1684" i="1"/>
  <c r="G1686" i="1"/>
  <c r="G1044" i="1"/>
  <c r="G1462" i="1"/>
  <c r="H1380" i="1"/>
  <c r="H1418" i="1"/>
  <c r="H1114" i="1"/>
  <c r="H1608" i="1"/>
  <c r="H658" i="1"/>
  <c r="H1228" i="1"/>
  <c r="G1234" i="1"/>
  <c r="F49" i="8" s="1"/>
  <c r="H1038" i="1"/>
  <c r="H1760" i="1"/>
  <c r="H1076" i="1"/>
  <c r="H1722" i="1"/>
  <c r="D1458" i="1"/>
  <c r="E1450" i="1"/>
  <c r="E1792" i="1"/>
  <c r="D1800" i="1"/>
  <c r="G1696" i="1"/>
  <c r="G1713" i="1"/>
  <c r="G1441" i="1"/>
  <c r="G1865" i="1"/>
  <c r="G1734" i="1"/>
  <c r="G1430" i="1"/>
  <c r="G1658" i="1"/>
  <c r="G1886" i="1"/>
  <c r="G1675" i="1"/>
  <c r="G1664" i="1"/>
  <c r="G1859" i="1"/>
  <c r="G1854" i="1"/>
  <c r="G1447" i="1"/>
  <c r="G1588" i="1"/>
  <c r="G1897" i="1"/>
  <c r="G1436" i="1"/>
  <c r="G1599" i="1"/>
  <c r="G1593" i="1"/>
  <c r="G1582" i="1"/>
  <c r="G664" i="1" l="1"/>
  <c r="F34" i="8" s="1"/>
  <c r="G1082" i="1"/>
  <c r="F45" i="8" s="1"/>
  <c r="F44" i="8"/>
  <c r="G1728" i="1"/>
  <c r="G1424" i="1"/>
  <c r="G1120" i="1"/>
  <c r="E1914" i="1"/>
  <c r="G1766" i="1"/>
  <c r="H1886" i="1"/>
  <c r="H1897" i="1"/>
  <c r="H1854" i="1"/>
  <c r="H1865" i="1"/>
  <c r="H1230" i="1"/>
  <c r="H1702" i="1"/>
  <c r="H1745" i="1"/>
  <c r="H1810" i="1"/>
  <c r="H1816" i="1"/>
  <c r="H1892" i="1"/>
  <c r="H1859" i="1"/>
  <c r="H1740" i="1"/>
  <c r="H1458" i="1"/>
  <c r="H1821" i="1"/>
  <c r="H1827" i="1"/>
  <c r="H1772" i="1"/>
  <c r="H1903" i="1"/>
  <c r="H1789" i="1"/>
  <c r="H1778" i="1"/>
  <c r="H1848" i="1"/>
  <c r="H1040" i="1"/>
  <c r="H1751" i="1"/>
  <c r="H1707" i="1"/>
  <c r="G1880" i="1"/>
  <c r="G1804" i="1"/>
  <c r="H1724" i="1"/>
  <c r="H1610" i="1"/>
  <c r="G1842" i="1"/>
  <c r="G1918" i="1"/>
  <c r="F67" i="8" s="1"/>
  <c r="H1078" i="1"/>
  <c r="H660" i="1"/>
  <c r="H1116" i="1"/>
  <c r="H1686" i="1"/>
  <c r="H1914" i="1"/>
  <c r="H1268" i="1"/>
  <c r="H1800" i="1"/>
  <c r="H1876" i="1"/>
  <c r="H1762" i="1"/>
  <c r="H1420" i="1"/>
  <c r="H1382" i="1"/>
  <c r="H1838" i="1"/>
  <c r="H1306" i="1"/>
  <c r="D1880" i="1"/>
  <c r="E1838" i="1"/>
  <c r="D1918" i="1"/>
  <c r="F48" i="8"/>
  <c r="F57" i="8"/>
  <c r="G1310" i="1"/>
  <c r="E1876" i="1"/>
  <c r="D1842" i="1"/>
  <c r="E1800" i="1"/>
  <c r="D1690" i="1"/>
  <c r="E61" i="8"/>
  <c r="F56" i="8"/>
  <c r="F55" i="8"/>
  <c r="F47" i="8"/>
  <c r="G35" i="8"/>
  <c r="F35" i="8"/>
  <c r="E1686" i="1"/>
  <c r="D1728" i="1"/>
  <c r="D1462" i="1"/>
  <c r="G1272" i="1"/>
  <c r="F50" i="8" s="1"/>
  <c r="E1724" i="1"/>
  <c r="H1582" i="1"/>
  <c r="H1658" i="1"/>
  <c r="H1593" i="1"/>
  <c r="H1588" i="1"/>
  <c r="H1675" i="1"/>
  <c r="H1696" i="1"/>
  <c r="G1690" i="1"/>
  <c r="F61" i="8" s="1"/>
  <c r="H1713" i="1"/>
  <c r="H1599" i="1"/>
  <c r="H1664" i="1"/>
  <c r="H1430" i="1"/>
  <c r="H1441" i="1"/>
  <c r="H1436" i="1"/>
  <c r="H1447" i="1"/>
  <c r="H1734" i="1"/>
  <c r="E1458" i="1"/>
  <c r="D1804" i="1"/>
  <c r="F9" i="6"/>
  <c r="H1728" i="1" l="1"/>
  <c r="G62" i="8" s="1"/>
  <c r="F64" i="8"/>
  <c r="H1614" i="1"/>
  <c r="H1424" i="1"/>
  <c r="F65" i="8"/>
  <c r="F66" i="8"/>
  <c r="F54" i="8"/>
  <c r="H1766" i="1"/>
  <c r="H1690" i="1"/>
  <c r="F46" i="8"/>
  <c r="H664" i="1"/>
  <c r="E1918" i="1"/>
  <c r="H1386" i="1"/>
  <c r="H1082" i="1"/>
  <c r="H1044" i="1"/>
  <c r="H1462" i="1"/>
  <c r="G55" i="8" s="1"/>
  <c r="H1234" i="1"/>
  <c r="G49" i="8" s="1"/>
  <c r="H1120" i="1"/>
  <c r="G48" i="8" s="1"/>
  <c r="H1310" i="1"/>
  <c r="H1880" i="1"/>
  <c r="H1272" i="1"/>
  <c r="H1842" i="1"/>
  <c r="G65" i="8" s="1"/>
  <c r="H1804" i="1"/>
  <c r="G64" i="8" s="1"/>
  <c r="H1918" i="1"/>
  <c r="E1842" i="1"/>
  <c r="G56" i="8"/>
  <c r="F62" i="8"/>
  <c r="F51" i="8"/>
  <c r="F53" i="8"/>
  <c r="C66" i="8"/>
  <c r="E1880" i="1"/>
  <c r="C67" i="8"/>
  <c r="E1690" i="1"/>
  <c r="C62" i="8"/>
  <c r="C57" i="8"/>
  <c r="E1804" i="1"/>
  <c r="F63" i="8"/>
  <c r="F52" i="8"/>
  <c r="E1728" i="1"/>
  <c r="E1462" i="1"/>
  <c r="G61" i="8" l="1"/>
  <c r="G63" i="8"/>
  <c r="G46" i="8"/>
  <c r="G44" i="8"/>
  <c r="G34" i="8"/>
  <c r="G54" i="8"/>
  <c r="G51" i="8"/>
  <c r="G57" i="8"/>
  <c r="G47" i="8"/>
  <c r="G50" i="8"/>
  <c r="G45" i="8"/>
  <c r="G67" i="8"/>
  <c r="G52" i="8"/>
  <c r="G66" i="8"/>
  <c r="G53" i="8"/>
  <c r="D67" i="8"/>
  <c r="D66" i="8"/>
  <c r="D62" i="8"/>
  <c r="D57" i="8"/>
  <c r="D318" i="1"/>
  <c r="D89" i="1"/>
  <c r="B537" i="1"/>
  <c r="B536" i="1"/>
  <c r="B499" i="1"/>
  <c r="B498" i="1"/>
  <c r="B879" i="1"/>
  <c r="B878" i="1"/>
  <c r="B727" i="1"/>
  <c r="B726" i="1"/>
  <c r="B765" i="1"/>
  <c r="B764" i="1"/>
  <c r="B841" i="1"/>
  <c r="B840" i="1"/>
  <c r="B1563" i="1"/>
  <c r="B1562" i="1"/>
  <c r="B917" i="1"/>
  <c r="B916" i="1"/>
  <c r="B309" i="1"/>
  <c r="B308" i="1"/>
  <c r="B80" i="1"/>
  <c r="B79" i="1"/>
  <c r="B270" i="1"/>
  <c r="B269" i="1"/>
  <c r="B232" i="1"/>
  <c r="B231" i="1"/>
  <c r="B156" i="1"/>
  <c r="B155" i="1"/>
  <c r="B423" i="1"/>
  <c r="B422" i="1"/>
  <c r="B194" i="1"/>
  <c r="B193" i="1"/>
  <c r="B118" i="1"/>
  <c r="B117" i="1"/>
  <c r="B385" i="1"/>
  <c r="B384" i="1"/>
  <c r="D1409" i="1"/>
  <c r="D1403" i="1"/>
  <c r="D1398" i="1"/>
  <c r="D1392" i="1"/>
  <c r="D1371" i="1"/>
  <c r="D1365" i="1"/>
  <c r="D1360" i="1"/>
  <c r="D1354" i="1"/>
  <c r="D1295" i="1"/>
  <c r="D1289" i="1"/>
  <c r="D1284" i="1"/>
  <c r="D1278" i="1"/>
  <c r="D1257" i="1"/>
  <c r="D1251" i="1"/>
  <c r="D1246" i="1"/>
  <c r="D1240" i="1"/>
  <c r="D1219" i="1"/>
  <c r="D1213" i="1"/>
  <c r="D1208" i="1"/>
  <c r="D1202" i="1"/>
  <c r="D1143" i="1"/>
  <c r="D1137" i="1"/>
  <c r="D1132" i="1"/>
  <c r="D1126" i="1"/>
  <c r="D1105" i="1"/>
  <c r="D1099" i="1"/>
  <c r="D1094" i="1"/>
  <c r="D1088" i="1"/>
  <c r="D1067" i="1"/>
  <c r="D1061" i="1"/>
  <c r="D1056" i="1"/>
  <c r="D1050" i="1"/>
  <c r="D1029" i="1"/>
  <c r="D1023" i="1"/>
  <c r="D1018" i="1"/>
  <c r="D1012" i="1"/>
  <c r="D649" i="1"/>
  <c r="D643" i="1"/>
  <c r="D638" i="1"/>
  <c r="D632" i="1"/>
  <c r="D459" i="1"/>
  <c r="D453" i="1"/>
  <c r="D448" i="1"/>
  <c r="D442" i="1"/>
  <c r="B545" i="1"/>
  <c r="B544" i="1"/>
  <c r="B543" i="1"/>
  <c r="B542" i="1"/>
  <c r="B541" i="1"/>
  <c r="B540" i="1"/>
  <c r="B539" i="1"/>
  <c r="B538" i="1"/>
  <c r="B507" i="1"/>
  <c r="B506" i="1"/>
  <c r="B505" i="1"/>
  <c r="B504" i="1"/>
  <c r="B503" i="1"/>
  <c r="B502" i="1"/>
  <c r="B501" i="1"/>
  <c r="B500" i="1"/>
  <c r="B887" i="1"/>
  <c r="B886" i="1"/>
  <c r="B885" i="1"/>
  <c r="B884" i="1"/>
  <c r="B883" i="1"/>
  <c r="B882" i="1"/>
  <c r="B881" i="1"/>
  <c r="B880" i="1"/>
  <c r="B735" i="1"/>
  <c r="B734" i="1"/>
  <c r="B733" i="1"/>
  <c r="B732" i="1"/>
  <c r="B731" i="1"/>
  <c r="B730" i="1"/>
  <c r="B729" i="1"/>
  <c r="B728" i="1"/>
  <c r="B773" i="1"/>
  <c r="B772" i="1"/>
  <c r="B771" i="1"/>
  <c r="B770" i="1"/>
  <c r="B769" i="1"/>
  <c r="B768" i="1"/>
  <c r="B767" i="1"/>
  <c r="B766" i="1"/>
  <c r="B849" i="1"/>
  <c r="B848" i="1"/>
  <c r="B847" i="1"/>
  <c r="B846" i="1"/>
  <c r="B845" i="1"/>
  <c r="B844" i="1"/>
  <c r="B843" i="1"/>
  <c r="B842" i="1"/>
  <c r="B1571" i="1"/>
  <c r="B1570" i="1"/>
  <c r="B1569" i="1"/>
  <c r="B1568" i="1"/>
  <c r="B1567" i="1"/>
  <c r="B1566" i="1"/>
  <c r="B1565" i="1"/>
  <c r="B1564" i="1"/>
  <c r="B925" i="1"/>
  <c r="B924" i="1"/>
  <c r="B923" i="1"/>
  <c r="B922" i="1"/>
  <c r="B921" i="1"/>
  <c r="B920" i="1"/>
  <c r="B919" i="1"/>
  <c r="B918" i="1"/>
  <c r="B317" i="1"/>
  <c r="B316" i="1"/>
  <c r="B315" i="1"/>
  <c r="B314" i="1"/>
  <c r="B313" i="1"/>
  <c r="B312" i="1"/>
  <c r="B311" i="1"/>
  <c r="B310" i="1"/>
  <c r="B88" i="1"/>
  <c r="B87" i="1"/>
  <c r="B86" i="1"/>
  <c r="B85" i="1"/>
  <c r="B84" i="1"/>
  <c r="B83" i="1"/>
  <c r="B82" i="1"/>
  <c r="B81" i="1"/>
  <c r="B278" i="1"/>
  <c r="B277" i="1"/>
  <c r="B276" i="1"/>
  <c r="B275" i="1"/>
  <c r="B274" i="1"/>
  <c r="B273" i="1"/>
  <c r="B272" i="1"/>
  <c r="B271" i="1"/>
  <c r="B240" i="1"/>
  <c r="B239" i="1"/>
  <c r="B238" i="1"/>
  <c r="B237" i="1"/>
  <c r="B236" i="1"/>
  <c r="B235" i="1"/>
  <c r="B234" i="1"/>
  <c r="B233" i="1"/>
  <c r="B164" i="1"/>
  <c r="B163" i="1"/>
  <c r="B162" i="1"/>
  <c r="B161" i="1"/>
  <c r="B160" i="1"/>
  <c r="B159" i="1"/>
  <c r="B158" i="1"/>
  <c r="B157" i="1"/>
  <c r="B431" i="1"/>
  <c r="B430" i="1"/>
  <c r="B429" i="1"/>
  <c r="B428" i="1"/>
  <c r="B427" i="1"/>
  <c r="B426" i="1"/>
  <c r="B425" i="1"/>
  <c r="B424" i="1"/>
  <c r="B202" i="1"/>
  <c r="B201" i="1"/>
  <c r="B200" i="1"/>
  <c r="B199" i="1"/>
  <c r="B198" i="1"/>
  <c r="B197" i="1"/>
  <c r="B196" i="1"/>
  <c r="B195" i="1"/>
  <c r="B126" i="1"/>
  <c r="B125" i="1"/>
  <c r="B124" i="1"/>
  <c r="B123" i="1"/>
  <c r="B122" i="1"/>
  <c r="B121" i="1"/>
  <c r="B120" i="1"/>
  <c r="B119" i="1"/>
  <c r="B393" i="1"/>
  <c r="B392" i="1"/>
  <c r="B391" i="1"/>
  <c r="B390" i="1"/>
  <c r="B389" i="1"/>
  <c r="B388" i="1"/>
  <c r="B387" i="1"/>
  <c r="B386" i="1"/>
  <c r="A24" i="6" l="1"/>
  <c r="A23" i="6"/>
  <c r="B37" i="6"/>
  <c r="A32" i="6"/>
  <c r="A31" i="6"/>
  <c r="A30" i="6"/>
  <c r="A29" i="6"/>
  <c r="A28" i="6"/>
  <c r="A27" i="6"/>
  <c r="A26" i="6"/>
  <c r="A25" i="6"/>
  <c r="B22" i="6"/>
  <c r="B16" i="6"/>
  <c r="B11" i="6"/>
  <c r="B6" i="6"/>
  <c r="E9" i="6"/>
  <c r="D9" i="6"/>
  <c r="C11" i="6" l="1"/>
  <c r="F65" i="1"/>
  <c r="F294" i="1"/>
  <c r="D11" i="6" l="1"/>
  <c r="E902" i="1"/>
  <c r="E11" i="6" l="1"/>
  <c r="F11" i="6" s="1"/>
  <c r="E1409" i="1"/>
  <c r="E1407" i="1"/>
  <c r="D1407" i="1"/>
  <c r="E1403" i="1"/>
  <c r="E1398" i="1"/>
  <c r="E1396" i="1"/>
  <c r="D1396" i="1"/>
  <c r="E1392" i="1"/>
  <c r="E1371" i="1"/>
  <c r="E1369" i="1"/>
  <c r="D1369" i="1"/>
  <c r="E1365" i="1"/>
  <c r="E1360" i="1"/>
  <c r="E1358" i="1"/>
  <c r="D1358" i="1"/>
  <c r="E1354" i="1"/>
  <c r="E1295" i="1"/>
  <c r="E1293" i="1"/>
  <c r="D1293" i="1"/>
  <c r="E1289" i="1"/>
  <c r="E1284" i="1"/>
  <c r="E1282" i="1"/>
  <c r="D1282" i="1"/>
  <c r="E1278" i="1"/>
  <c r="E1257" i="1"/>
  <c r="E1255" i="1"/>
  <c r="D1255" i="1"/>
  <c r="E1251" i="1"/>
  <c r="E1246" i="1"/>
  <c r="E1244" i="1"/>
  <c r="D1244" i="1"/>
  <c r="E1240" i="1"/>
  <c r="E1219" i="1"/>
  <c r="E1217" i="1"/>
  <c r="D1217" i="1"/>
  <c r="E1213" i="1"/>
  <c r="E1208" i="1"/>
  <c r="E1206" i="1"/>
  <c r="D1206" i="1"/>
  <c r="E1202" i="1"/>
  <c r="E1143" i="1"/>
  <c r="E1141" i="1"/>
  <c r="D1141" i="1"/>
  <c r="E1137" i="1"/>
  <c r="E1132" i="1"/>
  <c r="E1130" i="1"/>
  <c r="D1130" i="1"/>
  <c r="E1126" i="1"/>
  <c r="E1105" i="1"/>
  <c r="E1103" i="1"/>
  <c r="D1103" i="1"/>
  <c r="E1099" i="1"/>
  <c r="E1094" i="1"/>
  <c r="E1092" i="1"/>
  <c r="D1092" i="1"/>
  <c r="E1088" i="1"/>
  <c r="E1067" i="1"/>
  <c r="E1065" i="1"/>
  <c r="D1065" i="1"/>
  <c r="E1061" i="1"/>
  <c r="E1056" i="1"/>
  <c r="E1054" i="1"/>
  <c r="D1054" i="1"/>
  <c r="E1050" i="1"/>
  <c r="E1029" i="1"/>
  <c r="E1027" i="1"/>
  <c r="D1027" i="1"/>
  <c r="E1023" i="1"/>
  <c r="E1018" i="1"/>
  <c r="E1016" i="1"/>
  <c r="D1016" i="1"/>
  <c r="E1012" i="1"/>
  <c r="E649" i="1"/>
  <c r="E647" i="1"/>
  <c r="D647" i="1"/>
  <c r="E643" i="1"/>
  <c r="E638" i="1"/>
  <c r="E636" i="1"/>
  <c r="D636" i="1"/>
  <c r="E632" i="1"/>
  <c r="E459" i="1"/>
  <c r="F457" i="1"/>
  <c r="E457" i="1"/>
  <c r="D457" i="1"/>
  <c r="E453" i="1"/>
  <c r="E448" i="1"/>
  <c r="E446" i="1"/>
  <c r="D446" i="1"/>
  <c r="E442" i="1"/>
  <c r="G542" i="1"/>
  <c r="H533" i="1"/>
  <c r="G533" i="1"/>
  <c r="F533" i="1"/>
  <c r="E533" i="1"/>
  <c r="D533" i="1"/>
  <c r="E522" i="1"/>
  <c r="D522" i="1"/>
  <c r="G504" i="1"/>
  <c r="H495" i="1"/>
  <c r="G495" i="1"/>
  <c r="F495" i="1"/>
  <c r="E495" i="1"/>
  <c r="D495" i="1"/>
  <c r="E484" i="1"/>
  <c r="D484" i="1"/>
  <c r="G884" i="1"/>
  <c r="H875" i="1"/>
  <c r="G875" i="1"/>
  <c r="F875" i="1"/>
  <c r="E875" i="1"/>
  <c r="D875" i="1"/>
  <c r="E864" i="1"/>
  <c r="D864" i="1"/>
  <c r="G732" i="1"/>
  <c r="H723" i="1"/>
  <c r="G723" i="1"/>
  <c r="F723" i="1"/>
  <c r="E723" i="1"/>
  <c r="D723" i="1"/>
  <c r="E712" i="1"/>
  <c r="D712" i="1"/>
  <c r="G770" i="1"/>
  <c r="H761" i="1"/>
  <c r="G761" i="1"/>
  <c r="F761" i="1"/>
  <c r="E761" i="1"/>
  <c r="D761" i="1"/>
  <c r="E750" i="1"/>
  <c r="D750" i="1"/>
  <c r="E847" i="1"/>
  <c r="G846" i="1"/>
  <c r="H837" i="1"/>
  <c r="G837" i="1"/>
  <c r="F837" i="1"/>
  <c r="E837" i="1"/>
  <c r="D837" i="1"/>
  <c r="E826" i="1"/>
  <c r="D826" i="1"/>
  <c r="G1568" i="1"/>
  <c r="H1559" i="1"/>
  <c r="G1559" i="1"/>
  <c r="F1559" i="1"/>
  <c r="E1559" i="1"/>
  <c r="D1559" i="1"/>
  <c r="E1548" i="1"/>
  <c r="D1548" i="1"/>
  <c r="G922" i="1"/>
  <c r="H913" i="1"/>
  <c r="G913" i="1"/>
  <c r="F913" i="1"/>
  <c r="E913" i="1"/>
  <c r="D913" i="1"/>
  <c r="D902" i="1"/>
  <c r="H316" i="1"/>
  <c r="G314" i="1"/>
  <c r="F312" i="1"/>
  <c r="E310" i="1"/>
  <c r="H305" i="1"/>
  <c r="G305" i="1"/>
  <c r="F305" i="1"/>
  <c r="E305" i="1"/>
  <c r="D305" i="1"/>
  <c r="H294" i="1"/>
  <c r="D294" i="1"/>
  <c r="H87" i="1"/>
  <c r="G85" i="1"/>
  <c r="F83" i="1"/>
  <c r="E81" i="1"/>
  <c r="H76" i="1"/>
  <c r="G76" i="1"/>
  <c r="F76" i="1"/>
  <c r="E76" i="1"/>
  <c r="D76" i="1"/>
  <c r="G65" i="1"/>
  <c r="D65" i="1"/>
  <c r="H65" i="1"/>
  <c r="H265" i="1"/>
  <c r="G265" i="1"/>
  <c r="F265" i="1"/>
  <c r="E265" i="1"/>
  <c r="D266" i="1"/>
  <c r="G255" i="1"/>
  <c r="F255" i="1"/>
  <c r="E255" i="1"/>
  <c r="D255" i="1"/>
  <c r="D234" i="1"/>
  <c r="H227" i="1"/>
  <c r="G227" i="1"/>
  <c r="F227" i="1"/>
  <c r="E227" i="1"/>
  <c r="D227" i="1"/>
  <c r="G217" i="1"/>
  <c r="F217" i="1"/>
  <c r="E217" i="1"/>
  <c r="D217" i="1"/>
  <c r="H152" i="1"/>
  <c r="G152" i="1"/>
  <c r="F152" i="1"/>
  <c r="E152" i="1"/>
  <c r="D152" i="1"/>
  <c r="G141" i="1"/>
  <c r="F141" i="1"/>
  <c r="E141" i="1"/>
  <c r="D141" i="1"/>
  <c r="H419" i="1"/>
  <c r="G419" i="1"/>
  <c r="F419" i="1"/>
  <c r="E419" i="1"/>
  <c r="D419" i="1"/>
  <c r="G408" i="1"/>
  <c r="F408" i="1"/>
  <c r="E408" i="1"/>
  <c r="D408" i="1"/>
  <c r="G202" i="1"/>
  <c r="F200" i="1"/>
  <c r="E198" i="1"/>
  <c r="D196" i="1"/>
  <c r="H190" i="1"/>
  <c r="G190" i="1"/>
  <c r="F190" i="1"/>
  <c r="E190" i="1"/>
  <c r="D190" i="1"/>
  <c r="G179" i="1"/>
  <c r="F179" i="1"/>
  <c r="E179" i="1"/>
  <c r="D179" i="1"/>
  <c r="G126" i="1"/>
  <c r="F124" i="1"/>
  <c r="E122" i="1"/>
  <c r="D120" i="1"/>
  <c r="H114" i="1"/>
  <c r="F114" i="1"/>
  <c r="E114" i="1"/>
  <c r="D114" i="1"/>
  <c r="G114" i="1"/>
  <c r="G103" i="1"/>
  <c r="F103" i="1"/>
  <c r="E103" i="1"/>
  <c r="D103" i="1"/>
  <c r="G393" i="1"/>
  <c r="F391" i="1"/>
  <c r="E389" i="1"/>
  <c r="D387" i="1"/>
  <c r="H381" i="1"/>
  <c r="G381" i="1"/>
  <c r="F381" i="1"/>
  <c r="E381" i="1"/>
  <c r="D381" i="1"/>
  <c r="G370" i="1"/>
  <c r="G373" i="1" s="1"/>
  <c r="F370" i="1"/>
  <c r="E370" i="1"/>
  <c r="D370" i="1"/>
  <c r="D175" i="1"/>
  <c r="E37" i="6"/>
  <c r="D37" i="6"/>
  <c r="F37" i="6"/>
  <c r="C22" i="6"/>
  <c r="A20" i="6"/>
  <c r="A19" i="6"/>
  <c r="A18" i="6"/>
  <c r="A17" i="6"/>
  <c r="C16" i="6"/>
  <c r="C6" i="6"/>
  <c r="B23" i="7"/>
  <c r="B24" i="7" s="1"/>
  <c r="B25" i="7" s="1"/>
  <c r="B26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D716" i="1" l="1"/>
  <c r="E716" i="1"/>
  <c r="E373" i="1"/>
  <c r="F373" i="1"/>
  <c r="F375" i="1" s="1"/>
  <c r="D754" i="1"/>
  <c r="E754" i="1"/>
  <c r="D373" i="1"/>
  <c r="H228" i="1"/>
  <c r="H318" i="1"/>
  <c r="D1552" i="1"/>
  <c r="D1553" i="1" s="1"/>
  <c r="H89" i="1"/>
  <c r="E1552" i="1"/>
  <c r="H266" i="1"/>
  <c r="G411" i="1"/>
  <c r="G258" i="1"/>
  <c r="G220" i="1"/>
  <c r="D830" i="1"/>
  <c r="E830" i="1"/>
  <c r="D449" i="1"/>
  <c r="E449" i="1"/>
  <c r="F411" i="1"/>
  <c r="E220" i="1"/>
  <c r="F258" i="1"/>
  <c r="E258" i="1"/>
  <c r="D411" i="1"/>
  <c r="F220" i="1"/>
  <c r="D220" i="1"/>
  <c r="E411" i="1"/>
  <c r="D258" i="1"/>
  <c r="G266" i="1"/>
  <c r="G89" i="1"/>
  <c r="G318" i="1"/>
  <c r="G228" i="1"/>
  <c r="F453" i="1"/>
  <c r="F643" i="1"/>
  <c r="F1050" i="1"/>
  <c r="F1105" i="1"/>
  <c r="F1208" i="1"/>
  <c r="F1295" i="1"/>
  <c r="F1012" i="1"/>
  <c r="F1099" i="1"/>
  <c r="F1257" i="1"/>
  <c r="F1360" i="1"/>
  <c r="F442" i="1"/>
  <c r="F632" i="1"/>
  <c r="F1029" i="1"/>
  <c r="F1061" i="1"/>
  <c r="F1094" i="1"/>
  <c r="F1126" i="1"/>
  <c r="F1219" i="1"/>
  <c r="F1251" i="1"/>
  <c r="F1284" i="1"/>
  <c r="F1354" i="1"/>
  <c r="F1365" i="1"/>
  <c r="F1398" i="1"/>
  <c r="F1409" i="1"/>
  <c r="F459" i="1"/>
  <c r="F1018" i="1"/>
  <c r="F1137" i="1"/>
  <c r="F1240" i="1"/>
  <c r="F448" i="1"/>
  <c r="F638" i="1"/>
  <c r="F1067" i="1"/>
  <c r="F1132" i="1"/>
  <c r="F1202" i="1"/>
  <c r="F1289" i="1"/>
  <c r="F1371" i="1"/>
  <c r="F649" i="1"/>
  <c r="F1023" i="1"/>
  <c r="F1056" i="1"/>
  <c r="F1088" i="1"/>
  <c r="F1143" i="1"/>
  <c r="F1213" i="1"/>
  <c r="F1246" i="1"/>
  <c r="F1278" i="1"/>
  <c r="F1392" i="1"/>
  <c r="F1403" i="1"/>
  <c r="G755" i="1"/>
  <c r="E89" i="1"/>
  <c r="E318" i="1"/>
  <c r="G108" i="1"/>
  <c r="F89" i="1"/>
  <c r="F318" i="1"/>
  <c r="H255" i="1"/>
  <c r="H217" i="1"/>
  <c r="G869" i="1"/>
  <c r="G451" i="1"/>
  <c r="E1021" i="1"/>
  <c r="D1059" i="1"/>
  <c r="D6" i="6"/>
  <c r="D16" i="6"/>
  <c r="D22" i="6"/>
  <c r="G299" i="1"/>
  <c r="H1553" i="1"/>
  <c r="F869" i="1"/>
  <c r="F451" i="1"/>
  <c r="E641" i="1"/>
  <c r="D1021" i="1"/>
  <c r="E1135" i="1"/>
  <c r="E1363" i="1"/>
  <c r="F831" i="1"/>
  <c r="F755" i="1"/>
  <c r="D1401" i="1"/>
  <c r="G907" i="1"/>
  <c r="G1553" i="1"/>
  <c r="H755" i="1"/>
  <c r="E869" i="1"/>
  <c r="E1249" i="1"/>
  <c r="F228" i="1"/>
  <c r="F108" i="1"/>
  <c r="E266" i="1"/>
  <c r="F70" i="1"/>
  <c r="D228" i="1"/>
  <c r="F266" i="1"/>
  <c r="D1363" i="1"/>
  <c r="E1097" i="1"/>
  <c r="E1401" i="1"/>
  <c r="H179" i="1"/>
  <c r="E228" i="1"/>
  <c r="E299" i="1"/>
  <c r="D1097" i="1"/>
  <c r="F907" i="1"/>
  <c r="E907" i="1"/>
  <c r="F299" i="1"/>
  <c r="E70" i="1"/>
  <c r="G146" i="1"/>
  <c r="G184" i="1"/>
  <c r="E184" i="1"/>
  <c r="D108" i="1"/>
  <c r="H108" i="1"/>
  <c r="F1553" i="1"/>
  <c r="G375" i="1"/>
  <c r="D184" i="1"/>
  <c r="H184" i="1"/>
  <c r="C37" i="6"/>
  <c r="F184" i="1"/>
  <c r="G70" i="1"/>
  <c r="G831" i="1"/>
  <c r="E1059" i="1"/>
  <c r="E108" i="1"/>
  <c r="D70" i="1"/>
  <c r="D299" i="1"/>
  <c r="D907" i="1"/>
  <c r="H907" i="1"/>
  <c r="H831" i="1"/>
  <c r="D869" i="1"/>
  <c r="H869" i="1"/>
  <c r="D1211" i="1"/>
  <c r="H451" i="1"/>
  <c r="D1135" i="1"/>
  <c r="E1211" i="1"/>
  <c r="D1249" i="1"/>
  <c r="D1287" i="1"/>
  <c r="H70" i="1"/>
  <c r="H299" i="1"/>
  <c r="D186" i="1"/>
  <c r="D181" i="1"/>
  <c r="E175" i="1"/>
  <c r="D192" i="1"/>
  <c r="D404" i="1"/>
  <c r="D383" i="1"/>
  <c r="D99" i="1"/>
  <c r="D860" i="1"/>
  <c r="D480" i="1"/>
  <c r="D518" i="1"/>
  <c r="D746" i="1"/>
  <c r="D708" i="1"/>
  <c r="D898" i="1"/>
  <c r="D61" i="1"/>
  <c r="D251" i="1"/>
  <c r="D822" i="1"/>
  <c r="D290" i="1"/>
  <c r="D213" i="1"/>
  <c r="D1544" i="1"/>
  <c r="D137" i="1"/>
  <c r="E366" i="1"/>
  <c r="D372" i="1"/>
  <c r="D377" i="1"/>
  <c r="F146" i="1"/>
  <c r="F920" i="1"/>
  <c r="H717" i="1"/>
  <c r="F1566" i="1"/>
  <c r="F768" i="1"/>
  <c r="F882" i="1"/>
  <c r="D641" i="1"/>
  <c r="E1287" i="1"/>
  <c r="E1553" i="1" l="1"/>
  <c r="D328" i="1"/>
  <c r="E328" i="1" s="1"/>
  <c r="F328" i="1" s="1"/>
  <c r="G328" i="1" s="1"/>
  <c r="H328" i="1" s="1"/>
  <c r="D755" i="1"/>
  <c r="E375" i="1"/>
  <c r="E755" i="1"/>
  <c r="D375" i="1"/>
  <c r="H220" i="1"/>
  <c r="G772" i="1"/>
  <c r="H772" i="1" s="1"/>
  <c r="G201" i="1"/>
  <c r="H322" i="1"/>
  <c r="H93" i="1"/>
  <c r="H125" i="1"/>
  <c r="D831" i="1"/>
  <c r="D339" i="1"/>
  <c r="E831" i="1"/>
  <c r="D594" i="1"/>
  <c r="D1468" i="1"/>
  <c r="D451" i="1"/>
  <c r="E451" i="1"/>
  <c r="H258" i="1"/>
  <c r="D146" i="1"/>
  <c r="E146" i="1"/>
  <c r="D222" i="1"/>
  <c r="G924" i="1"/>
  <c r="G886" i="1"/>
  <c r="G717" i="1"/>
  <c r="F390" i="1"/>
  <c r="G260" i="1"/>
  <c r="G222" i="1"/>
  <c r="G322" i="1"/>
  <c r="F25" i="8" s="1"/>
  <c r="G93" i="1"/>
  <c r="G413" i="1"/>
  <c r="G1572" i="1"/>
  <c r="D1260" i="1"/>
  <c r="D1298" i="1"/>
  <c r="G468" i="1"/>
  <c r="D652" i="1"/>
  <c r="D1108" i="1"/>
  <c r="D1412" i="1"/>
  <c r="D1070" i="1"/>
  <c r="F474" i="1"/>
  <c r="D1146" i="1"/>
  <c r="D1222" i="1"/>
  <c r="D1374" i="1"/>
  <c r="D1032" i="1"/>
  <c r="H392" i="1"/>
  <c r="G1371" i="1"/>
  <c r="G1067" i="1"/>
  <c r="G643" i="1"/>
  <c r="G1278" i="1"/>
  <c r="G1088" i="1"/>
  <c r="G1202" i="1"/>
  <c r="G448" i="1"/>
  <c r="G1018" i="1"/>
  <c r="G1219" i="1"/>
  <c r="G1029" i="1"/>
  <c r="G442" i="1"/>
  <c r="G1257" i="1"/>
  <c r="G1012" i="1"/>
  <c r="G1246" i="1"/>
  <c r="G1056" i="1"/>
  <c r="G1289" i="1"/>
  <c r="G1132" i="1"/>
  <c r="G638" i="1"/>
  <c r="G1251" i="1"/>
  <c r="G1208" i="1"/>
  <c r="G1365" i="1"/>
  <c r="G1284" i="1"/>
  <c r="G1295" i="1"/>
  <c r="G1403" i="1"/>
  <c r="G1213" i="1"/>
  <c r="G1023" i="1"/>
  <c r="G1240" i="1"/>
  <c r="G1409" i="1"/>
  <c r="G1094" i="1"/>
  <c r="G1105" i="1"/>
  <c r="G1392" i="1"/>
  <c r="G1143" i="1"/>
  <c r="G649" i="1"/>
  <c r="G1137" i="1"/>
  <c r="G459" i="1"/>
  <c r="G1398" i="1"/>
  <c r="G1354" i="1"/>
  <c r="G1126" i="1"/>
  <c r="G1061" i="1"/>
  <c r="G632" i="1"/>
  <c r="G1360" i="1"/>
  <c r="G1099" i="1"/>
  <c r="G1050" i="1"/>
  <c r="G453" i="1"/>
  <c r="F322" i="1"/>
  <c r="F888" i="1"/>
  <c r="F926" i="1"/>
  <c r="F774" i="1"/>
  <c r="F1572" i="1"/>
  <c r="E383" i="1"/>
  <c r="E181" i="1"/>
  <c r="E192" i="1"/>
  <c r="E186" i="1"/>
  <c r="E766" i="1"/>
  <c r="E197" i="1"/>
  <c r="E842" i="1"/>
  <c r="E322" i="1"/>
  <c r="E16" i="6"/>
  <c r="F16" i="6" s="1"/>
  <c r="E22" i="6"/>
  <c r="F22" i="6" s="1"/>
  <c r="E6" i="6"/>
  <c r="F6" i="6" s="1"/>
  <c r="E717" i="1"/>
  <c r="D717" i="1"/>
  <c r="F717" i="1"/>
  <c r="D527" i="1"/>
  <c r="F123" i="1"/>
  <c r="D322" i="1"/>
  <c r="D195" i="1"/>
  <c r="D260" i="1"/>
  <c r="E413" i="1"/>
  <c r="F175" i="1"/>
  <c r="D93" i="1"/>
  <c r="E260" i="1"/>
  <c r="F161" i="1"/>
  <c r="F260" i="1"/>
  <c r="E527" i="1"/>
  <c r="F222" i="1"/>
  <c r="D119" i="1"/>
  <c r="E222" i="1"/>
  <c r="F93" i="1"/>
  <c r="F413" i="1"/>
  <c r="E121" i="1"/>
  <c r="E93" i="1"/>
  <c r="F199" i="1"/>
  <c r="D413" i="1"/>
  <c r="F844" i="1"/>
  <c r="G527" i="1"/>
  <c r="E489" i="1"/>
  <c r="D833" i="1"/>
  <c r="E822" i="1"/>
  <c r="D839" i="1"/>
  <c r="D828" i="1"/>
  <c r="D497" i="1"/>
  <c r="E480" i="1"/>
  <c r="D491" i="1"/>
  <c r="D486" i="1"/>
  <c r="F540" i="1"/>
  <c r="F527" i="1"/>
  <c r="E404" i="1"/>
  <c r="D421" i="1"/>
  <c r="D410" i="1"/>
  <c r="D415" i="1"/>
  <c r="F489" i="1"/>
  <c r="D904" i="1"/>
  <c r="E898" i="1"/>
  <c r="G489" i="1"/>
  <c r="D489" i="1"/>
  <c r="D224" i="1"/>
  <c r="D219" i="1"/>
  <c r="E213" i="1"/>
  <c r="D230" i="1"/>
  <c r="D763" i="1"/>
  <c r="E746" i="1"/>
  <c r="D757" i="1"/>
  <c r="D752" i="1"/>
  <c r="H527" i="1"/>
  <c r="H489" i="1"/>
  <c r="E377" i="1"/>
  <c r="E372" i="1"/>
  <c r="F366" i="1"/>
  <c r="D154" i="1"/>
  <c r="E137" i="1"/>
  <c r="D143" i="1"/>
  <c r="D148" i="1"/>
  <c r="D301" i="1"/>
  <c r="D296" i="1"/>
  <c r="E290" i="1"/>
  <c r="D307" i="1"/>
  <c r="D72" i="1"/>
  <c r="D67" i="1"/>
  <c r="E61" i="1"/>
  <c r="D78" i="1"/>
  <c r="D535" i="1"/>
  <c r="E518" i="1"/>
  <c r="D529" i="1"/>
  <c r="D524" i="1"/>
  <c r="D110" i="1"/>
  <c r="D105" i="1"/>
  <c r="E99" i="1"/>
  <c r="D116" i="1"/>
  <c r="D1561" i="1"/>
  <c r="D1555" i="1"/>
  <c r="D1550" i="1"/>
  <c r="E1544" i="1"/>
  <c r="D262" i="1"/>
  <c r="D257" i="1"/>
  <c r="E251" i="1"/>
  <c r="D268" i="1"/>
  <c r="D719" i="1"/>
  <c r="D714" i="1"/>
  <c r="D725" i="1"/>
  <c r="E708" i="1"/>
  <c r="D871" i="1"/>
  <c r="D866" i="1"/>
  <c r="D877" i="1"/>
  <c r="E860" i="1"/>
  <c r="D345" i="1" l="1"/>
  <c r="D334" i="1"/>
  <c r="E334" i="1" s="1"/>
  <c r="G774" i="1"/>
  <c r="G778" i="1" s="1"/>
  <c r="H222" i="1"/>
  <c r="E388" i="1"/>
  <c r="D386" i="1"/>
  <c r="E345" i="1"/>
  <c r="C25" i="8"/>
  <c r="E339" i="1"/>
  <c r="H127" i="1"/>
  <c r="D25" i="8"/>
  <c r="E25" i="8"/>
  <c r="G25" i="8"/>
  <c r="H394" i="1"/>
  <c r="H201" i="1"/>
  <c r="G926" i="1"/>
  <c r="H774" i="1"/>
  <c r="G888" i="1"/>
  <c r="H260" i="1"/>
  <c r="G26" i="8"/>
  <c r="G19" i="8"/>
  <c r="G277" i="1"/>
  <c r="D233" i="1"/>
  <c r="G239" i="1"/>
  <c r="F26" i="8"/>
  <c r="F19" i="8"/>
  <c r="E26" i="8"/>
  <c r="D801" i="1"/>
  <c r="D790" i="1"/>
  <c r="D795" i="1"/>
  <c r="D676" i="1"/>
  <c r="D681" i="1"/>
  <c r="D687" i="1"/>
  <c r="D611" i="1"/>
  <c r="D605" i="1"/>
  <c r="D600" i="1"/>
  <c r="E594" i="1"/>
  <c r="D1512" i="1"/>
  <c r="D1523" i="1"/>
  <c r="D1517" i="1"/>
  <c r="D1485" i="1"/>
  <c r="D1479" i="1"/>
  <c r="D1474" i="1"/>
  <c r="E1468" i="1"/>
  <c r="D157" i="1"/>
  <c r="D462" i="1"/>
  <c r="B57" i="8"/>
  <c r="B56" i="8"/>
  <c r="B58" i="8"/>
  <c r="B55" i="8"/>
  <c r="B35" i="8"/>
  <c r="B30" i="8"/>
  <c r="B27" i="8"/>
  <c r="B24" i="8"/>
  <c r="B19" i="8"/>
  <c r="B23" i="8"/>
  <c r="B29" i="8"/>
  <c r="B32" i="8"/>
  <c r="B34" i="8"/>
  <c r="B25" i="8"/>
  <c r="B22" i="8"/>
  <c r="B20" i="8"/>
  <c r="B26" i="8"/>
  <c r="B33" i="8"/>
  <c r="B28" i="8"/>
  <c r="B21" i="8"/>
  <c r="B31" i="8"/>
  <c r="E159" i="1"/>
  <c r="D19" i="8"/>
  <c r="E19" i="8"/>
  <c r="C19" i="8"/>
  <c r="D1382" i="1"/>
  <c r="E1298" i="1"/>
  <c r="D1268" i="1"/>
  <c r="E1222" i="1"/>
  <c r="D1154" i="1"/>
  <c r="D1116" i="1"/>
  <c r="D1078" i="1"/>
  <c r="E1032" i="1"/>
  <c r="E1108" i="1"/>
  <c r="G850" i="1"/>
  <c r="H848" i="1"/>
  <c r="E1260" i="1"/>
  <c r="D1230" i="1"/>
  <c r="E1146" i="1"/>
  <c r="E1374" i="1"/>
  <c r="H453" i="1"/>
  <c r="H1360" i="1"/>
  <c r="H1354" i="1"/>
  <c r="H649" i="1"/>
  <c r="H1105" i="1"/>
  <c r="H1023" i="1"/>
  <c r="H1284" i="1"/>
  <c r="H1251" i="1"/>
  <c r="H1289" i="1"/>
  <c r="H1257" i="1"/>
  <c r="H1018" i="1"/>
  <c r="H1278" i="1"/>
  <c r="G544" i="1"/>
  <c r="H1050" i="1"/>
  <c r="H632" i="1"/>
  <c r="H1398" i="1"/>
  <c r="H1143" i="1"/>
  <c r="H1094" i="1"/>
  <c r="H1213" i="1"/>
  <c r="H1365" i="1"/>
  <c r="H1056" i="1"/>
  <c r="H442" i="1"/>
  <c r="H448" i="1"/>
  <c r="H643" i="1"/>
  <c r="E1743" i="1"/>
  <c r="H886" i="1"/>
  <c r="H1061" i="1"/>
  <c r="H459" i="1"/>
  <c r="H1392" i="1"/>
  <c r="H1409" i="1"/>
  <c r="H1403" i="1"/>
  <c r="H638" i="1"/>
  <c r="H1246" i="1"/>
  <c r="H1029" i="1"/>
  <c r="H1202" i="1"/>
  <c r="H1067" i="1"/>
  <c r="H163" i="1"/>
  <c r="H1099" i="1"/>
  <c r="H1126" i="1"/>
  <c r="H1137" i="1"/>
  <c r="H1240" i="1"/>
  <c r="H1295" i="1"/>
  <c r="H1208" i="1"/>
  <c r="H1132" i="1"/>
  <c r="H1012" i="1"/>
  <c r="H1219" i="1"/>
  <c r="H1088" i="1"/>
  <c r="H1371" i="1"/>
  <c r="G470" i="1"/>
  <c r="G430" i="1"/>
  <c r="G734" i="1"/>
  <c r="H924" i="1"/>
  <c r="G1576" i="1"/>
  <c r="H1570" i="1"/>
  <c r="H468" i="1"/>
  <c r="D1040" i="1"/>
  <c r="E1070" i="1"/>
  <c r="D1306" i="1"/>
  <c r="E1412" i="1"/>
  <c r="E652" i="1"/>
  <c r="D1420" i="1"/>
  <c r="D660" i="1"/>
  <c r="D1743" i="1"/>
  <c r="F778" i="1"/>
  <c r="D736" i="1"/>
  <c r="F892" i="1"/>
  <c r="F1576" i="1"/>
  <c r="F930" i="1"/>
  <c r="F61" i="1"/>
  <c r="E143" i="1"/>
  <c r="E833" i="1"/>
  <c r="E877" i="1"/>
  <c r="E725" i="1"/>
  <c r="F251" i="1"/>
  <c r="E1550" i="1"/>
  <c r="E110" i="1"/>
  <c r="F518" i="1"/>
  <c r="E67" i="1"/>
  <c r="E296" i="1"/>
  <c r="E752" i="1"/>
  <c r="E230" i="1"/>
  <c r="E415" i="1"/>
  <c r="E486" i="1"/>
  <c r="E828" i="1"/>
  <c r="F186" i="1"/>
  <c r="F181" i="1"/>
  <c r="E268" i="1"/>
  <c r="E105" i="1"/>
  <c r="E497" i="1"/>
  <c r="F428" i="1"/>
  <c r="F898" i="1"/>
  <c r="F850" i="1"/>
  <c r="F860" i="1"/>
  <c r="F708" i="1"/>
  <c r="F1544" i="1"/>
  <c r="E529" i="1"/>
  <c r="F290" i="1"/>
  <c r="E763" i="1"/>
  <c r="E224" i="1"/>
  <c r="E866" i="1"/>
  <c r="E714" i="1"/>
  <c r="E257" i="1"/>
  <c r="E1555" i="1"/>
  <c r="E116" i="1"/>
  <c r="E535" i="1"/>
  <c r="E72" i="1"/>
  <c r="E301" i="1"/>
  <c r="E154" i="1"/>
  <c r="E757" i="1"/>
  <c r="F213" i="1"/>
  <c r="E410" i="1"/>
  <c r="E491" i="1"/>
  <c r="E839" i="1"/>
  <c r="E871" i="1"/>
  <c r="E719" i="1"/>
  <c r="E262" i="1"/>
  <c r="E1561" i="1"/>
  <c r="E524" i="1"/>
  <c r="E78" i="1"/>
  <c r="E307" i="1"/>
  <c r="E148" i="1"/>
  <c r="F746" i="1"/>
  <c r="E219" i="1"/>
  <c r="E421" i="1"/>
  <c r="F546" i="1"/>
  <c r="F480" i="1"/>
  <c r="F822" i="1"/>
  <c r="F192" i="1"/>
  <c r="F383" i="1"/>
  <c r="E926" i="1"/>
  <c r="D926" i="1"/>
  <c r="D1572" i="1"/>
  <c r="G390" i="1"/>
  <c r="D850" i="1"/>
  <c r="G123" i="1"/>
  <c r="F121" i="1"/>
  <c r="E774" i="1"/>
  <c r="F197" i="1"/>
  <c r="G199" i="1"/>
  <c r="D774" i="1"/>
  <c r="G161" i="1"/>
  <c r="E195" i="1"/>
  <c r="D203" i="1"/>
  <c r="D888" i="1"/>
  <c r="E119" i="1"/>
  <c r="D127" i="1"/>
  <c r="E880" i="1"/>
  <c r="F237" i="1"/>
  <c r="E273" i="1"/>
  <c r="F502" i="1"/>
  <c r="F730" i="1"/>
  <c r="F99" i="1"/>
  <c r="D424" i="1"/>
  <c r="F137" i="1"/>
  <c r="F404" i="1"/>
  <c r="E1564" i="1"/>
  <c r="E235" i="1"/>
  <c r="F275" i="1"/>
  <c r="E426" i="1"/>
  <c r="D271" i="1"/>
  <c r="G175" i="1"/>
  <c r="E850" i="1"/>
  <c r="F377" i="1"/>
  <c r="F372" i="1"/>
  <c r="G366" i="1"/>
  <c r="G506" i="1"/>
  <c r="E904" i="1"/>
  <c r="D909" i="1"/>
  <c r="E728" i="1"/>
  <c r="D394" i="1" l="1"/>
  <c r="D398" i="1" s="1"/>
  <c r="E386" i="1"/>
  <c r="F388" i="1"/>
  <c r="E58" i="8"/>
  <c r="G930" i="1"/>
  <c r="F58" i="8"/>
  <c r="H778" i="1"/>
  <c r="G892" i="1"/>
  <c r="H165" i="1"/>
  <c r="H850" i="1"/>
  <c r="H1572" i="1"/>
  <c r="F339" i="1"/>
  <c r="F345" i="1"/>
  <c r="F334" i="1"/>
  <c r="H888" i="1"/>
  <c r="H926" i="1"/>
  <c r="G546" i="1"/>
  <c r="H239" i="1"/>
  <c r="H470" i="1"/>
  <c r="H203" i="1"/>
  <c r="G854" i="1"/>
  <c r="F43" i="8"/>
  <c r="E462" i="1"/>
  <c r="D29" i="6"/>
  <c r="E233" i="1"/>
  <c r="E42" i="8"/>
  <c r="F60" i="8"/>
  <c r="F59" i="8"/>
  <c r="E60" i="8"/>
  <c r="E59" i="8"/>
  <c r="F42" i="8"/>
  <c r="E43" i="8"/>
  <c r="E1474" i="1"/>
  <c r="E1517" i="1"/>
  <c r="E1512" i="1"/>
  <c r="E1479" i="1"/>
  <c r="E1523" i="1"/>
  <c r="E611" i="1"/>
  <c r="E681" i="1"/>
  <c r="F594" i="1"/>
  <c r="E676" i="1"/>
  <c r="E790" i="1"/>
  <c r="E605" i="1"/>
  <c r="F1468" i="1"/>
  <c r="E1485" i="1"/>
  <c r="E600" i="1"/>
  <c r="E687" i="1"/>
  <c r="E795" i="1"/>
  <c r="E801" i="1"/>
  <c r="E157" i="1"/>
  <c r="D165" i="1"/>
  <c r="D241" i="1"/>
  <c r="D470" i="1"/>
  <c r="F159" i="1"/>
  <c r="D1120" i="1"/>
  <c r="E1306" i="1"/>
  <c r="E1040" i="1"/>
  <c r="E1116" i="1"/>
  <c r="E1230" i="1"/>
  <c r="D1386" i="1"/>
  <c r="D1310" i="1"/>
  <c r="D1272" i="1"/>
  <c r="D1234" i="1"/>
  <c r="D1158" i="1"/>
  <c r="D1044" i="1"/>
  <c r="D1082" i="1"/>
  <c r="E1154" i="1"/>
  <c r="E1382" i="1"/>
  <c r="E1268" i="1"/>
  <c r="E1078" i="1"/>
  <c r="E1420" i="1"/>
  <c r="F550" i="1"/>
  <c r="G165" i="1"/>
  <c r="H277" i="1"/>
  <c r="G474" i="1"/>
  <c r="H544" i="1"/>
  <c r="E660" i="1"/>
  <c r="H430" i="1"/>
  <c r="H734" i="1"/>
  <c r="G736" i="1"/>
  <c r="G203" i="1"/>
  <c r="F127" i="1"/>
  <c r="G127" i="1"/>
  <c r="H175" i="1"/>
  <c r="G394" i="1"/>
  <c r="D1754" i="1"/>
  <c r="D664" i="1"/>
  <c r="D1424" i="1"/>
  <c r="G428" i="1"/>
  <c r="D740" i="1"/>
  <c r="G898" i="1"/>
  <c r="F904" i="1"/>
  <c r="D1576" i="1"/>
  <c r="G192" i="1"/>
  <c r="G480" i="1"/>
  <c r="F421" i="1"/>
  <c r="F148" i="1"/>
  <c r="F78" i="1"/>
  <c r="F1561" i="1"/>
  <c r="F719" i="1"/>
  <c r="F839" i="1"/>
  <c r="F410" i="1"/>
  <c r="F154" i="1"/>
  <c r="F72" i="1"/>
  <c r="F116" i="1"/>
  <c r="F257" i="1"/>
  <c r="F866" i="1"/>
  <c r="F763" i="1"/>
  <c r="F529" i="1"/>
  <c r="G708" i="1"/>
  <c r="F105" i="1"/>
  <c r="G181" i="1"/>
  <c r="F828" i="1"/>
  <c r="F415" i="1"/>
  <c r="F296" i="1"/>
  <c r="G518" i="1"/>
  <c r="F1550" i="1"/>
  <c r="F725" i="1"/>
  <c r="F833" i="1"/>
  <c r="F143" i="1"/>
  <c r="E127" i="1"/>
  <c r="F854" i="1"/>
  <c r="F736" i="1"/>
  <c r="F508" i="1"/>
  <c r="G383" i="1"/>
  <c r="G822" i="1"/>
  <c r="F219" i="1"/>
  <c r="G746" i="1"/>
  <c r="F307" i="1"/>
  <c r="F524" i="1"/>
  <c r="F262" i="1"/>
  <c r="F871" i="1"/>
  <c r="F491" i="1"/>
  <c r="G213" i="1"/>
  <c r="F757" i="1"/>
  <c r="F301" i="1"/>
  <c r="F535" i="1"/>
  <c r="F1555" i="1"/>
  <c r="F714" i="1"/>
  <c r="F224" i="1"/>
  <c r="G290" i="1"/>
  <c r="G1544" i="1"/>
  <c r="G860" i="1"/>
  <c r="F497" i="1"/>
  <c r="F268" i="1"/>
  <c r="G186" i="1"/>
  <c r="F486" i="1"/>
  <c r="F230" i="1"/>
  <c r="F752" i="1"/>
  <c r="F67" i="1"/>
  <c r="F110" i="1"/>
  <c r="G251" i="1"/>
  <c r="F877" i="1"/>
  <c r="G61" i="1"/>
  <c r="F203" i="1"/>
  <c r="D930" i="1"/>
  <c r="E930" i="1"/>
  <c r="E1572" i="1"/>
  <c r="D508" i="1"/>
  <c r="E538" i="1"/>
  <c r="D131" i="1"/>
  <c r="E854" i="1"/>
  <c r="D854" i="1"/>
  <c r="D207" i="1"/>
  <c r="E203" i="1"/>
  <c r="D778" i="1"/>
  <c r="E778" i="1"/>
  <c r="F426" i="1"/>
  <c r="D432" i="1"/>
  <c r="E736" i="1"/>
  <c r="E888" i="1"/>
  <c r="D892" i="1"/>
  <c r="F235" i="1"/>
  <c r="G237" i="1"/>
  <c r="G275" i="1"/>
  <c r="F273" i="1"/>
  <c r="E271" i="1"/>
  <c r="D279" i="1"/>
  <c r="D546" i="1"/>
  <c r="E424" i="1"/>
  <c r="G404" i="1"/>
  <c r="G137" i="1"/>
  <c r="G99" i="1"/>
  <c r="G377" i="1"/>
  <c r="G372" i="1"/>
  <c r="H366" i="1"/>
  <c r="E500" i="1"/>
  <c r="D915" i="1"/>
  <c r="E909" i="1"/>
  <c r="H141" i="1"/>
  <c r="H103" i="1"/>
  <c r="H408" i="1"/>
  <c r="H370" i="1"/>
  <c r="G508" i="1"/>
  <c r="H506" i="1"/>
  <c r="E394" i="1" l="1"/>
  <c r="E398" i="1" s="1"/>
  <c r="F394" i="1"/>
  <c r="F39" i="8"/>
  <c r="C58" i="8"/>
  <c r="C44" i="8"/>
  <c r="F40" i="8"/>
  <c r="C34" i="8"/>
  <c r="E39" i="8"/>
  <c r="G550" i="1"/>
  <c r="H241" i="1"/>
  <c r="H930" i="1"/>
  <c r="H373" i="1"/>
  <c r="H892" i="1"/>
  <c r="H411" i="1"/>
  <c r="H413" i="1" s="1"/>
  <c r="H383" i="1"/>
  <c r="H131" i="1"/>
  <c r="G345" i="1"/>
  <c r="G334" i="1"/>
  <c r="G339" i="1"/>
  <c r="H1576" i="1"/>
  <c r="H854" i="1"/>
  <c r="H474" i="1"/>
  <c r="H546" i="1"/>
  <c r="H736" i="1"/>
  <c r="H432" i="1"/>
  <c r="H279" i="1"/>
  <c r="H207" i="1"/>
  <c r="E470" i="1"/>
  <c r="G42" i="8"/>
  <c r="G43" i="8"/>
  <c r="F41" i="8"/>
  <c r="F33" i="8"/>
  <c r="C20" i="8"/>
  <c r="C56" i="8"/>
  <c r="C53" i="8"/>
  <c r="D474" i="1"/>
  <c r="D39" i="8"/>
  <c r="C43" i="8"/>
  <c r="C49" i="8"/>
  <c r="C22" i="8"/>
  <c r="D43" i="8"/>
  <c r="C39" i="8"/>
  <c r="C50" i="8"/>
  <c r="E241" i="1"/>
  <c r="C52" i="8"/>
  <c r="C48" i="8"/>
  <c r="C38" i="8"/>
  <c r="C37" i="8"/>
  <c r="E41" i="8"/>
  <c r="E40" i="8"/>
  <c r="C47" i="8"/>
  <c r="C27" i="8"/>
  <c r="C36" i="8"/>
  <c r="C35" i="8"/>
  <c r="C46" i="8"/>
  <c r="C45" i="8"/>
  <c r="C41" i="8"/>
  <c r="C40" i="8"/>
  <c r="C42" i="8"/>
  <c r="C55" i="8"/>
  <c r="C54" i="8"/>
  <c r="C51" i="8"/>
  <c r="E33" i="8"/>
  <c r="F687" i="1"/>
  <c r="G1468" i="1"/>
  <c r="F790" i="1"/>
  <c r="G594" i="1"/>
  <c r="F1517" i="1"/>
  <c r="F801" i="1"/>
  <c r="F1523" i="1"/>
  <c r="F795" i="1"/>
  <c r="F600" i="1"/>
  <c r="F1485" i="1"/>
  <c r="F605" i="1"/>
  <c r="F676" i="1"/>
  <c r="F681" i="1"/>
  <c r="F1479" i="1"/>
  <c r="F1474" i="1"/>
  <c r="F611" i="1"/>
  <c r="F1512" i="1"/>
  <c r="D169" i="1"/>
  <c r="E165" i="1"/>
  <c r="D245" i="1"/>
  <c r="F165" i="1"/>
  <c r="E1044" i="1"/>
  <c r="E1310" i="1"/>
  <c r="H146" i="1"/>
  <c r="E1234" i="1"/>
  <c r="E1120" i="1"/>
  <c r="F398" i="1"/>
  <c r="E1082" i="1"/>
  <c r="E1386" i="1"/>
  <c r="E1158" i="1"/>
  <c r="E1272" i="1"/>
  <c r="E1424" i="1"/>
  <c r="F131" i="1"/>
  <c r="E664" i="1"/>
  <c r="G279" i="1"/>
  <c r="G432" i="1"/>
  <c r="G740" i="1"/>
  <c r="F36" i="8" s="1"/>
  <c r="G241" i="1"/>
  <c r="E1591" i="1"/>
  <c r="G512" i="1"/>
  <c r="G169" i="1"/>
  <c r="F207" i="1"/>
  <c r="G207" i="1"/>
  <c r="G131" i="1"/>
  <c r="E131" i="1"/>
  <c r="H137" i="1"/>
  <c r="H61" i="1"/>
  <c r="H860" i="1"/>
  <c r="H518" i="1"/>
  <c r="H480" i="1"/>
  <c r="H404" i="1"/>
  <c r="H186" i="1"/>
  <c r="H213" i="1"/>
  <c r="H822" i="1"/>
  <c r="H181" i="1"/>
  <c r="H898" i="1"/>
  <c r="H1544" i="1"/>
  <c r="H192" i="1"/>
  <c r="H290" i="1"/>
  <c r="H99" i="1"/>
  <c r="H251" i="1"/>
  <c r="H746" i="1"/>
  <c r="H708" i="1"/>
  <c r="G398" i="1"/>
  <c r="D1762" i="1"/>
  <c r="E1754" i="1"/>
  <c r="D1591" i="1"/>
  <c r="F279" i="1"/>
  <c r="F241" i="1"/>
  <c r="D436" i="1"/>
  <c r="G67" i="1"/>
  <c r="G230" i="1"/>
  <c r="G497" i="1"/>
  <c r="G224" i="1"/>
  <c r="G1555" i="1"/>
  <c r="G301" i="1"/>
  <c r="G871" i="1"/>
  <c r="G524" i="1"/>
  <c r="F512" i="1"/>
  <c r="G143" i="1"/>
  <c r="G725" i="1"/>
  <c r="G828" i="1"/>
  <c r="G105" i="1"/>
  <c r="G529" i="1"/>
  <c r="G866" i="1"/>
  <c r="G116" i="1"/>
  <c r="G154" i="1"/>
  <c r="G410" i="1"/>
  <c r="G719" i="1"/>
  <c r="G78" i="1"/>
  <c r="D512" i="1"/>
  <c r="G904" i="1"/>
  <c r="E915" i="1"/>
  <c r="F909" i="1"/>
  <c r="G877" i="1"/>
  <c r="G110" i="1"/>
  <c r="G752" i="1"/>
  <c r="G486" i="1"/>
  <c r="G268" i="1"/>
  <c r="G714" i="1"/>
  <c r="G535" i="1"/>
  <c r="G757" i="1"/>
  <c r="G491" i="1"/>
  <c r="G262" i="1"/>
  <c r="G307" i="1"/>
  <c r="G219" i="1"/>
  <c r="F740" i="1"/>
  <c r="G833" i="1"/>
  <c r="G1550" i="1"/>
  <c r="G296" i="1"/>
  <c r="G415" i="1"/>
  <c r="G763" i="1"/>
  <c r="G257" i="1"/>
  <c r="G72" i="1"/>
  <c r="G839" i="1"/>
  <c r="G1561" i="1"/>
  <c r="G148" i="1"/>
  <c r="G421" i="1"/>
  <c r="E1576" i="1"/>
  <c r="E508" i="1"/>
  <c r="D550" i="1"/>
  <c r="E546" i="1"/>
  <c r="E207" i="1"/>
  <c r="E432" i="1"/>
  <c r="E740" i="1"/>
  <c r="F432" i="1"/>
  <c r="E892" i="1"/>
  <c r="E279" i="1"/>
  <c r="D283" i="1"/>
  <c r="H377" i="1"/>
  <c r="H372" i="1"/>
  <c r="H508" i="1"/>
  <c r="H245" i="1" l="1"/>
  <c r="D34" i="8"/>
  <c r="D40" i="8"/>
  <c r="G41" i="8"/>
  <c r="G39" i="8"/>
  <c r="E36" i="8"/>
  <c r="G20" i="8"/>
  <c r="E474" i="1"/>
  <c r="D44" i="8"/>
  <c r="D58" i="8"/>
  <c r="C28" i="8"/>
  <c r="G60" i="8"/>
  <c r="G58" i="8"/>
  <c r="H283" i="1"/>
  <c r="H375" i="1"/>
  <c r="H334" i="1"/>
  <c r="H345" i="1"/>
  <c r="H1468" i="1"/>
  <c r="H594" i="1"/>
  <c r="G59" i="8"/>
  <c r="H339" i="1"/>
  <c r="G40" i="8"/>
  <c r="H550" i="1"/>
  <c r="G22" i="8"/>
  <c r="H740" i="1"/>
  <c r="H169" i="1"/>
  <c r="H512" i="1"/>
  <c r="F21" i="8"/>
  <c r="F27" i="8"/>
  <c r="F20" i="8"/>
  <c r="F31" i="8"/>
  <c r="F37" i="8"/>
  <c r="F22" i="8"/>
  <c r="C24" i="8"/>
  <c r="D52" i="8"/>
  <c r="D47" i="8"/>
  <c r="C33" i="8"/>
  <c r="D20" i="8"/>
  <c r="D49" i="8"/>
  <c r="D53" i="8"/>
  <c r="D42" i="8"/>
  <c r="D22" i="8"/>
  <c r="C31" i="8"/>
  <c r="C29" i="8"/>
  <c r="D56" i="8"/>
  <c r="D50" i="8"/>
  <c r="E31" i="8"/>
  <c r="E22" i="8"/>
  <c r="E20" i="8"/>
  <c r="E245" i="1"/>
  <c r="D48" i="8"/>
  <c r="E27" i="8"/>
  <c r="D41" i="8"/>
  <c r="D38" i="8"/>
  <c r="D37" i="8"/>
  <c r="D36" i="8"/>
  <c r="D35" i="8"/>
  <c r="D55" i="8"/>
  <c r="D54" i="8"/>
  <c r="E38" i="8"/>
  <c r="E37" i="8"/>
  <c r="D46" i="8"/>
  <c r="D45" i="8"/>
  <c r="D27" i="8"/>
  <c r="D51" i="8"/>
  <c r="C30" i="8"/>
  <c r="C32" i="8"/>
  <c r="F32" i="8"/>
  <c r="F38" i="8"/>
  <c r="C23" i="8"/>
  <c r="G32" i="8"/>
  <c r="E32" i="8"/>
  <c r="C21" i="8"/>
  <c r="G1512" i="1"/>
  <c r="G1474" i="1"/>
  <c r="G681" i="1"/>
  <c r="G600" i="1"/>
  <c r="G801" i="1"/>
  <c r="G790" i="1"/>
  <c r="G611" i="1"/>
  <c r="G1479" i="1"/>
  <c r="G676" i="1"/>
  <c r="G795" i="1"/>
  <c r="G1523" i="1"/>
  <c r="G1517" i="1"/>
  <c r="G687" i="1"/>
  <c r="G605" i="1"/>
  <c r="G1485" i="1"/>
  <c r="E169" i="1"/>
  <c r="F169" i="1"/>
  <c r="F283" i="1"/>
  <c r="E1762" i="1"/>
  <c r="G436" i="1"/>
  <c r="F28" i="8" s="1"/>
  <c r="F245" i="1"/>
  <c r="G245" i="1"/>
  <c r="G283" i="1"/>
  <c r="H72" i="1"/>
  <c r="H219" i="1"/>
  <c r="H410" i="1"/>
  <c r="H725" i="1"/>
  <c r="H497" i="1"/>
  <c r="H1561" i="1"/>
  <c r="H257" i="1"/>
  <c r="H307" i="1"/>
  <c r="H535" i="1"/>
  <c r="H752" i="1"/>
  <c r="H105" i="1"/>
  <c r="H301" i="1"/>
  <c r="H763" i="1"/>
  <c r="H262" i="1"/>
  <c r="H904" i="1"/>
  <c r="H828" i="1"/>
  <c r="H148" i="1"/>
  <c r="H296" i="1"/>
  <c r="H757" i="1"/>
  <c r="H486" i="1"/>
  <c r="H529" i="1"/>
  <c r="H871" i="1"/>
  <c r="H1550" i="1"/>
  <c r="H154" i="1"/>
  <c r="H143" i="1"/>
  <c r="H230" i="1"/>
  <c r="H839" i="1"/>
  <c r="H833" i="1"/>
  <c r="H714" i="1"/>
  <c r="H110" i="1"/>
  <c r="H78" i="1"/>
  <c r="H116" i="1"/>
  <c r="H1555" i="1"/>
  <c r="H67" i="1"/>
  <c r="H421" i="1"/>
  <c r="H415" i="1"/>
  <c r="H491" i="1"/>
  <c r="H268" i="1"/>
  <c r="H877" i="1"/>
  <c r="H719" i="1"/>
  <c r="H866" i="1"/>
  <c r="H524" i="1"/>
  <c r="H224" i="1"/>
  <c r="D1766" i="1"/>
  <c r="D1602" i="1"/>
  <c r="G909" i="1"/>
  <c r="F915" i="1"/>
  <c r="E512" i="1"/>
  <c r="E550" i="1"/>
  <c r="F436" i="1"/>
  <c r="E436" i="1"/>
  <c r="E283" i="1"/>
  <c r="H436" i="1" l="1"/>
  <c r="G23" i="8"/>
  <c r="G24" i="8"/>
  <c r="D28" i="8"/>
  <c r="G37" i="8"/>
  <c r="G36" i="8"/>
  <c r="E28" i="8"/>
  <c r="C63" i="8"/>
  <c r="H398" i="1"/>
  <c r="G27" i="8" s="1"/>
  <c r="G33" i="8"/>
  <c r="H1485" i="1"/>
  <c r="H1523" i="1"/>
  <c r="H611" i="1"/>
  <c r="H681" i="1"/>
  <c r="H605" i="1"/>
  <c r="H795" i="1"/>
  <c r="H790" i="1"/>
  <c r="H1474" i="1"/>
  <c r="H687" i="1"/>
  <c r="H676" i="1"/>
  <c r="H801" i="1"/>
  <c r="H1512" i="1"/>
  <c r="H1517" i="1"/>
  <c r="H1479" i="1"/>
  <c r="H600" i="1"/>
  <c r="G38" i="8"/>
  <c r="G21" i="8"/>
  <c r="G30" i="8"/>
  <c r="G31" i="8"/>
  <c r="F24" i="8"/>
  <c r="F30" i="8"/>
  <c r="D24" i="8"/>
  <c r="C64" i="8"/>
  <c r="D29" i="8"/>
  <c r="D23" i="8"/>
  <c r="E29" i="8"/>
  <c r="E24" i="8"/>
  <c r="D32" i="8"/>
  <c r="G29" i="8"/>
  <c r="F29" i="8"/>
  <c r="D31" i="8"/>
  <c r="D33" i="8"/>
  <c r="E21" i="8"/>
  <c r="F23" i="8"/>
  <c r="D30" i="8"/>
  <c r="E30" i="8"/>
  <c r="C65" i="8"/>
  <c r="E23" i="8"/>
  <c r="D21" i="8"/>
  <c r="E1766" i="1"/>
  <c r="H909" i="1"/>
  <c r="E1602" i="1"/>
  <c r="D1610" i="1"/>
  <c r="D26" i="8"/>
  <c r="G915" i="1"/>
  <c r="D63" i="8" l="1"/>
  <c r="G28" i="8"/>
  <c r="G71" i="8" s="1"/>
  <c r="F71" i="8"/>
  <c r="E71" i="8"/>
  <c r="D64" i="8"/>
  <c r="D65" i="8"/>
  <c r="E1610" i="1"/>
  <c r="H915" i="1"/>
  <c r="C26" i="8"/>
  <c r="D1614" i="1"/>
  <c r="B53" i="8"/>
  <c r="F32" i="6"/>
  <c r="C28" i="6"/>
  <c r="B37" i="8"/>
  <c r="B52" i="8"/>
  <c r="B49" i="8"/>
  <c r="B43" i="8"/>
  <c r="B47" i="8"/>
  <c r="B51" i="8"/>
  <c r="B54" i="8"/>
  <c r="B40" i="8"/>
  <c r="B44" i="8"/>
  <c r="D30" i="6"/>
  <c r="E18" i="6"/>
  <c r="D19" i="6"/>
  <c r="B35" i="6"/>
  <c r="C40" i="6"/>
  <c r="B40" i="6"/>
  <c r="F17" i="6"/>
  <c r="C19" i="6"/>
  <c r="C27" i="6"/>
  <c r="C17" i="6"/>
  <c r="E12" i="6"/>
  <c r="B17" i="6"/>
  <c r="C26" i="6"/>
  <c r="B25" i="6"/>
  <c r="D12" i="6"/>
  <c r="C12" i="6"/>
  <c r="D27" i="6"/>
  <c r="B13" i="6"/>
  <c r="D40" i="6"/>
  <c r="B38" i="8"/>
  <c r="E29" i="6"/>
  <c r="C59" i="8" l="1"/>
  <c r="C60" i="8"/>
  <c r="C61" i="8"/>
  <c r="E1614" i="1"/>
  <c r="F35" i="6"/>
  <c r="E13" i="6"/>
  <c r="E14" i="6" s="1"/>
  <c r="D13" i="6"/>
  <c r="D35" i="6"/>
  <c r="B39" i="8"/>
  <c r="B46" i="8"/>
  <c r="F31" i="6"/>
  <c r="C25" i="6"/>
  <c r="C13" i="6"/>
  <c r="B18" i="6"/>
  <c r="F19" i="6"/>
  <c r="E32" i="6"/>
  <c r="F13" i="6"/>
  <c r="B42" i="8"/>
  <c r="C18" i="6"/>
  <c r="B26" i="6"/>
  <c r="B45" i="8"/>
  <c r="E35" i="6"/>
  <c r="B12" i="6"/>
  <c r="E17" i="6"/>
  <c r="F12" i="6"/>
  <c r="C35" i="6"/>
  <c r="D17" i="6"/>
  <c r="D28" i="6"/>
  <c r="B19" i="6"/>
  <c r="B41" i="8"/>
  <c r="F18" i="6"/>
  <c r="E31" i="6"/>
  <c r="B48" i="8"/>
  <c r="D18" i="6"/>
  <c r="B50" i="8"/>
  <c r="E19" i="6"/>
  <c r="E30" i="6"/>
  <c r="D59" i="8" l="1"/>
  <c r="F33" i="6"/>
  <c r="C71" i="8"/>
  <c r="D60" i="8"/>
  <c r="D61" i="8"/>
  <c r="B36" i="8"/>
  <c r="C5" i="8" s="1"/>
  <c r="F20" i="6"/>
  <c r="D14" i="6"/>
  <c r="E33" i="6"/>
  <c r="E20" i="6"/>
  <c r="B20" i="6"/>
  <c r="D20" i="6"/>
  <c r="C14" i="6"/>
  <c r="D33" i="6"/>
  <c r="C20" i="6"/>
  <c r="B14" i="6"/>
  <c r="C33" i="6"/>
  <c r="B33" i="6"/>
  <c r="F14" i="6"/>
  <c r="D71" i="8" l="1"/>
  <c r="D9" i="8"/>
  <c r="C10" i="8"/>
  <c r="F12" i="8"/>
  <c r="D13" i="8"/>
  <c r="E12" i="8"/>
  <c r="G11" i="8"/>
  <c r="D12" i="8"/>
  <c r="F13" i="8"/>
  <c r="C12" i="8"/>
  <c r="F10" i="8"/>
  <c r="G13" i="8"/>
  <c r="E10" i="8"/>
  <c r="E13" i="8"/>
  <c r="F11" i="8"/>
  <c r="D10" i="8"/>
  <c r="G12" i="8"/>
  <c r="C13" i="8"/>
  <c r="G10" i="8"/>
  <c r="E11" i="8"/>
  <c r="F8" i="8"/>
  <c r="G8" i="8"/>
  <c r="G9" i="8"/>
  <c r="E8" i="8"/>
  <c r="C6" i="8"/>
  <c r="G6" i="8"/>
  <c r="F9" i="8"/>
  <c r="D8" i="8"/>
  <c r="C8" i="8"/>
  <c r="C11" i="8"/>
  <c r="E6" i="8"/>
  <c r="F6" i="8"/>
  <c r="D11" i="8"/>
  <c r="F7" i="8"/>
  <c r="E9" i="8"/>
  <c r="G7" i="8"/>
  <c r="D6" i="8"/>
  <c r="E7" i="8"/>
  <c r="F5" i="8"/>
  <c r="E5" i="8"/>
  <c r="D7" i="8"/>
  <c r="G5" i="8"/>
  <c r="C9" i="8"/>
  <c r="C7" i="8"/>
  <c r="D5" i="8"/>
  <c r="B38" i="6"/>
  <c r="F38" i="6"/>
  <c r="E38" i="6"/>
  <c r="D38" i="6"/>
  <c r="C38" i="6"/>
  <c r="G14" i="8" l="1"/>
  <c r="G72" i="8" s="1"/>
  <c r="C14" i="8"/>
  <c r="E14" i="8"/>
  <c r="F14" i="8"/>
  <c r="D14" i="8"/>
  <c r="F15" i="8" l="1"/>
  <c r="F72" i="8"/>
  <c r="E15" i="8"/>
  <c r="E72" i="8"/>
  <c r="D15" i="8"/>
  <c r="D72" i="8"/>
  <c r="C15" i="8"/>
  <c r="C72" i="8"/>
  <c r="G15" i="8"/>
</calcChain>
</file>

<file path=xl/sharedStrings.xml><?xml version="1.0" encoding="utf-8"?>
<sst xmlns="http://schemas.openxmlformats.org/spreadsheetml/2006/main" count="6131" uniqueCount="293">
  <si>
    <t>Eligible</t>
  </si>
  <si>
    <t>Not Eligible</t>
  </si>
  <si>
    <t>---</t>
  </si>
  <si>
    <t>Reporting Entity:</t>
  </si>
  <si>
    <t>Facility Name:</t>
  </si>
  <si>
    <t>Reporting Date:</t>
  </si>
  <si>
    <t>Distributed Generation Bonus</t>
  </si>
  <si>
    <t>Quantity Required for Compliance</t>
  </si>
  <si>
    <t>Start Year</t>
  </si>
  <si>
    <t>WA State RCW 19.285 Requirement</t>
  </si>
  <si>
    <t>Extra Apprenticeship Credit</t>
  </si>
  <si>
    <t>Delivered Load to Retail Customers (MWh)</t>
  </si>
  <si>
    <t>Adjustment for Events Beyond Control</t>
  </si>
  <si>
    <t>Facility WREGIS ID:</t>
  </si>
  <si>
    <t>Extra Apprenticeship Credit Eligibility:</t>
  </si>
  <si>
    <t>Distributed Generation Bonus Eligibility:</t>
  </si>
  <si>
    <t>Sales and Transfers</t>
  </si>
  <si>
    <t>Net Surplus Adjustments</t>
  </si>
  <si>
    <t>RCW 19.285 Compliance Need</t>
  </si>
  <si>
    <t>Eligible Quantity Acquired</t>
  </si>
  <si>
    <t>Percent of Qualifying MWh Allocated to WA</t>
  </si>
  <si>
    <t>MWh Allocated to WA Compliance</t>
  </si>
  <si>
    <t>Eligible MWh Available for RCW 19.285 Compliance</t>
  </si>
  <si>
    <t>Bonus Incentives Transferred</t>
  </si>
  <si>
    <t>Total Quantity Available for RCW 19.285 Compliance</t>
  </si>
  <si>
    <t>Percent of MWh Qualifying Under RCW 19.285</t>
  </si>
  <si>
    <t>Contribution to RCW 19.285 Compliance</t>
  </si>
  <si>
    <t>RCW 19.285 Compliance Surplus / (Deficit)</t>
  </si>
  <si>
    <t>Extra Apprenticeship Labor Bonus</t>
  </si>
  <si>
    <t>Bonus Incentive Eligibility</t>
  </si>
  <si>
    <t>REC Sales / Transfers</t>
  </si>
  <si>
    <t>Qualifying MWh Allocated to WA</t>
  </si>
  <si>
    <t>Checklist Item</t>
  </si>
  <si>
    <t>Cell/Row Description</t>
  </si>
  <si>
    <t>Units</t>
  </si>
  <si>
    <t>Cell/Row</t>
  </si>
  <si>
    <t>Comments</t>
  </si>
  <si>
    <t>Text</t>
  </si>
  <si>
    <t>Year</t>
  </si>
  <si>
    <t>Reporting Entity</t>
  </si>
  <si>
    <t>Reporting Date</t>
  </si>
  <si>
    <t>Delivered Load to Retail Customers</t>
  </si>
  <si>
    <t>MWh</t>
  </si>
  <si>
    <t>Enter the name of the reporting entity</t>
  </si>
  <si>
    <t xml:space="preserve">Enter the MWh delivered to customers </t>
  </si>
  <si>
    <t>Enter "X" When Complete</t>
  </si>
  <si>
    <t>Enter the date the report is submitted</t>
  </si>
  <si>
    <t>Quantity of RECs Sold</t>
  </si>
  <si>
    <t>Facility Name</t>
  </si>
  <si>
    <t>B2:B31</t>
  </si>
  <si>
    <t>Enter the name of the qualifying facility or contract</t>
  </si>
  <si>
    <t>WREGIS ID</t>
  </si>
  <si>
    <t>C2:C31</t>
  </si>
  <si>
    <t>Enter the WREGIS ID for the qualifying facility</t>
  </si>
  <si>
    <t>Extra Apprenticeship Credit Eligibility</t>
  </si>
  <si>
    <t>Toggle</t>
  </si>
  <si>
    <t>D2:D31</t>
  </si>
  <si>
    <t>E2:E31</t>
  </si>
  <si>
    <t>For facilities that qualify for extra apprenticeship credits select "Eligible". Select "Not Eligible for non-qualifying facilities.</t>
  </si>
  <si>
    <t>For facilities that qualify for distributed generation select "Eligible". Select "Not Eligible for non-qualifying facilities.</t>
  </si>
  <si>
    <t>Total MWh Produced from Facility</t>
  </si>
  <si>
    <t>Number</t>
  </si>
  <si>
    <t>Percent of MWh Qualifying</t>
  </si>
  <si>
    <t>D39:F39</t>
  </si>
  <si>
    <t>Quantity of RECs from MWh Sold</t>
  </si>
  <si>
    <t>%</t>
  </si>
  <si>
    <t>Percent of Qualifying MWh Allocated to WA State Compliance</t>
  </si>
  <si>
    <t>D51:F51</t>
  </si>
  <si>
    <t>2011 Surplus Applied to 2012</t>
  </si>
  <si>
    <t>2012 Surplus Applied to 2011</t>
  </si>
  <si>
    <t>2012 Surplus Applied to 2013</t>
  </si>
  <si>
    <t>2013 Surplus Applied to 2012</t>
  </si>
  <si>
    <t>Enter the amount of RECs procured in 2011 used for compliance in 2012</t>
  </si>
  <si>
    <t>Enter the amount of RECs procured in 2012 used for compliance in 2011</t>
  </si>
  <si>
    <t>Enter the amount of RECs procured in 2012 used for compliance in 2013</t>
  </si>
  <si>
    <t>Enter the amount of RECs procured in 2013 used for compliance in 2012</t>
  </si>
  <si>
    <t>Distributed Generation Eligibility</t>
  </si>
  <si>
    <t>Enter the annual amount of transferred RECs procured from bonus incentives</t>
  </si>
  <si>
    <t>Enter the percent of qualifying MWh used for compliance with RCW 19.285. Used for facilities that are utilized for RPS compliance in two or more states.</t>
  </si>
  <si>
    <t>Enter the percent of MWh produced that are eligible for meeting RCW 19.285</t>
  </si>
  <si>
    <t>Enter the annual MWh output from the qualifying facility</t>
  </si>
  <si>
    <t>"Facility Detail" Worksheet</t>
  </si>
  <si>
    <t>General Instructions:</t>
  </si>
  <si>
    <t>White shading indicate formulated cells</t>
  </si>
  <si>
    <t>Yellow shading indicate cells where inputs are entered</t>
  </si>
  <si>
    <t>Green shading indicate cells with dropdown lists</t>
  </si>
  <si>
    <t>Blue shading indicates summary calculations</t>
  </si>
  <si>
    <t>Grey shading indicates cells where information is not required</t>
  </si>
  <si>
    <t>Enter the annual amount of RECs sold.  For Multi-Jurisdictional Utilities, enter in annual WA allocated amount of RECs sold.</t>
  </si>
  <si>
    <t>Bonus Incentives Not Realized</t>
  </si>
  <si>
    <t>Total Sold / Transferred / Unrealized</t>
  </si>
  <si>
    <t>D40:F40</t>
  </si>
  <si>
    <t>D41:F41</t>
  </si>
  <si>
    <t>D52:F52</t>
  </si>
  <si>
    <t>E58</t>
  </si>
  <si>
    <t>Enter the annual MWh not produced due to events beyond control as outlined in RCW 19.285.040 (2)(i)</t>
  </si>
  <si>
    <t>Enter the annual number of bonus incentives that were not realized</t>
  </si>
  <si>
    <t>B2</t>
  </si>
  <si>
    <t>B4</t>
  </si>
  <si>
    <t>B7:E7</t>
  </si>
  <si>
    <t>Adjustments</t>
  </si>
  <si>
    <t>D50:F50</t>
  </si>
  <si>
    <t>D56</t>
  </si>
  <si>
    <t>E57</t>
  </si>
  <si>
    <t>F59</t>
  </si>
  <si>
    <t>D62:F62</t>
  </si>
  <si>
    <t>Facility Types</t>
  </si>
  <si>
    <t>Wind</t>
  </si>
  <si>
    <t>Solar</t>
  </si>
  <si>
    <t>Geothermal</t>
  </si>
  <si>
    <t>Landfill Gas</t>
  </si>
  <si>
    <t>Wave, Ocean, Tidal</t>
  </si>
  <si>
    <t>Biomass</t>
  </si>
  <si>
    <t>Sewage Treatment Gas</t>
  </si>
  <si>
    <t>Water (Incremental Hydro)</t>
  </si>
  <si>
    <t>Facility Type</t>
  </si>
  <si>
    <t>F2:F31</t>
  </si>
  <si>
    <t>Select the generation type for the qualifying facility</t>
  </si>
  <si>
    <t>Compliance Contribution by Generation Type</t>
  </si>
  <si>
    <t>Non REC Eligible Generation</t>
  </si>
  <si>
    <t>Biodiesel Fuel</t>
  </si>
  <si>
    <t>Total Quantity from Non REC Eligible Generation</t>
  </si>
  <si>
    <t>Quantity from Non REC Eligible Generation</t>
  </si>
  <si>
    <t>"Compliance Summary" Worksheet</t>
  </si>
  <si>
    <t>Instructions in this section identify the input locations for the 1st facility found in the "Facility Detail" worksheet.  Inputs for facilities 2 through 30, also found in the "Facility Detail" worksheet, are identical to facility 1.</t>
  </si>
  <si>
    <t>Online Date:</t>
  </si>
  <si>
    <t>In both the "Compliance Summary" and "Facility Detail" worksheets, utilities may need to protect commercially sensitive information by use of the CONFIDENTIAL designation.</t>
  </si>
  <si>
    <t>Wild Horse</t>
  </si>
  <si>
    <t>Hopkins Ridge</t>
  </si>
  <si>
    <t>Klondike III</t>
  </si>
  <si>
    <t>W183</t>
  </si>
  <si>
    <t>W184</t>
  </si>
  <si>
    <t>W237</t>
  </si>
  <si>
    <t>Wild Horse Phase II</t>
  </si>
  <si>
    <t>Hopkins Ridge Phase II</t>
  </si>
  <si>
    <t>W1364</t>
  </si>
  <si>
    <t>W1382</t>
  </si>
  <si>
    <t>W2669</t>
  </si>
  <si>
    <t>W2670</t>
  </si>
  <si>
    <t>Lower Snake River - Dodge Junction</t>
  </si>
  <si>
    <t>Lower Snake River - Phalen Gulch</t>
  </si>
  <si>
    <t>Baker River Project</t>
  </si>
  <si>
    <t>Snoqualmie Falls Project</t>
  </si>
  <si>
    <t>Attachment 3</t>
  </si>
  <si>
    <t>Instructions in the section are for the cells B2:F31.  Each row represents a different facility.  FIRST UPDATE cell B1053 For Start Year</t>
  </si>
  <si>
    <t>W4865</t>
  </si>
  <si>
    <t>W4866</t>
  </si>
  <si>
    <t>Not Applicable</t>
  </si>
  <si>
    <t>Puget Sound Energy</t>
  </si>
  <si>
    <t>ATTACHMENT 3</t>
  </si>
  <si>
    <t>W238</t>
  </si>
  <si>
    <t>W248</t>
  </si>
  <si>
    <t>W3260</t>
  </si>
  <si>
    <t>W5069</t>
  </si>
  <si>
    <t>W5070</t>
  </si>
  <si>
    <t>W5076</t>
  </si>
  <si>
    <t>W774</t>
  </si>
  <si>
    <t>W833</t>
  </si>
  <si>
    <t>Actual Retirements for RPS Compliance</t>
  </si>
  <si>
    <t>W1875</t>
  </si>
  <si>
    <t>W1862</t>
  </si>
  <si>
    <t>W3186</t>
  </si>
  <si>
    <t>W3185</t>
  </si>
  <si>
    <t>W2869</t>
  </si>
  <si>
    <t>W697</t>
  </si>
  <si>
    <t>W1882</t>
  </si>
  <si>
    <t>W1844</t>
  </si>
  <si>
    <t>W2616</t>
  </si>
  <si>
    <t>W1885</t>
  </si>
  <si>
    <t>W2323</t>
  </si>
  <si>
    <t>W1881</t>
  </si>
  <si>
    <t>W1883</t>
  </si>
  <si>
    <t>W1503</t>
  </si>
  <si>
    <t>W360</t>
  </si>
  <si>
    <t>Compared to the Compliance Plan, there is a surplus of 73,450 MWh that PSE plans to bank for 2021 RPS compliance.</t>
  </si>
  <si>
    <t>Meadow Creek Wind Farm - Five Pine Project</t>
  </si>
  <si>
    <t>Golden Valley Wind Park - Golden Valley Wind Park</t>
  </si>
  <si>
    <t>Facility Fuel Type</t>
  </si>
  <si>
    <t>Facility Status</t>
  </si>
  <si>
    <t>PSE owned</t>
  </si>
  <si>
    <t>PPA</t>
  </si>
  <si>
    <t>REC only</t>
  </si>
  <si>
    <t>Klondike 1</t>
  </si>
  <si>
    <t>Horse Butte Wind</t>
  </si>
  <si>
    <t>Grand View 5 East</t>
  </si>
  <si>
    <t>Grand View 2 West</t>
  </si>
  <si>
    <t>ID Solar 1</t>
  </si>
  <si>
    <t>Condon Wind Power</t>
  </si>
  <si>
    <t>Condon Wind Power Phase II</t>
  </si>
  <si>
    <t>Camp Reed Wind Park - Camp Reed Wind Park</t>
  </si>
  <si>
    <t>Klondike III - Klondike Wind Power III LLC</t>
  </si>
  <si>
    <t>Meadow Creek Wind Farm - North Point Wind Farm</t>
  </si>
  <si>
    <t>Mountain Air Wind Projects - Mountain Air Wind Projects</t>
  </si>
  <si>
    <t>Nine Canyon Wind Project - Nine Canyon Phase 3</t>
  </si>
  <si>
    <t>Oregon Trail Wind Park, LLC - Oregon Trail Wind Park</t>
  </si>
  <si>
    <t>PaTu Wind Farm - PaTu Wind</t>
  </si>
  <si>
    <t>Roseburg LFG - Roseburg LFG Energy</t>
  </si>
  <si>
    <t>Salmon Falls Wind Park, LLC - Salmon Falls Wind Park</t>
  </si>
  <si>
    <t>Sawtooth Wind Project - Sawtooth Wind Project</t>
  </si>
  <si>
    <t>Thousand Springs Wind Park, LLC - Thousand Springs Wind Park</t>
  </si>
  <si>
    <t>Tuana Gulch Wind Park, LLC - Tuana Gulch Wind Park</t>
  </si>
  <si>
    <t>Tuana Springs Energy, LLC - Tuana Springs</t>
  </si>
  <si>
    <t>White Creek Wind 1 - White Creek</t>
  </si>
  <si>
    <t>INSERT ABOVE THIS LINE</t>
  </si>
  <si>
    <t>Priest Rapids</t>
  </si>
  <si>
    <t>Cosmo Specialty Fibers - Cos1</t>
  </si>
  <si>
    <t>Cosmo Specialty Fibers Inc. - COS2</t>
  </si>
  <si>
    <t>Goodnoe Hills - Goodnoe Hills</t>
  </si>
  <si>
    <t>Hidden Hollow Energy LLC - Hidden Hollow Energy</t>
  </si>
  <si>
    <t>Klondike IIIa - Klondike Wind Power IIIa</t>
  </si>
  <si>
    <t>Marengo - Marengo</t>
  </si>
  <si>
    <t>Nine Canyon Wind Project - Nine Canyon Wind Project</t>
  </si>
  <si>
    <t>Rolling Hills - Rolling Hills</t>
  </si>
  <si>
    <t>Stateline (WA) - FPL Energy Vansycle LLC</t>
  </si>
  <si>
    <t>stimson lumber-plummer - stimson-plummer</t>
  </si>
  <si>
    <t>Stoltze Cogeneration Plant - Stoltze CoGen1</t>
  </si>
  <si>
    <t>Top of the World - Top of the World</t>
  </si>
  <si>
    <t>W2233</t>
  </si>
  <si>
    <t>W2242</t>
  </si>
  <si>
    <t>W536</t>
  </si>
  <si>
    <t>W1634</t>
  </si>
  <si>
    <t>Biogas</t>
  </si>
  <si>
    <t>W817</t>
  </si>
  <si>
    <t>W185</t>
  </si>
  <si>
    <t>W684</t>
  </si>
  <si>
    <t>W928</t>
  </si>
  <si>
    <t>W813</t>
  </si>
  <si>
    <t>W3662</t>
  </si>
  <si>
    <t>W1749</t>
  </si>
  <si>
    <t>Sierra Pacific Burlington - Sierra Pacific Burlington</t>
  </si>
  <si>
    <t>W1491</t>
  </si>
  <si>
    <t>check</t>
  </si>
  <si>
    <t>Owned/Contracted</t>
  </si>
  <si>
    <t>Spot</t>
  </si>
  <si>
    <t>Total MWh Produced from Baker River Project</t>
  </si>
  <si>
    <t>2016 Surplus Applied to 2017</t>
  </si>
  <si>
    <t>2017 Surplus Applied to 2016</t>
  </si>
  <si>
    <t>2017 Surplus Applied to 2018</t>
  </si>
  <si>
    <t>2018 Surplus Applied to 2017</t>
  </si>
  <si>
    <t>2018 Surplus Applied to 2019</t>
  </si>
  <si>
    <t>2019 Surplus Applied to 2018</t>
  </si>
  <si>
    <t>2019 Surplus Applied to 2020</t>
  </si>
  <si>
    <t>2020 Surplus Applied to 2019</t>
  </si>
  <si>
    <t>2020 Surplus Applied to 2021</t>
  </si>
  <si>
    <t>2021 Surplus Applied to 2020</t>
  </si>
  <si>
    <t>Total MWh Produced from Hopkins Ridge</t>
  </si>
  <si>
    <t>Total MWh Produced from Hopkins Ridge Phase II</t>
  </si>
  <si>
    <t>Total MWh Purchased from Klondike III</t>
  </si>
  <si>
    <t>Total MWh Produced from Lower Snake River - Dodge Junction</t>
  </si>
  <si>
    <t>Total MWh Produced from Lower Snake River - Phalen Gulch</t>
  </si>
  <si>
    <t>Total MWh Produced from Snoqualmie Falls Project</t>
  </si>
  <si>
    <t>Total MWh Purchased from Sierra Pacific Burlington - Sierra Pacific Burlington</t>
  </si>
  <si>
    <t>Total MWh Produced from Wild Horse</t>
  </si>
  <si>
    <t>Produced from Wild Horse Phase II</t>
  </si>
  <si>
    <t>Purchased from Camp Reed Wind Park - Camp Reed Wind Park</t>
  </si>
  <si>
    <t>Purchased from Condon Wind Power</t>
  </si>
  <si>
    <t>Purchased from Condon Wind Power Phase II</t>
  </si>
  <si>
    <t>Purchased from Cosmo Specialty Fibers - Cos1</t>
  </si>
  <si>
    <t>Purchased from Cosmo Specialty Fibers Inc. - COS2</t>
  </si>
  <si>
    <t>Purchased from Golden Valley Wind Park - Golden Valley Wind Park</t>
  </si>
  <si>
    <t>Purchased from Goodnoe Hills - Goodnoe Hills</t>
  </si>
  <si>
    <t>Purchased from Grand View 2 West</t>
  </si>
  <si>
    <t>Purchased from Grand View 5 East</t>
  </si>
  <si>
    <t>Purchased from Hidden Hollow Energy LLC - Hidden Hollow Energy</t>
  </si>
  <si>
    <t>Purchased from Horse Butte Wind</t>
  </si>
  <si>
    <t>Purchased from ID Solar 1</t>
  </si>
  <si>
    <t>Purchased from Klondike 1</t>
  </si>
  <si>
    <t>Purchased from Klondike III - Klondike Wind Power III LLC</t>
  </si>
  <si>
    <t>Purchased from Klondike IIIa - Klondike Wind Power IIIa</t>
  </si>
  <si>
    <t>Purchased from Marengo - Marengo</t>
  </si>
  <si>
    <t>Purchased from Meadow Creek Wind Farm - Five Pine Project</t>
  </si>
  <si>
    <t>Purchased from Meadow Creek Wind Farm - North Point Wind Farm</t>
  </si>
  <si>
    <t>Purchased from Mountain Air Wind Projects - Mountain Air Wind Projects</t>
  </si>
  <si>
    <t>Purchased from Nine Canyon Wind Project - Nine Canyon Phase 3</t>
  </si>
  <si>
    <t>Purchased from Nine Canyon Wind Project - Nine Canyon Wind Project</t>
  </si>
  <si>
    <t>Purchased from Oregon Trail Wind Park, LLC - Oregon Trail Wind Park</t>
  </si>
  <si>
    <t>Purchased from PaTu Wind Farm - PaTu Wind</t>
  </si>
  <si>
    <t>Purchased from Rolling Hills - Rolling Hills</t>
  </si>
  <si>
    <t>Purchased from Roseburg LFG - Roseburg LFG Energy</t>
  </si>
  <si>
    <t>Purchased from Salmon Falls Wind Park, LLC - Salmon Falls Wind Park</t>
  </si>
  <si>
    <t>Purchased from Sawtooth Wind Project - Sawtooth Wind Project</t>
  </si>
  <si>
    <t>Purchased from Stateline (WA) - FPL Energy Vansycle LLC</t>
  </si>
  <si>
    <t>Purchased from stimson lumber-plummer - stimson-plummer</t>
  </si>
  <si>
    <t>Purchased from Stoltze Cogeneration Plant - Stoltze CoGen1</t>
  </si>
  <si>
    <t>Purchased from Thousand Springs Wind Park, LLC - Thousand Springs Wind Park</t>
  </si>
  <si>
    <t>Purchased from Top of the World - Top of the World</t>
  </si>
  <si>
    <t>Purchased from Tuana Gulch Wind Park, LLC - Tuana Gulch Wind Park</t>
  </si>
  <si>
    <t>Purchased from Tuana Springs Energy, LLC - Tuana Springs</t>
  </si>
  <si>
    <t>Total MWh Purchased from White Creek Wind 1 - White Creek</t>
  </si>
  <si>
    <t>c</t>
  </si>
  <si>
    <t>Baker estimated RPS Eligible generation based on Incremental Hydro Calculation Method 2.   Baker Project WREGIS Registration was completed June, 2016</t>
  </si>
  <si>
    <t>PUGET SOUND ENERGY - 2021 RPS REPORT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</si>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</sst>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.000000"/>
    <numFmt numFmtId="167" formatCode="[$-409]d\-mmm\-yy;@"/>
    <numFmt numFmtId="168" formatCode="0.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8"/>
      <name val="Arial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24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name val="Times New Roman"/>
      <family val="1"/>
    </font>
    <font>
      <b/>
      <sz val="18"/>
      <name val="Calibri"/>
      <family val="2"/>
    </font>
    <font>
      <sz val="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/>
    <xf numFmtId="166" fontId="4" fillId="0" borderId="0">
      <alignment horizontal="left" wrapText="1"/>
    </xf>
    <xf numFmtId="9" fontId="4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24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164" fontId="5" fillId="2" borderId="2" xfId="1" applyNumberFormat="1" applyFont="1" applyFill="1" applyBorder="1"/>
    <xf numFmtId="164" fontId="5" fillId="2" borderId="3" xfId="1" applyNumberFormat="1" applyFont="1" applyFill="1" applyBorder="1"/>
    <xf numFmtId="0" fontId="6" fillId="0" borderId="0" xfId="0" applyFont="1"/>
    <xf numFmtId="164" fontId="6" fillId="0" borderId="0" xfId="1" applyNumberFormat="1" applyFont="1"/>
    <xf numFmtId="0" fontId="5" fillId="0" borderId="4" xfId="0" applyFont="1" applyBorder="1"/>
    <xf numFmtId="0" fontId="7" fillId="0" borderId="0" xfId="0" applyFont="1"/>
    <xf numFmtId="164" fontId="5" fillId="2" borderId="5" xfId="1" applyNumberFormat="1" applyFont="1" applyFill="1" applyBorder="1"/>
    <xf numFmtId="164" fontId="5" fillId="0" borderId="2" xfId="1" applyNumberFormat="1" applyFont="1" applyBorder="1"/>
    <xf numFmtId="164" fontId="5" fillId="0" borderId="3" xfId="1" applyNumberFormat="1" applyFont="1" applyBorder="1"/>
    <xf numFmtId="0" fontId="9" fillId="0" borderId="0" xfId="0" applyFont="1"/>
    <xf numFmtId="164" fontId="5" fillId="0" borderId="0" xfId="1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9" xfId="0" quotePrefix="1" applyFont="1" applyFill="1" applyBorder="1"/>
    <xf numFmtId="164" fontId="6" fillId="0" borderId="0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5" fillId="0" borderId="0" xfId="5" applyFont="1" applyFill="1" applyBorder="1" applyAlignment="1">
      <alignment horizontal="center"/>
    </xf>
    <xf numFmtId="0" fontId="5" fillId="0" borderId="0" xfId="0" applyFont="1" applyFill="1" applyBorder="1"/>
    <xf numFmtId="164" fontId="5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64" fontId="6" fillId="0" borderId="0" xfId="1" applyNumberFormat="1" applyFont="1" applyFill="1" applyBorder="1"/>
    <xf numFmtId="0" fontId="5" fillId="0" borderId="0" xfId="0" applyFont="1" applyBorder="1"/>
    <xf numFmtId="164" fontId="5" fillId="0" borderId="0" xfId="1" applyNumberFormat="1" applyFont="1" applyBorder="1"/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164" fontId="5" fillId="4" borderId="0" xfId="1" applyNumberFormat="1" applyFont="1" applyFill="1" applyBorder="1"/>
    <xf numFmtId="164" fontId="6" fillId="0" borderId="13" xfId="1" applyNumberFormat="1" applyFont="1" applyBorder="1"/>
    <xf numFmtId="0" fontId="7" fillId="0" borderId="0" xfId="0" applyFont="1" applyBorder="1"/>
    <xf numFmtId="0" fontId="7" fillId="0" borderId="0" xfId="0" applyFont="1" applyFill="1" applyBorder="1"/>
    <xf numFmtId="164" fontId="6" fillId="5" borderId="0" xfId="1" applyNumberFormat="1" applyFont="1" applyFill="1" applyBorder="1"/>
    <xf numFmtId="164" fontId="5" fillId="2" borderId="17" xfId="1" applyNumberFormat="1" applyFont="1" applyFill="1" applyBorder="1"/>
    <xf numFmtId="9" fontId="5" fillId="2" borderId="12" xfId="5" applyFont="1" applyFill="1" applyBorder="1"/>
    <xf numFmtId="9" fontId="5" fillId="2" borderId="17" xfId="5" applyFont="1" applyFill="1" applyBorder="1"/>
    <xf numFmtId="164" fontId="5" fillId="0" borderId="12" xfId="1" applyNumberFormat="1" applyFont="1" applyBorder="1"/>
    <xf numFmtId="164" fontId="5" fillId="0" borderId="17" xfId="1" applyNumberFormat="1" applyFont="1" applyBorder="1"/>
    <xf numFmtId="164" fontId="5" fillId="0" borderId="18" xfId="1" applyNumberFormat="1" applyFont="1" applyFill="1" applyBorder="1"/>
    <xf numFmtId="164" fontId="5" fillId="0" borderId="12" xfId="1" applyNumberFormat="1" applyFont="1" applyFill="1" applyBorder="1"/>
    <xf numFmtId="0" fontId="10" fillId="0" borderId="0" xfId="0" applyFont="1" applyAlignment="1">
      <alignment horizontal="left" vertical="center" wrapText="1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7" xfId="1" applyNumberFormat="1" applyFont="1" applyFill="1" applyBorder="1" applyAlignment="1">
      <alignment horizontal="center" vertical="center"/>
    </xf>
    <xf numFmtId="164" fontId="5" fillId="0" borderId="5" xfId="1" applyNumberFormat="1" applyFont="1" applyFill="1" applyBorder="1"/>
    <xf numFmtId="0" fontId="5" fillId="0" borderId="19" xfId="0" applyFont="1" applyBorder="1"/>
    <xf numFmtId="0" fontId="6" fillId="0" borderId="0" xfId="0" applyFont="1" applyAlignment="1">
      <alignment horizontal="left" indent="2"/>
    </xf>
    <xf numFmtId="0" fontId="6" fillId="0" borderId="0" xfId="0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19" xfId="0" applyBorder="1" applyAlignment="1"/>
    <xf numFmtId="0" fontId="5" fillId="0" borderId="19" xfId="0" applyFont="1" applyBorder="1" applyAlignment="1">
      <alignment horizontal="left" indent="2"/>
    </xf>
    <xf numFmtId="0" fontId="11" fillId="0" borderId="0" xfId="0" applyFont="1"/>
    <xf numFmtId="166" fontId="10" fillId="6" borderId="7" xfId="4" applyFont="1" applyFill="1" applyBorder="1" applyAlignment="1">
      <alignment horizontal="center" vertical="center" wrapText="1"/>
    </xf>
    <xf numFmtId="166" fontId="5" fillId="0" borderId="7" xfId="4" applyFont="1" applyBorder="1" applyAlignment="1">
      <alignment vertical="center" wrapText="1"/>
    </xf>
    <xf numFmtId="1" fontId="5" fillId="0" borderId="7" xfId="4" applyNumberFormat="1" applyFont="1" applyBorder="1" applyAlignment="1">
      <alignment horizontal="center" vertical="center" wrapText="1"/>
    </xf>
    <xf numFmtId="166" fontId="5" fillId="0" borderId="7" xfId="4" applyFont="1" applyBorder="1" applyAlignment="1">
      <alignment horizontal="center" vertical="center" wrapText="1"/>
    </xf>
    <xf numFmtId="166" fontId="5" fillId="0" borderId="7" xfId="4" applyFont="1" applyFill="1" applyBorder="1" applyAlignment="1">
      <alignment horizontal="center" vertical="center" wrapText="1"/>
    </xf>
    <xf numFmtId="0" fontId="0" fillId="0" borderId="0" xfId="0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 indent="2" shrinkToFit="1"/>
    </xf>
    <xf numFmtId="166" fontId="5" fillId="0" borderId="7" xfId="4" applyFont="1" applyFill="1" applyBorder="1" applyAlignment="1">
      <alignment vertical="center" wrapText="1"/>
    </xf>
    <xf numFmtId="9" fontId="5" fillId="0" borderId="12" xfId="5" applyFont="1" applyBorder="1" applyAlignment="1">
      <alignment horizontal="center"/>
    </xf>
    <xf numFmtId="9" fontId="5" fillId="0" borderId="17" xfId="5" applyFont="1" applyBorder="1" applyAlignment="1">
      <alignment horizontal="center"/>
    </xf>
    <xf numFmtId="164" fontId="5" fillId="0" borderId="13" xfId="1" applyNumberFormat="1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/>
    </xf>
    <xf numFmtId="164" fontId="5" fillId="2" borderId="15" xfId="1" applyNumberFormat="1" applyFont="1" applyFill="1" applyBorder="1"/>
    <xf numFmtId="164" fontId="5" fillId="2" borderId="16" xfId="1" applyNumberFormat="1" applyFont="1" applyFill="1" applyBorder="1"/>
    <xf numFmtId="0" fontId="5" fillId="0" borderId="0" xfId="0" applyFont="1" applyBorder="1" applyAlignment="1">
      <alignment horizontal="left" indent="2"/>
    </xf>
    <xf numFmtId="0" fontId="6" fillId="0" borderId="0" xfId="0" applyFont="1" applyFill="1" applyBorder="1" applyAlignment="1">
      <alignment horizontal="left" indent="2"/>
    </xf>
    <xf numFmtId="0" fontId="5" fillId="2" borderId="9" xfId="0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6" xfId="0" applyFont="1" applyBorder="1"/>
    <xf numFmtId="164" fontId="15" fillId="0" borderId="1" xfId="1" applyNumberFormat="1" applyFont="1" applyBorder="1"/>
    <xf numFmtId="164" fontId="15" fillId="0" borderId="2" xfId="1" applyNumberFormat="1" applyFont="1" applyBorder="1"/>
    <xf numFmtId="164" fontId="15" fillId="0" borderId="3" xfId="1" applyNumberFormat="1" applyFont="1" applyBorder="1"/>
    <xf numFmtId="0" fontId="15" fillId="0" borderId="8" xfId="0" applyFont="1" applyBorder="1"/>
    <xf numFmtId="164" fontId="15" fillId="0" borderId="10" xfId="1" applyNumberFormat="1" applyFont="1" applyBorder="1"/>
    <xf numFmtId="164" fontId="15" fillId="0" borderId="5" xfId="1" applyNumberFormat="1" applyFont="1" applyBorder="1"/>
    <xf numFmtId="164" fontId="15" fillId="0" borderId="18" xfId="1" applyNumberFormat="1" applyFont="1" applyBorder="1"/>
    <xf numFmtId="164" fontId="15" fillId="0" borderId="11" xfId="1" applyNumberFormat="1" applyFont="1" applyBorder="1"/>
    <xf numFmtId="164" fontId="15" fillId="0" borderId="12" xfId="1" applyNumberFormat="1" applyFont="1" applyBorder="1"/>
    <xf numFmtId="164" fontId="15" fillId="0" borderId="17" xfId="1" applyNumberFormat="1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164" fontId="18" fillId="0" borderId="0" xfId="1" applyNumberFormat="1" applyFont="1"/>
    <xf numFmtId="166" fontId="5" fillId="0" borderId="13" xfId="4" applyFont="1" applyBorder="1" applyAlignment="1">
      <alignment horizontal="center" vertical="center" wrapText="1"/>
    </xf>
    <xf numFmtId="1" fontId="5" fillId="0" borderId="13" xfId="4" applyNumberFormat="1" applyFont="1" applyBorder="1" applyAlignment="1">
      <alignment horizontal="center" vertical="center" wrapText="1"/>
    </xf>
    <xf numFmtId="166" fontId="5" fillId="0" borderId="13" xfId="4" applyFont="1" applyBorder="1" applyAlignment="1">
      <alignment vertical="center" wrapText="1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167" fontId="5" fillId="2" borderId="3" xfId="0" applyNumberFormat="1" applyFont="1" applyFill="1" applyBorder="1" applyAlignment="1">
      <alignment horizontal="center"/>
    </xf>
    <xf numFmtId="167" fontId="5" fillId="2" borderId="18" xfId="0" applyNumberFormat="1" applyFont="1" applyFill="1" applyBorder="1" applyAlignment="1">
      <alignment horizontal="center"/>
    </xf>
    <xf numFmtId="167" fontId="5" fillId="2" borderId="17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164" fontId="5" fillId="0" borderId="20" xfId="1" applyNumberFormat="1" applyFont="1" applyBorder="1"/>
    <xf numFmtId="164" fontId="5" fillId="0" borderId="22" xfId="1" applyNumberFormat="1" applyFont="1" applyBorder="1"/>
    <xf numFmtId="164" fontId="5" fillId="2" borderId="23" xfId="1" applyNumberFormat="1" applyFont="1" applyFill="1" applyBorder="1"/>
    <xf numFmtId="164" fontId="10" fillId="6" borderId="23" xfId="1" applyNumberFormat="1" applyFont="1" applyFill="1" applyBorder="1"/>
    <xf numFmtId="164" fontId="5" fillId="7" borderId="5" xfId="1" applyNumberFormat="1" applyFont="1" applyFill="1" applyBorder="1"/>
    <xf numFmtId="164" fontId="5" fillId="7" borderId="10" xfId="1" applyNumberFormat="1" applyFont="1" applyFill="1" applyBorder="1"/>
    <xf numFmtId="164" fontId="5" fillId="7" borderId="11" xfId="1" applyNumberFormat="1" applyFont="1" applyFill="1" applyBorder="1"/>
    <xf numFmtId="164" fontId="5" fillId="7" borderId="12" xfId="1" applyNumberFormat="1" applyFont="1" applyFill="1" applyBorder="1"/>
    <xf numFmtId="164" fontId="5" fillId="7" borderId="18" xfId="1" applyNumberFormat="1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5" fillId="0" borderId="0" xfId="0" applyFont="1" applyFill="1"/>
    <xf numFmtId="0" fontId="9" fillId="0" borderId="0" xfId="0" applyFont="1" applyFill="1"/>
    <xf numFmtId="0" fontId="7" fillId="0" borderId="0" xfId="0" applyFont="1" applyFill="1"/>
    <xf numFmtId="164" fontId="6" fillId="0" borderId="0" xfId="1" applyNumberFormat="1" applyFont="1" applyAlignment="1">
      <alignment horizontal="right"/>
    </xf>
    <xf numFmtId="0" fontId="19" fillId="0" borderId="0" xfId="0" applyFont="1"/>
    <xf numFmtId="0" fontId="5" fillId="3" borderId="5" xfId="0" applyFont="1" applyFill="1" applyBorder="1" applyAlignment="1">
      <alignment horizontal="center" wrapText="1"/>
    </xf>
    <xf numFmtId="0" fontId="13" fillId="0" borderId="0" xfId="0" applyFont="1"/>
    <xf numFmtId="164" fontId="6" fillId="0" borderId="0" xfId="1" applyNumberFormat="1" applyFont="1" applyFill="1" applyAlignment="1">
      <alignment horizontal="right"/>
    </xf>
    <xf numFmtId="164" fontId="6" fillId="0" borderId="0" xfId="1" applyNumberFormat="1" applyFont="1" applyFill="1"/>
    <xf numFmtId="164" fontId="6" fillId="4" borderId="0" xfId="1" applyNumberFormat="1" applyFont="1" applyFill="1" applyBorder="1"/>
    <xf numFmtId="9" fontId="5" fillId="2" borderId="5" xfId="5" applyNumberFormat="1" applyFont="1" applyFill="1" applyBorder="1"/>
    <xf numFmtId="9" fontId="5" fillId="2" borderId="18" xfId="5" applyNumberFormat="1" applyFont="1" applyFill="1" applyBorder="1"/>
    <xf numFmtId="164" fontId="5" fillId="0" borderId="10" xfId="1" applyNumberFormat="1" applyFont="1" applyFill="1" applyBorder="1"/>
    <xf numFmtId="168" fontId="5" fillId="2" borderId="5" xfId="5" applyNumberFormat="1" applyFont="1" applyFill="1" applyBorder="1"/>
    <xf numFmtId="168" fontId="5" fillId="2" borderId="18" xfId="5" applyNumberFormat="1" applyFont="1" applyFill="1" applyBorder="1"/>
    <xf numFmtId="164" fontId="5" fillId="2" borderId="5" xfId="1" applyNumberFormat="1" applyFont="1" applyFill="1" applyBorder="1" applyAlignment="1"/>
    <xf numFmtId="164" fontId="5" fillId="2" borderId="18" xfId="1" applyNumberFormat="1" applyFont="1" applyFill="1" applyBorder="1" applyAlignment="1"/>
    <xf numFmtId="164" fontId="5" fillId="2" borderId="12" xfId="1" applyNumberFormat="1" applyFont="1" applyFill="1" applyBorder="1" applyAlignment="1"/>
    <xf numFmtId="164" fontId="5" fillId="2" borderId="17" xfId="1" applyNumberFormat="1" applyFont="1" applyFill="1" applyBorder="1" applyAlignment="1"/>
    <xf numFmtId="164" fontId="6" fillId="0" borderId="0" xfId="0" applyNumberFormat="1" applyFont="1"/>
    <xf numFmtId="164" fontId="5" fillId="2" borderId="27" xfId="1" applyNumberFormat="1" applyFont="1" applyFill="1" applyBorder="1" applyAlignment="1">
      <alignment horizontal="center"/>
    </xf>
    <xf numFmtId="164" fontId="5" fillId="2" borderId="28" xfId="1" applyNumberFormat="1" applyFont="1" applyFill="1" applyBorder="1" applyAlignment="1">
      <alignment horizontal="center"/>
    </xf>
    <xf numFmtId="9" fontId="5" fillId="0" borderId="11" xfId="5" applyFont="1" applyBorder="1" applyAlignment="1">
      <alignment horizontal="center"/>
    </xf>
    <xf numFmtId="164" fontId="5" fillId="0" borderId="26" xfId="1" applyNumberFormat="1" applyFont="1" applyFill="1" applyBorder="1"/>
    <xf numFmtId="164" fontId="5" fillId="0" borderId="27" xfId="1" applyNumberFormat="1" applyFont="1" applyFill="1" applyBorder="1"/>
    <xf numFmtId="164" fontId="5" fillId="0" borderId="28" xfId="1" applyNumberFormat="1" applyFont="1" applyFill="1" applyBorder="1"/>
    <xf numFmtId="164" fontId="5" fillId="0" borderId="11" xfId="1" applyNumberFormat="1" applyFont="1" applyBorder="1"/>
    <xf numFmtId="164" fontId="5" fillId="0" borderId="17" xfId="1" applyNumberFormat="1" applyFont="1" applyFill="1" applyBorder="1"/>
    <xf numFmtId="164" fontId="5" fillId="0" borderId="27" xfId="1" applyNumberFormat="1" applyFont="1" applyFill="1" applyBorder="1" applyAlignment="1">
      <alignment horizontal="center"/>
    </xf>
    <xf numFmtId="164" fontId="5" fillId="0" borderId="28" xfId="1" applyNumberFormat="1" applyFont="1" applyFill="1" applyBorder="1" applyAlignment="1">
      <alignment horizontal="center"/>
    </xf>
    <xf numFmtId="164" fontId="5" fillId="0" borderId="5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164" fontId="5" fillId="2" borderId="26" xfId="1" applyNumberFormat="1" applyFont="1" applyFill="1" applyBorder="1"/>
    <xf numFmtId="164" fontId="5" fillId="7" borderId="27" xfId="1" applyNumberFormat="1" applyFont="1" applyFill="1" applyBorder="1"/>
    <xf numFmtId="164" fontId="5" fillId="7" borderId="28" xfId="1" applyNumberFormat="1" applyFont="1" applyFill="1" applyBorder="1"/>
    <xf numFmtId="164" fontId="5" fillId="0" borderId="31" xfId="1" applyNumberFormat="1" applyFont="1" applyBorder="1"/>
    <xf numFmtId="164" fontId="5" fillId="0" borderId="32" xfId="1" applyNumberFormat="1" applyFont="1" applyBorder="1"/>
    <xf numFmtId="164" fontId="5" fillId="0" borderId="29" xfId="1" applyNumberFormat="1" applyFont="1" applyBorder="1"/>
    <xf numFmtId="164" fontId="10" fillId="6" borderId="32" xfId="1" applyNumberFormat="1" applyFont="1" applyFill="1" applyBorder="1" applyAlignment="1">
      <alignment horizontal="center" vertical="center"/>
    </xf>
    <xf numFmtId="164" fontId="5" fillId="0" borderId="26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 vertical="center"/>
    </xf>
    <xf numFmtId="164" fontId="5" fillId="0" borderId="11" xfId="1" applyNumberFormat="1" applyFont="1" applyFill="1" applyBorder="1" applyAlignment="1">
      <alignment horizontal="center" vertical="center"/>
    </xf>
    <xf numFmtId="0" fontId="20" fillId="0" borderId="0" xfId="0" applyFont="1"/>
    <xf numFmtId="0" fontId="5" fillId="0" borderId="0" xfId="0" applyFont="1" applyBorder="1" applyAlignment="1"/>
    <xf numFmtId="164" fontId="21" fillId="4" borderId="0" xfId="1" applyNumberFormat="1" applyFont="1" applyFill="1" applyBorder="1"/>
    <xf numFmtId="164" fontId="22" fillId="0" borderId="0" xfId="1" applyNumberFormat="1" applyFont="1"/>
    <xf numFmtId="164" fontId="22" fillId="4" borderId="0" xfId="1" applyNumberFormat="1" applyFont="1" applyFill="1" applyBorder="1"/>
    <xf numFmtId="164" fontId="22" fillId="0" borderId="0" xfId="1" applyNumberFormat="1" applyFont="1" applyBorder="1"/>
    <xf numFmtId="0" fontId="5" fillId="0" borderId="4" xfId="0" applyFont="1" applyFill="1" applyBorder="1"/>
    <xf numFmtId="0" fontId="15" fillId="0" borderId="6" xfId="3" applyFont="1" applyBorder="1"/>
    <xf numFmtId="43" fontId="5" fillId="0" borderId="0" xfId="0" applyNumberFormat="1" applyFont="1"/>
    <xf numFmtId="43" fontId="5" fillId="2" borderId="12" xfId="1" applyNumberFormat="1" applyFont="1" applyFill="1" applyBorder="1" applyAlignment="1"/>
    <xf numFmtId="164" fontId="10" fillId="6" borderId="29" xfId="1" applyNumberFormat="1" applyFont="1" applyFill="1" applyBorder="1"/>
    <xf numFmtId="0" fontId="5" fillId="0" borderId="0" xfId="0" applyFont="1" applyAlignment="1">
      <alignment horizontal="left" vertical="center" wrapText="1"/>
    </xf>
    <xf numFmtId="164" fontId="5" fillId="2" borderId="28" xfId="1" applyNumberFormat="1" applyFont="1" applyFill="1" applyBorder="1"/>
    <xf numFmtId="0" fontId="5" fillId="0" borderId="0" xfId="0" applyFont="1" applyAlignment="1">
      <alignment horizontal="left" vertical="center" wrapText="1"/>
    </xf>
    <xf numFmtId="164" fontId="5" fillId="2" borderId="27" xfId="1" applyNumberFormat="1" applyFont="1" applyFill="1" applyBorder="1"/>
    <xf numFmtId="164" fontId="5" fillId="2" borderId="26" xfId="1" applyNumberFormat="1" applyFont="1" applyFill="1" applyBorder="1" applyAlignment="1">
      <alignment horizontal="center"/>
    </xf>
    <xf numFmtId="164" fontId="5" fillId="2" borderId="35" xfId="1" applyNumberFormat="1" applyFont="1" applyFill="1" applyBorder="1" applyAlignment="1">
      <alignment horizontal="center"/>
    </xf>
    <xf numFmtId="164" fontId="5" fillId="7" borderId="36" xfId="1" applyNumberFormat="1" applyFont="1" applyFill="1" applyBorder="1"/>
    <xf numFmtId="164" fontId="5" fillId="7" borderId="37" xfId="1" applyNumberFormat="1" applyFont="1" applyFill="1" applyBorder="1"/>
    <xf numFmtId="164" fontId="5" fillId="2" borderId="31" xfId="1" applyNumberFormat="1" applyFont="1" applyFill="1" applyBorder="1"/>
    <xf numFmtId="164" fontId="5" fillId="2" borderId="35" xfId="1" applyNumberFormat="1" applyFont="1" applyFill="1" applyBorder="1"/>
    <xf numFmtId="164" fontId="5" fillId="0" borderId="36" xfId="1" applyNumberFormat="1" applyFont="1" applyFill="1" applyBorder="1"/>
    <xf numFmtId="164" fontId="5" fillId="2" borderId="38" xfId="1" applyNumberFormat="1" applyFont="1" applyFill="1" applyBorder="1"/>
    <xf numFmtId="164" fontId="5" fillId="7" borderId="39" xfId="1" applyNumberFormat="1" applyFont="1" applyFill="1" applyBorder="1"/>
    <xf numFmtId="164" fontId="5" fillId="7" borderId="40" xfId="1" applyNumberFormat="1" applyFont="1" applyFill="1" applyBorder="1"/>
    <xf numFmtId="164" fontId="5" fillId="2" borderId="10" xfId="1" applyNumberFormat="1" applyFont="1" applyFill="1" applyBorder="1"/>
    <xf numFmtId="164" fontId="5" fillId="0" borderId="0" xfId="1" applyNumberFormat="1" applyFont="1"/>
    <xf numFmtId="164" fontId="5" fillId="2" borderId="11" xfId="1" applyNumberFormat="1" applyFont="1" applyFill="1" applyBorder="1" applyAlignment="1"/>
    <xf numFmtId="43" fontId="5" fillId="2" borderId="11" xfId="1" applyNumberFormat="1" applyFont="1" applyFill="1" applyBorder="1" applyAlignment="1"/>
    <xf numFmtId="164" fontId="6" fillId="0" borderId="0" xfId="1" applyNumberFormat="1" applyFont="1" applyBorder="1"/>
    <xf numFmtId="164" fontId="10" fillId="6" borderId="31" xfId="1" applyNumberFormat="1" applyFont="1" applyFill="1" applyBorder="1"/>
    <xf numFmtId="43" fontId="5" fillId="2" borderId="17" xfId="1" applyNumberFormat="1" applyFont="1" applyFill="1" applyBorder="1" applyAlignment="1"/>
    <xf numFmtId="164" fontId="5" fillId="0" borderId="0" xfId="1" applyNumberFormat="1" applyFont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167" fontId="5" fillId="2" borderId="43" xfId="0" applyNumberFormat="1" applyFont="1" applyFill="1" applyBorder="1" applyAlignment="1">
      <alignment horizontal="center"/>
    </xf>
    <xf numFmtId="0" fontId="5" fillId="3" borderId="21" xfId="0" quotePrefix="1" applyFont="1" applyFill="1" applyBorder="1" applyAlignment="1">
      <alignment horizontal="center"/>
    </xf>
    <xf numFmtId="0" fontId="5" fillId="3" borderId="42" xfId="0" quotePrefix="1" applyFont="1" applyFill="1" applyBorder="1" applyAlignment="1">
      <alignment horizontal="center"/>
    </xf>
    <xf numFmtId="164" fontId="15" fillId="0" borderId="1" xfId="1" applyNumberFormat="1" applyFont="1" applyFill="1" applyBorder="1"/>
    <xf numFmtId="164" fontId="15" fillId="0" borderId="2" xfId="1" applyNumberFormat="1" applyFont="1" applyFill="1" applyBorder="1"/>
    <xf numFmtId="164" fontId="15" fillId="0" borderId="3" xfId="1" applyNumberFormat="1" applyFont="1" applyFill="1" applyBorder="1"/>
    <xf numFmtId="164" fontId="14" fillId="0" borderId="0" xfId="0" applyNumberFormat="1" applyFont="1"/>
    <xf numFmtId="9" fontId="5" fillId="2" borderId="7" xfId="5" applyFont="1" applyFill="1" applyBorder="1" applyAlignment="1">
      <alignment horizontal="center"/>
    </xf>
    <xf numFmtId="3" fontId="23" fillId="0" borderId="0" xfId="0" applyNumberFormat="1" applyFont="1" applyFill="1"/>
    <xf numFmtId="0" fontId="5" fillId="0" borderId="0" xfId="0" applyFont="1" applyFill="1" applyAlignment="1">
      <alignment horizontal="right" indent="1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9" fontId="5" fillId="2" borderId="10" xfId="5" applyNumberFormat="1" applyFont="1" applyFill="1" applyBorder="1"/>
    <xf numFmtId="9" fontId="5" fillId="2" borderId="11" xfId="5" applyFont="1" applyFill="1" applyBorder="1"/>
    <xf numFmtId="0" fontId="9" fillId="0" borderId="33" xfId="0" applyFont="1" applyFill="1" applyBorder="1" applyAlignment="1">
      <alignment horizontal="left"/>
    </xf>
    <xf numFmtId="0" fontId="5" fillId="0" borderId="34" xfId="0" applyFont="1" applyBorder="1" applyAlignment="1">
      <alignment horizontal="left" vertical="center" wrapText="1"/>
    </xf>
    <xf numFmtId="0" fontId="5" fillId="0" borderId="34" xfId="0" applyFont="1" applyFill="1" applyBorder="1"/>
    <xf numFmtId="0" fontId="5" fillId="0" borderId="34" xfId="0" applyFont="1" applyBorder="1"/>
    <xf numFmtId="0" fontId="5" fillId="0" borderId="30" xfId="0" applyFont="1" applyBorder="1"/>
    <xf numFmtId="0" fontId="5" fillId="2" borderId="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15" fillId="0" borderId="0" xfId="0" applyFont="1" applyBorder="1"/>
    <xf numFmtId="164" fontId="15" fillId="0" borderId="0" xfId="1" applyNumberFormat="1" applyFont="1" applyFill="1" applyBorder="1"/>
    <xf numFmtId="0" fontId="24" fillId="0" borderId="0" xfId="0" applyFont="1" applyFill="1" applyBorder="1" applyAlignment="1">
      <alignment vertical="center"/>
    </xf>
    <xf numFmtId="0" fontId="25" fillId="0" borderId="0" xfId="0" applyFont="1" applyAlignment="1">
      <alignment horizontal="right"/>
    </xf>
    <xf numFmtId="164" fontId="25" fillId="0" borderId="0" xfId="0" applyNumberFormat="1" applyFont="1"/>
    <xf numFmtId="0" fontId="5" fillId="0" borderId="0" xfId="0" applyFont="1" applyAlignment="1">
      <alignment horizontal="left"/>
    </xf>
    <xf numFmtId="0" fontId="24" fillId="0" borderId="0" xfId="0" applyFont="1" applyFill="1" applyBorder="1" applyAlignment="1">
      <alignment horizontal="left" vertical="center"/>
    </xf>
    <xf numFmtId="43" fontId="5" fillId="0" borderId="0" xfId="1" applyFont="1" applyBorder="1"/>
    <xf numFmtId="0" fontId="5" fillId="9" borderId="0" xfId="0" applyFont="1" applyFill="1" applyBorder="1"/>
    <xf numFmtId="17" fontId="5" fillId="0" borderId="0" xfId="0" applyNumberFormat="1" applyFont="1" applyBorder="1"/>
    <xf numFmtId="10" fontId="5" fillId="0" borderId="0" xfId="0" applyNumberFormat="1" applyFont="1" applyBorder="1"/>
    <xf numFmtId="164" fontId="5" fillId="0" borderId="0" xfId="0" applyNumberFormat="1" applyFont="1" applyBorder="1"/>
    <xf numFmtId="164" fontId="5" fillId="0" borderId="0" xfId="0" applyNumberFormat="1" applyFont="1" applyAlignment="1">
      <alignment horizontal="left"/>
    </xf>
    <xf numFmtId="0" fontId="20" fillId="0" borderId="0" xfId="0" applyFont="1" applyAlignment="1">
      <alignment horizontal="center"/>
    </xf>
    <xf numFmtId="166" fontId="10" fillId="0" borderId="24" xfId="4" applyFont="1" applyBorder="1" applyAlignment="1">
      <alignment vertical="center" wrapText="1"/>
    </xf>
    <xf numFmtId="166" fontId="10" fillId="0" borderId="25" xfId="4" applyFont="1" applyBorder="1" applyAlignment="1">
      <alignment vertical="center" wrapText="1"/>
    </xf>
    <xf numFmtId="166" fontId="10" fillId="0" borderId="14" xfId="4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65" fontId="7" fillId="2" borderId="33" xfId="0" applyNumberFormat="1" applyFont="1" applyFill="1" applyBorder="1" applyAlignment="1">
      <alignment horizontal="center" vertical="center"/>
    </xf>
    <xf numFmtId="165" fontId="7" fillId="2" borderId="34" xfId="0" applyNumberFormat="1" applyFont="1" applyFill="1" applyBorder="1" applyAlignment="1">
      <alignment horizontal="center" vertical="center"/>
    </xf>
    <xf numFmtId="165" fontId="7" fillId="2" borderId="30" xfId="0" applyNumberFormat="1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/>
    </xf>
    <xf numFmtId="0" fontId="7" fillId="8" borderId="34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</cellXfs>
  <cellStyles count="10">
    <cellStyle name="Comma" xfId="1" builtinId="3"/>
    <cellStyle name="Comma 2" xfId="2"/>
    <cellStyle name="Comma 2 2" xfId="7"/>
    <cellStyle name="Normal" xfId="0" builtinId="0"/>
    <cellStyle name="Normal 2" xfId="3"/>
    <cellStyle name="Normal 3" xfId="6"/>
    <cellStyle name="Normal 3 2" xfId="8"/>
    <cellStyle name="Normal 4" xfId="9"/>
    <cellStyle name="Normal_Inputs PSM 14-9_TEMPLATE" xfId="4"/>
    <cellStyle name="Percent" xfId="5" builtinId="5"/>
  </cellStyles>
  <dxfs count="3"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tabSelected="1" workbookViewId="0"/>
  </sheetViews>
  <sheetFormatPr defaultColWidth="8.7109375" defaultRowHeight="12.75" x14ac:dyDescent="0.2"/>
  <sheetData>
    <row r="2" spans="1:12" ht="12" customHeight="1" x14ac:dyDescent="0.2">
      <c r="H2" s="164" t="s">
        <v>291</v>
      </c>
      <c r="I2" s="164"/>
      <c r="J2" s="164"/>
      <c r="K2" s="164"/>
      <c r="L2" s="164"/>
    </row>
    <row r="7" spans="1:12" x14ac:dyDescent="0.2">
      <c r="C7" s="236"/>
      <c r="D7" s="236"/>
      <c r="E7" s="236"/>
      <c r="F7" s="236"/>
      <c r="G7" s="236"/>
    </row>
    <row r="8" spans="1:12" ht="30.75" x14ac:dyDescent="0.45">
      <c r="A8" s="128"/>
      <c r="B8" s="128"/>
      <c r="C8" s="128"/>
      <c r="D8" s="128" t="s">
        <v>143</v>
      </c>
      <c r="E8" s="128"/>
      <c r="F8" s="128"/>
    </row>
  </sheetData>
  <mergeCells count="1">
    <mergeCell ref="C7:G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showGridLines="0" topLeftCell="A22" zoomScaleNormal="100" workbookViewId="0">
      <selection activeCell="C42" sqref="C42"/>
    </sheetView>
  </sheetViews>
  <sheetFormatPr defaultColWidth="9.140625" defaultRowHeight="12.75" x14ac:dyDescent="0.2"/>
  <cols>
    <col min="1" max="1" width="17.140625" style="61" customWidth="1"/>
    <col min="2" max="2" width="10.7109375" style="61" customWidth="1"/>
    <col min="3" max="3" width="25.140625" style="61" customWidth="1"/>
    <col min="4" max="4" width="13.42578125" style="61" customWidth="1"/>
    <col min="5" max="5" width="12.28515625" style="61" customWidth="1"/>
    <col min="6" max="6" width="40" style="61" customWidth="1"/>
    <col min="7" max="16384" width="9.140625" style="61"/>
  </cols>
  <sheetData>
    <row r="2" spans="1:6" ht="21" x14ac:dyDescent="0.35">
      <c r="A2" s="12" t="s">
        <v>82</v>
      </c>
    </row>
    <row r="3" spans="1:6" ht="15" x14ac:dyDescent="0.25">
      <c r="A3" s="1" t="s">
        <v>87</v>
      </c>
    </row>
    <row r="4" spans="1:6" ht="15" x14ac:dyDescent="0.25">
      <c r="A4" s="1" t="s">
        <v>84</v>
      </c>
    </row>
    <row r="5" spans="1:6" ht="15" x14ac:dyDescent="0.25">
      <c r="A5" s="1" t="s">
        <v>85</v>
      </c>
    </row>
    <row r="6" spans="1:6" ht="15" x14ac:dyDescent="0.25">
      <c r="A6" s="1" t="s">
        <v>83</v>
      </c>
    </row>
    <row r="7" spans="1:6" ht="15" x14ac:dyDescent="0.25">
      <c r="A7" s="1" t="s">
        <v>86</v>
      </c>
    </row>
    <row r="9" spans="1:6" ht="21" x14ac:dyDescent="0.35">
      <c r="A9" s="12" t="s">
        <v>123</v>
      </c>
    </row>
    <row r="11" spans="1:6" ht="30.75" customHeight="1" x14ac:dyDescent="0.2">
      <c r="A11" s="62" t="s">
        <v>45</v>
      </c>
      <c r="B11" s="62" t="s">
        <v>32</v>
      </c>
      <c r="C11" s="62" t="s">
        <v>33</v>
      </c>
      <c r="D11" s="62" t="s">
        <v>34</v>
      </c>
      <c r="E11" s="62" t="s">
        <v>35</v>
      </c>
      <c r="F11" s="62" t="s">
        <v>36</v>
      </c>
    </row>
    <row r="12" spans="1:6" ht="15" x14ac:dyDescent="0.2">
      <c r="A12" s="65"/>
      <c r="B12" s="64">
        <v>1</v>
      </c>
      <c r="C12" s="63" t="s">
        <v>39</v>
      </c>
      <c r="D12" s="65" t="s">
        <v>37</v>
      </c>
      <c r="E12" s="65" t="s">
        <v>97</v>
      </c>
      <c r="F12" s="63" t="s">
        <v>43</v>
      </c>
    </row>
    <row r="13" spans="1:6" ht="15" x14ac:dyDescent="0.2">
      <c r="A13" s="65"/>
      <c r="B13" s="64">
        <v>2</v>
      </c>
      <c r="C13" s="63" t="s">
        <v>40</v>
      </c>
      <c r="D13" s="65" t="s">
        <v>38</v>
      </c>
      <c r="E13" s="66" t="s">
        <v>98</v>
      </c>
      <c r="F13" s="63" t="s">
        <v>46</v>
      </c>
    </row>
    <row r="14" spans="1:6" ht="30" x14ac:dyDescent="0.2">
      <c r="A14" s="65"/>
      <c r="B14" s="64">
        <v>3</v>
      </c>
      <c r="C14" s="63" t="s">
        <v>41</v>
      </c>
      <c r="D14" s="65" t="s">
        <v>42</v>
      </c>
      <c r="E14" s="66" t="s">
        <v>99</v>
      </c>
      <c r="F14" s="63" t="s">
        <v>44</v>
      </c>
    </row>
    <row r="18" spans="1:6" ht="21" x14ac:dyDescent="0.35">
      <c r="A18" s="12" t="s">
        <v>81</v>
      </c>
    </row>
    <row r="20" spans="1:6" ht="31.5" x14ac:dyDescent="0.2">
      <c r="A20" s="62" t="s">
        <v>45</v>
      </c>
      <c r="B20" s="62" t="s">
        <v>32</v>
      </c>
      <c r="C20" s="62" t="s">
        <v>33</v>
      </c>
      <c r="D20" s="62" t="s">
        <v>34</v>
      </c>
      <c r="E20" s="62" t="s">
        <v>35</v>
      </c>
      <c r="F20" s="62" t="s">
        <v>36</v>
      </c>
    </row>
    <row r="21" spans="1:6" ht="27.2" customHeight="1" x14ac:dyDescent="0.2">
      <c r="A21" s="237" t="s">
        <v>144</v>
      </c>
      <c r="B21" s="238"/>
      <c r="C21" s="238"/>
      <c r="D21" s="238"/>
      <c r="E21" s="238"/>
      <c r="F21" s="239"/>
    </row>
    <row r="22" spans="1:6" ht="30" x14ac:dyDescent="0.2">
      <c r="A22" s="65"/>
      <c r="B22" s="64">
        <v>1</v>
      </c>
      <c r="C22" s="63" t="s">
        <v>48</v>
      </c>
      <c r="D22" s="65" t="s">
        <v>37</v>
      </c>
      <c r="E22" s="65" t="s">
        <v>49</v>
      </c>
      <c r="F22" s="63" t="s">
        <v>50</v>
      </c>
    </row>
    <row r="23" spans="1:6" ht="30" x14ac:dyDescent="0.2">
      <c r="A23" s="65"/>
      <c r="B23" s="64">
        <f>B22+1</f>
        <v>2</v>
      </c>
      <c r="C23" s="63" t="s">
        <v>51</v>
      </c>
      <c r="D23" s="65" t="s">
        <v>37</v>
      </c>
      <c r="E23" s="66" t="s">
        <v>52</v>
      </c>
      <c r="F23" s="63" t="s">
        <v>53</v>
      </c>
    </row>
    <row r="24" spans="1:6" ht="30" x14ac:dyDescent="0.2">
      <c r="A24" s="65"/>
      <c r="B24" s="64">
        <f>B23+1</f>
        <v>3</v>
      </c>
      <c r="C24" s="63" t="s">
        <v>115</v>
      </c>
      <c r="D24" s="65" t="s">
        <v>55</v>
      </c>
      <c r="E24" s="66" t="s">
        <v>56</v>
      </c>
      <c r="F24" s="63" t="s">
        <v>117</v>
      </c>
    </row>
    <row r="25" spans="1:6" ht="60" x14ac:dyDescent="0.2">
      <c r="A25" s="65"/>
      <c r="B25" s="64">
        <f>B24+1</f>
        <v>4</v>
      </c>
      <c r="C25" s="63" t="s">
        <v>54</v>
      </c>
      <c r="D25" s="65" t="s">
        <v>55</v>
      </c>
      <c r="E25" s="66" t="s">
        <v>57</v>
      </c>
      <c r="F25" s="63" t="s">
        <v>58</v>
      </c>
    </row>
    <row r="26" spans="1:6" ht="45" x14ac:dyDescent="0.2">
      <c r="A26" s="65"/>
      <c r="B26" s="64">
        <f>B25+1</f>
        <v>5</v>
      </c>
      <c r="C26" s="63" t="s">
        <v>76</v>
      </c>
      <c r="D26" s="65" t="s">
        <v>55</v>
      </c>
      <c r="E26" s="65" t="s">
        <v>116</v>
      </c>
      <c r="F26" s="63" t="s">
        <v>59</v>
      </c>
    </row>
    <row r="27" spans="1:6" ht="15" x14ac:dyDescent="0.2">
      <c r="A27" s="99"/>
      <c r="B27" s="100"/>
      <c r="C27" s="101"/>
      <c r="D27" s="99"/>
      <c r="E27" s="99"/>
      <c r="F27" s="101"/>
    </row>
    <row r="28" spans="1:6" ht="31.5" x14ac:dyDescent="0.2">
      <c r="A28" s="62" t="s">
        <v>45</v>
      </c>
      <c r="B28" s="62" t="s">
        <v>32</v>
      </c>
      <c r="C28" s="62" t="s">
        <v>33</v>
      </c>
      <c r="D28" s="62" t="s">
        <v>34</v>
      </c>
      <c r="E28" s="62" t="s">
        <v>35</v>
      </c>
      <c r="F28" s="62" t="s">
        <v>36</v>
      </c>
    </row>
    <row r="29" spans="1:6" ht="48.75" customHeight="1" x14ac:dyDescent="0.2">
      <c r="A29" s="237" t="s">
        <v>124</v>
      </c>
      <c r="B29" s="238"/>
      <c r="C29" s="238"/>
      <c r="D29" s="238"/>
      <c r="E29" s="238"/>
      <c r="F29" s="239"/>
    </row>
    <row r="30" spans="1:6" ht="30" x14ac:dyDescent="0.2">
      <c r="A30" s="65"/>
      <c r="B30" s="64">
        <f>B26+1</f>
        <v>6</v>
      </c>
      <c r="C30" s="63" t="s">
        <v>60</v>
      </c>
      <c r="D30" s="65" t="s">
        <v>61</v>
      </c>
      <c r="E30" s="65" t="s">
        <v>63</v>
      </c>
      <c r="F30" s="63" t="s">
        <v>80</v>
      </c>
    </row>
    <row r="31" spans="1:6" ht="30" x14ac:dyDescent="0.2">
      <c r="A31" s="65"/>
      <c r="B31" s="64">
        <f t="shared" ref="B31:B40" si="0">B30+1</f>
        <v>7</v>
      </c>
      <c r="C31" s="63" t="s">
        <v>62</v>
      </c>
      <c r="D31" s="65" t="s">
        <v>65</v>
      </c>
      <c r="E31" s="65" t="s">
        <v>91</v>
      </c>
      <c r="F31" s="63" t="s">
        <v>79</v>
      </c>
    </row>
    <row r="32" spans="1:6" ht="60" x14ac:dyDescent="0.2">
      <c r="A32" s="65"/>
      <c r="B32" s="64">
        <f t="shared" si="0"/>
        <v>8</v>
      </c>
      <c r="C32" s="63" t="s">
        <v>66</v>
      </c>
      <c r="D32" s="65" t="s">
        <v>65</v>
      </c>
      <c r="E32" s="65" t="s">
        <v>92</v>
      </c>
      <c r="F32" s="63" t="s">
        <v>78</v>
      </c>
    </row>
    <row r="33" spans="1:6" ht="45" x14ac:dyDescent="0.2">
      <c r="A33" s="65"/>
      <c r="B33" s="64">
        <f t="shared" si="0"/>
        <v>9</v>
      </c>
      <c r="C33" s="63" t="s">
        <v>64</v>
      </c>
      <c r="D33" s="65" t="s">
        <v>61</v>
      </c>
      <c r="E33" s="65" t="s">
        <v>101</v>
      </c>
      <c r="F33" s="63" t="s">
        <v>88</v>
      </c>
    </row>
    <row r="34" spans="1:6" ht="30" x14ac:dyDescent="0.2">
      <c r="A34" s="65"/>
      <c r="B34" s="64">
        <f t="shared" si="0"/>
        <v>10</v>
      </c>
      <c r="C34" s="63" t="s">
        <v>23</v>
      </c>
      <c r="D34" s="65" t="s">
        <v>61</v>
      </c>
      <c r="E34" s="65" t="s">
        <v>67</v>
      </c>
      <c r="F34" s="63" t="s">
        <v>77</v>
      </c>
    </row>
    <row r="35" spans="1:6" ht="30" x14ac:dyDescent="0.2">
      <c r="A35" s="65"/>
      <c r="B35" s="64">
        <f t="shared" si="0"/>
        <v>11</v>
      </c>
      <c r="C35" s="63" t="s">
        <v>89</v>
      </c>
      <c r="D35" s="65" t="s">
        <v>61</v>
      </c>
      <c r="E35" s="65" t="s">
        <v>93</v>
      </c>
      <c r="F35" s="70" t="s">
        <v>96</v>
      </c>
    </row>
    <row r="36" spans="1:6" ht="30" x14ac:dyDescent="0.2">
      <c r="A36" s="65"/>
      <c r="B36" s="64">
        <f t="shared" si="0"/>
        <v>12</v>
      </c>
      <c r="C36" s="63" t="s">
        <v>68</v>
      </c>
      <c r="D36" s="65" t="s">
        <v>61</v>
      </c>
      <c r="E36" s="65" t="s">
        <v>102</v>
      </c>
      <c r="F36" s="63" t="s">
        <v>72</v>
      </c>
    </row>
    <row r="37" spans="1:6" ht="30" x14ac:dyDescent="0.2">
      <c r="A37" s="65"/>
      <c r="B37" s="64">
        <f t="shared" si="0"/>
        <v>13</v>
      </c>
      <c r="C37" s="63" t="s">
        <v>69</v>
      </c>
      <c r="D37" s="65" t="s">
        <v>61</v>
      </c>
      <c r="E37" s="65" t="s">
        <v>103</v>
      </c>
      <c r="F37" s="63" t="s">
        <v>73</v>
      </c>
    </row>
    <row r="38" spans="1:6" ht="30" x14ac:dyDescent="0.2">
      <c r="A38" s="65"/>
      <c r="B38" s="64">
        <f t="shared" si="0"/>
        <v>14</v>
      </c>
      <c r="C38" s="63" t="s">
        <v>70</v>
      </c>
      <c r="D38" s="65" t="s">
        <v>61</v>
      </c>
      <c r="E38" s="65" t="s">
        <v>94</v>
      </c>
      <c r="F38" s="63" t="s">
        <v>74</v>
      </c>
    </row>
    <row r="39" spans="1:6" ht="30" x14ac:dyDescent="0.2">
      <c r="A39" s="65"/>
      <c r="B39" s="64">
        <f t="shared" si="0"/>
        <v>15</v>
      </c>
      <c r="C39" s="63" t="s">
        <v>71</v>
      </c>
      <c r="D39" s="65" t="s">
        <v>61</v>
      </c>
      <c r="E39" s="65" t="s">
        <v>104</v>
      </c>
      <c r="F39" s="63" t="s">
        <v>75</v>
      </c>
    </row>
    <row r="40" spans="1:6" ht="45" x14ac:dyDescent="0.2">
      <c r="A40" s="65"/>
      <c r="B40" s="64">
        <f t="shared" si="0"/>
        <v>16</v>
      </c>
      <c r="C40" s="63" t="s">
        <v>12</v>
      </c>
      <c r="D40" s="65" t="s">
        <v>61</v>
      </c>
      <c r="E40" s="65" t="s">
        <v>105</v>
      </c>
      <c r="F40" s="70" t="s">
        <v>95</v>
      </c>
    </row>
  </sheetData>
  <mergeCells count="2">
    <mergeCell ref="A29:F29"/>
    <mergeCell ref="A21:F21"/>
  </mergeCells>
  <phoneticPr fontId="8" type="noConversion"/>
  <conditionalFormatting sqref="A12:A14 A21:A27 A29:A40">
    <cfRule type="cellIs" dxfId="2" priority="1" stopIfTrue="1" operator="equal">
      <formula>"X"</formula>
    </cfRule>
    <cfRule type="cellIs" dxfId="1" priority="2" stopIfTrue="1" operator="equal">
      <formula>"x"</formula>
    </cfRule>
  </conditionalFormatting>
  <pageMargins left="0.75" right="0.75" top="1" bottom="1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2:H46"/>
  <sheetViews>
    <sheetView showGridLines="0" zoomScale="75" zoomScaleNormal="75" zoomScaleSheetLayoutView="115" workbookViewId="0">
      <selection activeCell="D13" sqref="D13"/>
    </sheetView>
  </sheetViews>
  <sheetFormatPr defaultColWidth="12.140625" defaultRowHeight="15" x14ac:dyDescent="0.25"/>
  <cols>
    <col min="1" max="1" width="64.140625" style="1" customWidth="1"/>
    <col min="2" max="6" width="18.42578125" style="1" customWidth="1"/>
    <col min="7" max="7" width="3.7109375" style="1" customWidth="1"/>
    <col min="8" max="8" width="13.7109375" style="1" bestFit="1" customWidth="1"/>
    <col min="9" max="16384" width="12.140625" style="1"/>
  </cols>
  <sheetData>
    <row r="2" spans="1:8" ht="23.25" x14ac:dyDescent="0.35">
      <c r="A2" s="12" t="s">
        <v>3</v>
      </c>
      <c r="C2" s="244" t="s">
        <v>148</v>
      </c>
      <c r="D2" s="245"/>
      <c r="E2" s="246"/>
      <c r="H2" s="210"/>
    </row>
    <row r="3" spans="1:8" x14ac:dyDescent="0.25">
      <c r="H3" s="122"/>
    </row>
    <row r="4" spans="1:8" ht="18.75" x14ac:dyDescent="0.3">
      <c r="A4" s="8" t="s">
        <v>5</v>
      </c>
      <c r="C4" s="241">
        <f>DATE(StartYear+4,6,1)</f>
        <v>44348</v>
      </c>
      <c r="D4" s="242"/>
      <c r="E4" s="243"/>
      <c r="H4" s="122"/>
    </row>
    <row r="5" spans="1:8" x14ac:dyDescent="0.25">
      <c r="H5" s="122"/>
    </row>
    <row r="6" spans="1:8" ht="18.75" x14ac:dyDescent="0.3">
      <c r="A6" s="8" t="s">
        <v>18</v>
      </c>
      <c r="B6" s="2">
        <f>StartYear</f>
        <v>2017</v>
      </c>
      <c r="C6" s="2">
        <f>B6+1</f>
        <v>2018</v>
      </c>
      <c r="D6" s="2">
        <f>C6+1</f>
        <v>2019</v>
      </c>
      <c r="E6" s="118">
        <f>D6+1</f>
        <v>2020</v>
      </c>
      <c r="F6" s="118">
        <f>E6+1</f>
        <v>2021</v>
      </c>
      <c r="H6" s="20"/>
    </row>
    <row r="7" spans="1:8" x14ac:dyDescent="0.25">
      <c r="A7" s="60" t="s">
        <v>11</v>
      </c>
      <c r="B7" s="142">
        <v>21316397</v>
      </c>
      <c r="C7" s="142">
        <v>20697195</v>
      </c>
      <c r="D7" s="142">
        <v>20833230</v>
      </c>
      <c r="E7" s="142">
        <v>20088222</v>
      </c>
      <c r="F7" s="143" t="s">
        <v>147</v>
      </c>
      <c r="G7" s="13"/>
      <c r="H7" s="13"/>
    </row>
    <row r="8" spans="1:8" ht="15.75" x14ac:dyDescent="0.25">
      <c r="A8" s="60" t="s">
        <v>9</v>
      </c>
      <c r="B8" s="144">
        <v>0.09</v>
      </c>
      <c r="C8" s="71">
        <v>0.09</v>
      </c>
      <c r="D8" s="71">
        <v>0.09</v>
      </c>
      <c r="E8" s="71">
        <v>0.15</v>
      </c>
      <c r="F8" s="72">
        <v>0.15</v>
      </c>
      <c r="G8" s="21"/>
      <c r="H8" s="208"/>
    </row>
    <row r="9" spans="1:8" x14ac:dyDescent="0.25">
      <c r="A9" s="53" t="s">
        <v>7</v>
      </c>
      <c r="B9" s="73">
        <v>1843118.415</v>
      </c>
      <c r="C9" s="74">
        <v>1879417</v>
      </c>
      <c r="D9" s="74">
        <f xml:space="preserve"> IF( SUM(B7:C7) = 0, 0, AVERAGE(B7:C7) * D8 )</f>
        <v>1890611.64</v>
      </c>
      <c r="E9" s="74">
        <f xml:space="preserve"> IF( SUM(C7:D7) = 0, 0, AVERAGE(C7:D7) * E8 )</f>
        <v>3114781.875</v>
      </c>
      <c r="F9" s="74">
        <f xml:space="preserve"> IF( SUM(D7:E7) = 0, 0, AVERAGE(D7:E7) * F8 )</f>
        <v>3069108.9</v>
      </c>
      <c r="G9" s="21"/>
      <c r="H9" s="21"/>
    </row>
    <row r="10" spans="1:8" x14ac:dyDescent="0.25">
      <c r="G10" s="22"/>
      <c r="H10" s="22"/>
    </row>
    <row r="11" spans="1:8" ht="18.75" x14ac:dyDescent="0.3">
      <c r="A11" s="8" t="s">
        <v>19</v>
      </c>
      <c r="B11" s="2">
        <f>StartYear</f>
        <v>2017</v>
      </c>
      <c r="C11" s="2">
        <f>B11+1</f>
        <v>2018</v>
      </c>
      <c r="D11" s="2">
        <f>C11+1</f>
        <v>2019</v>
      </c>
      <c r="E11" s="118">
        <f>D11+1</f>
        <v>2020</v>
      </c>
      <c r="F11" s="118">
        <f>E11+1</f>
        <v>2021</v>
      </c>
      <c r="G11" s="22"/>
      <c r="H11" s="22"/>
    </row>
    <row r="12" spans="1:8" x14ac:dyDescent="0.25">
      <c r="A12" s="60" t="s">
        <v>31</v>
      </c>
      <c r="B12" s="145">
        <f ca="1">SUMIFS('Facility Detail'!D:D,'Facility Detail'!$B:$B,"Eligible MWh Available for RCW 19.285 Compliance")</f>
        <v>1934234</v>
      </c>
      <c r="C12" s="146">
        <f ca="1">SUMIFS('Facility Detail'!E:E,'Facility Detail'!$B:$B,"Eligible MWh Available for RCW 19.285 Compliance")</f>
        <v>2175902</v>
      </c>
      <c r="D12" s="146">
        <f ca="1">SUMIFS('Facility Detail'!F:F,'Facility Detail'!$B:$B,"Eligible MWh Available for RCW 19.285 Compliance")</f>
        <v>2263843</v>
      </c>
      <c r="E12" s="146">
        <f ca="1">SUMIFS('Facility Detail'!G:G,'Facility Detail'!$B:$B,"Eligible MWh Available for RCW 19.285 Compliance")</f>
        <v>2623695</v>
      </c>
      <c r="F12" s="147">
        <f ca="1">SUMIFS('Facility Detail'!H:H,'Facility Detail'!$B:$B,"Eligible MWh Available for RCW 19.285 Compliance")</f>
        <v>2280640.9211983061</v>
      </c>
      <c r="G12" s="23"/>
      <c r="H12" s="23"/>
    </row>
    <row r="13" spans="1:8" x14ac:dyDescent="0.25">
      <c r="A13" s="60" t="s">
        <v>122</v>
      </c>
      <c r="B13" s="148">
        <f ca="1">SUMIFS('Facility Detail'!D:D,'Facility Detail'!$B:$B,"Total Quantity from Non REC Eligible Generation")</f>
        <v>162488.00000000003</v>
      </c>
      <c r="C13" s="44">
        <f ca="1">SUMIFS('Facility Detail'!E:E,'Facility Detail'!$B:$B,"Total Quantity from Non REC Eligible Generation")</f>
        <v>196504.6</v>
      </c>
      <c r="D13" s="47">
        <f ca="1">SUMIFS('Facility Detail'!F:F,'Facility Detail'!$B:$B,"Total Quantity from Non REC Eligible Generation")</f>
        <v>162027.20000000001</v>
      </c>
      <c r="E13" s="47">
        <f ca="1">SUMIFS('Facility Detail'!G:G,'Facility Detail'!$B:$B,"Total Quantity from Non REC Eligible Generation")</f>
        <v>251874.2</v>
      </c>
      <c r="F13" s="149">
        <f ca="1">SUMIFS('Facility Detail'!H:H,'Facility Detail'!$B:$B,"Total Quantity from Non REC Eligible Generation")</f>
        <v>188979.18423966123</v>
      </c>
      <c r="G13" s="23"/>
      <c r="H13" s="23"/>
    </row>
    <row r="14" spans="1:8" x14ac:dyDescent="0.25">
      <c r="A14" s="53" t="s">
        <v>24</v>
      </c>
      <c r="B14" s="40">
        <f ca="1">SUM(B12:B13)</f>
        <v>2096722</v>
      </c>
      <c r="C14" s="40">
        <f ca="1">SUM(C12:C13)</f>
        <v>2372406.6</v>
      </c>
      <c r="D14" s="40">
        <f ca="1">SUM(D12:D13)</f>
        <v>2425870.2000000002</v>
      </c>
      <c r="E14" s="40">
        <f ca="1">SUM(E12:E13)</f>
        <v>2875569.2</v>
      </c>
      <c r="F14" s="40">
        <f ca="1">SUM(F12:F13)</f>
        <v>2469620.1054379675</v>
      </c>
      <c r="G14" s="23"/>
      <c r="H14" s="23"/>
    </row>
    <row r="15" spans="1:8" x14ac:dyDescent="0.25">
      <c r="A15" s="5"/>
      <c r="B15" s="40"/>
      <c r="C15" s="40"/>
      <c r="D15" s="40"/>
      <c r="E15" s="40"/>
      <c r="F15" s="40"/>
      <c r="G15" s="23"/>
      <c r="H15" s="23"/>
    </row>
    <row r="16" spans="1:8" ht="18.75" x14ac:dyDescent="0.3">
      <c r="A16" s="38" t="s">
        <v>16</v>
      </c>
      <c r="B16" s="2">
        <f>StartYear</f>
        <v>2017</v>
      </c>
      <c r="C16" s="2">
        <f>B16+1</f>
        <v>2018</v>
      </c>
      <c r="D16" s="2">
        <f>C16+1</f>
        <v>2019</v>
      </c>
      <c r="E16" s="2">
        <f>D16+1</f>
        <v>2020</v>
      </c>
      <c r="F16" s="2">
        <f>E16+1</f>
        <v>2021</v>
      </c>
      <c r="G16" s="23"/>
      <c r="H16" s="23"/>
    </row>
    <row r="17" spans="1:8" x14ac:dyDescent="0.25">
      <c r="A17" s="77" t="str">
        <f>'Facility Detail'!B378</f>
        <v>Quantity of RECs Sold</v>
      </c>
      <c r="B17" s="161">
        <f ca="1">-SUMIFS('Facility Detail'!D:D,'Facility Detail'!$B:$B,$A17)</f>
        <v>-175982</v>
      </c>
      <c r="C17" s="150">
        <f ca="1">-SUMIFS('Facility Detail'!E:E,'Facility Detail'!$B:$B,$A17)</f>
        <v>-447259</v>
      </c>
      <c r="D17" s="150">
        <f ca="1">-SUMIFS('Facility Detail'!F:F,'Facility Detail'!$B:$B,$A17)</f>
        <v>-418907</v>
      </c>
      <c r="E17" s="150">
        <f ca="1">-SUMIFS('Facility Detail'!G:G,'Facility Detail'!$B:$B,$A17)</f>
        <v>-51915</v>
      </c>
      <c r="F17" s="151">
        <f ca="1">-SUMIFS('Facility Detail'!H:H,'Facility Detail'!$B:$B,$A17)</f>
        <v>0</v>
      </c>
      <c r="H17" s="13"/>
    </row>
    <row r="18" spans="1:8" x14ac:dyDescent="0.25">
      <c r="A18" s="69" t="str">
        <f>'Facility Detail'!B379</f>
        <v>Bonus Incentives Transferred</v>
      </c>
      <c r="B18" s="162">
        <f ca="1">-SUMIFS('Facility Detail'!D:D,'Facility Detail'!$B:$B,$A18)</f>
        <v>0</v>
      </c>
      <c r="C18" s="152">
        <f ca="1">-SUMIFS('Facility Detail'!E:E,'Facility Detail'!$B:$B,$A18)</f>
        <v>0</v>
      </c>
      <c r="D18" s="152">
        <f ca="1">-SUMIFS('Facility Detail'!F:F,'Facility Detail'!$B:$B,$A18)</f>
        <v>0</v>
      </c>
      <c r="E18" s="152">
        <f ca="1">-SUMIFS('Facility Detail'!G:G,'Facility Detail'!$B:$B,$A18)</f>
        <v>0</v>
      </c>
      <c r="F18" s="153">
        <f ca="1">-SUMIFS('Facility Detail'!H:H,'Facility Detail'!$B:$B,$A18)</f>
        <v>0</v>
      </c>
      <c r="G18" s="13"/>
      <c r="H18" s="13"/>
    </row>
    <row r="19" spans="1:8" x14ac:dyDescent="0.25">
      <c r="A19" s="69" t="str">
        <f>'Facility Detail'!B380</f>
        <v>Bonus Incentives Not Realized</v>
      </c>
      <c r="B19" s="163">
        <f ca="1">-SUMIFS('Facility Detail'!D:D,'Facility Detail'!$B:$B,$A19)</f>
        <v>0</v>
      </c>
      <c r="C19" s="49">
        <f ca="1">-SUMIFS('Facility Detail'!E:E,'Facility Detail'!$B:$B,$A19)</f>
        <v>0</v>
      </c>
      <c r="D19" s="49">
        <f ca="1">-SUMIFS('Facility Detail'!F:F,'Facility Detail'!$B:$B,$A19)</f>
        <v>0</v>
      </c>
      <c r="E19" s="49">
        <f ca="1">-SUMIFS('Facility Detail'!G:G,'Facility Detail'!$B:$B,$A19)</f>
        <v>0</v>
      </c>
      <c r="F19" s="50">
        <f ca="1">-SUMIFS('Facility Detail'!H:H,'Facility Detail'!$B:$B,$A19)</f>
        <v>0</v>
      </c>
      <c r="G19" s="13"/>
      <c r="H19" s="13"/>
    </row>
    <row r="20" spans="1:8" x14ac:dyDescent="0.25">
      <c r="A20" s="53" t="str">
        <f>'Facility Detail'!B381</f>
        <v>Total Sold / Transferred / Unrealized</v>
      </c>
      <c r="B20" s="18">
        <f ca="1">SUM(B17:B19)</f>
        <v>-175982</v>
      </c>
      <c r="C20" s="18">
        <f ca="1">SUM(C17:C19)</f>
        <v>-447259</v>
      </c>
      <c r="D20" s="18">
        <f ca="1">SUM(D17:D19)</f>
        <v>-418907</v>
      </c>
      <c r="E20" s="18">
        <f ca="1">SUM(E17:E19)</f>
        <v>-51915</v>
      </c>
      <c r="F20" s="18">
        <f ca="1">SUM(F17:F19)</f>
        <v>0</v>
      </c>
      <c r="G20" s="18"/>
      <c r="H20" s="18"/>
    </row>
    <row r="21" spans="1:8" x14ac:dyDescent="0.25">
      <c r="B21" s="13"/>
      <c r="C21" s="13"/>
      <c r="D21" s="13"/>
      <c r="E21" s="13"/>
      <c r="F21" s="13"/>
      <c r="G21" s="13"/>
      <c r="H21" s="13"/>
    </row>
    <row r="22" spans="1:8" ht="18.75" x14ac:dyDescent="0.3">
      <c r="A22" s="8" t="s">
        <v>100</v>
      </c>
      <c r="B22" s="2">
        <f>StartYear</f>
        <v>2017</v>
      </c>
      <c r="C22" s="2">
        <f>B22+1</f>
        <v>2018</v>
      </c>
      <c r="D22" s="2">
        <f>C22+1</f>
        <v>2019</v>
      </c>
      <c r="E22" s="2">
        <f>D22+1</f>
        <v>2020</v>
      </c>
      <c r="F22" s="2">
        <f>E22+1</f>
        <v>2021</v>
      </c>
      <c r="G22" s="13"/>
      <c r="H22" s="13"/>
    </row>
    <row r="23" spans="1:8" x14ac:dyDescent="0.25">
      <c r="A23" s="77" t="str">
        <f>(StartYear-1) &amp; " Surplus Applied to " &amp; StartYear</f>
        <v>2016 Surplus Applied to 2017</v>
      </c>
      <c r="B23" s="179">
        <v>1760729</v>
      </c>
      <c r="C23" s="155"/>
      <c r="D23" s="155"/>
      <c r="E23" s="155"/>
      <c r="F23" s="156"/>
      <c r="G23" s="13"/>
      <c r="H23" s="13"/>
    </row>
    <row r="24" spans="1:8" x14ac:dyDescent="0.25">
      <c r="A24" s="77" t="str">
        <f>StartYear &amp; " Surplus Applied to " &amp; (StartYear-1)</f>
        <v>2017 Surplus Applied to 2016</v>
      </c>
      <c r="B24" s="180"/>
      <c r="C24" s="181"/>
      <c r="D24" s="181"/>
      <c r="E24" s="181"/>
      <c r="F24" s="182"/>
      <c r="G24" s="13"/>
      <c r="H24" s="13"/>
    </row>
    <row r="25" spans="1:8" x14ac:dyDescent="0.25">
      <c r="A25" s="77" t="str">
        <f xml:space="preserve"> StartYear &amp; " Surplus Applied to " &amp; ( StartYear + 1 )</f>
        <v>2017 Surplus Applied to 2018</v>
      </c>
      <c r="B25" s="134">
        <f ca="1">-SUMIFS('Facility Detail'!D:D,'Facility Detail'!$B:$B,$A25)</f>
        <v>-1771252</v>
      </c>
      <c r="C25" s="51">
        <f ca="1">SUMIFS('Facility Detail'!E:E,'Facility Detail'!$B:$B,$A25)</f>
        <v>1771252</v>
      </c>
      <c r="D25" s="113"/>
      <c r="E25" s="113"/>
      <c r="F25" s="117"/>
      <c r="G25" s="13"/>
      <c r="H25" s="13"/>
    </row>
    <row r="26" spans="1:8" x14ac:dyDescent="0.25">
      <c r="A26" s="77" t="str">
        <f xml:space="preserve"> ( StartYear + 1 ) &amp; " Surplus Applied to " &amp; ( StartYear )</f>
        <v>2018 Surplus Applied to 2017</v>
      </c>
      <c r="B26" s="134">
        <f ca="1">SUMIFS('Facility Detail'!D:D,'Facility Detail'!$B:$B,$A26)</f>
        <v>0</v>
      </c>
      <c r="C26" s="51">
        <f ca="1">-SUMIFS('Facility Detail'!E:E,'Facility Detail'!$B:$B,$A26)</f>
        <v>0</v>
      </c>
      <c r="D26" s="113"/>
      <c r="E26" s="113"/>
      <c r="F26" s="117"/>
      <c r="G26" s="13"/>
      <c r="H26" s="13"/>
    </row>
    <row r="27" spans="1:8" x14ac:dyDescent="0.25">
      <c r="A27" s="77" t="str">
        <f xml:space="preserve"> ( StartYear + 1 ) &amp; " Surplus Applied to " &amp; ( StartYear + 2 )</f>
        <v>2018 Surplus Applied to 2019</v>
      </c>
      <c r="B27" s="114"/>
      <c r="C27" s="51">
        <f ca="1">-SUMIFS('Facility Detail'!E:E,'Facility Detail'!$B:$B,$A27)</f>
        <v>-1799653.5999999999</v>
      </c>
      <c r="D27" s="51">
        <f ca="1">SUMIFS('Facility Detail'!F:F,'Facility Detail'!$B:$B,$A27)</f>
        <v>1799653.5999999999</v>
      </c>
      <c r="E27" s="113"/>
      <c r="F27" s="117"/>
      <c r="G27" s="13"/>
      <c r="H27" s="13"/>
    </row>
    <row r="28" spans="1:8" x14ac:dyDescent="0.25">
      <c r="A28" s="77" t="str">
        <f xml:space="preserve"> ( StartYear + 2 ) &amp; " Surplus Applied to " &amp; ( StartYear + 1 )</f>
        <v>2019 Surplus Applied to 2018</v>
      </c>
      <c r="B28" s="114"/>
      <c r="C28" s="51">
        <f ca="1">SUMIFS('Facility Detail'!E:E,'Facility Detail'!$B:$B,$A28)</f>
        <v>0</v>
      </c>
      <c r="D28" s="51">
        <f ca="1">-SUMIFS('Facility Detail'!F:F,'Facility Detail'!$B:$B,$A28)</f>
        <v>0</v>
      </c>
      <c r="E28" s="113"/>
      <c r="F28" s="117"/>
      <c r="G28" s="13"/>
      <c r="H28" s="13"/>
    </row>
    <row r="29" spans="1:8" x14ac:dyDescent="0.25">
      <c r="A29" s="77" t="str">
        <f xml:space="preserve"> ( StartYear + 2 ) &amp; " Surplus Applied to " &amp; ( StartYear + 3 )</f>
        <v>2019 Surplus Applied to 2020</v>
      </c>
      <c r="B29" s="114"/>
      <c r="C29" s="113"/>
      <c r="D29" s="51">
        <f ca="1">-SUMIFS('Facility Detail'!F:F,'Facility Detail'!$B:$B,$A29)</f>
        <v>-1916004.8</v>
      </c>
      <c r="E29" s="51">
        <f ca="1">SUMIFS('Facility Detail'!F:F,'Facility Detail'!$B:$B,$A29)</f>
        <v>1916004.8</v>
      </c>
      <c r="F29" s="117"/>
      <c r="G29" s="13"/>
      <c r="H29" s="13"/>
    </row>
    <row r="30" spans="1:8" x14ac:dyDescent="0.25">
      <c r="A30" s="77" t="str">
        <f xml:space="preserve"> ( StartYear + 3 ) &amp; " Surplus Applied to " &amp; ( StartYear + 2 )</f>
        <v>2020 Surplus Applied to 2019</v>
      </c>
      <c r="B30" s="114"/>
      <c r="C30" s="113"/>
      <c r="D30" s="51">
        <f ca="1">SUMIFS('Facility Detail'!F:F,'Facility Detail'!$B:$B,$A30)</f>
        <v>0</v>
      </c>
      <c r="E30" s="51">
        <f ca="1">-SUMIFS('Facility Detail'!G:G,'Facility Detail'!$B:$B,$A30)</f>
        <v>0</v>
      </c>
      <c r="F30" s="117"/>
      <c r="G30" s="13"/>
      <c r="H30" s="13"/>
    </row>
    <row r="31" spans="1:8" x14ac:dyDescent="0.25">
      <c r="A31" s="77" t="str">
        <f xml:space="preserve"> ( StartYear + 3 ) &amp; " Surplus Applied to " &amp; ( StartYear + 4 )</f>
        <v>2020 Surplus Applied to 2021</v>
      </c>
      <c r="B31" s="114"/>
      <c r="C31" s="113"/>
      <c r="D31" s="113"/>
      <c r="E31" s="51">
        <f ca="1">-SUMIFS('Facility Detail'!G:G,'Facility Detail'!$B:$B,$A31)</f>
        <v>-1624876.7</v>
      </c>
      <c r="F31" s="46">
        <f ca="1">SUMIFS('Facility Detail'!H:H,'Facility Detail'!$B:$B,$A31)</f>
        <v>1624877.0999999999</v>
      </c>
      <c r="G31" s="13"/>
      <c r="H31" s="13"/>
    </row>
    <row r="32" spans="1:8" x14ac:dyDescent="0.25">
      <c r="A32" s="77" t="str">
        <f xml:space="preserve"> ( StartYear + 4 ) &amp; " Surplus Applied to " &amp; ( StartYear + 3 )</f>
        <v>2021 Surplus Applied to 2020</v>
      </c>
      <c r="B32" s="115"/>
      <c r="C32" s="116"/>
      <c r="D32" s="116"/>
      <c r="E32" s="47">
        <f ca="1">SUMIFS('Facility Detail'!G:G,'Facility Detail'!$B:$B,$A32)</f>
        <v>0</v>
      </c>
      <c r="F32" s="149">
        <f ca="1">SUMIFS('Facility Detail'!H:H,'Facility Detail'!$B:$B,$A32)</f>
        <v>0</v>
      </c>
      <c r="G32" s="13"/>
      <c r="H32" s="13"/>
    </row>
    <row r="33" spans="1:8" x14ac:dyDescent="0.25">
      <c r="A33" s="53" t="s">
        <v>17</v>
      </c>
      <c r="B33" s="40">
        <f ca="1">SUM(B23:B32)</f>
        <v>-10523</v>
      </c>
      <c r="C33" s="40">
        <f ca="1">SUM(C23:C32)</f>
        <v>-28401.59999999986</v>
      </c>
      <c r="D33" s="40">
        <f ca="1">SUM(D23:D32)</f>
        <v>-116351.20000000019</v>
      </c>
      <c r="E33" s="40">
        <f ca="1">SUM(E23:E32)</f>
        <v>291128.10000000009</v>
      </c>
      <c r="F33" s="40">
        <f ca="1">SUM(F23:F32)</f>
        <v>1624877.0999999999</v>
      </c>
      <c r="G33" s="13"/>
      <c r="H33" s="13"/>
    </row>
    <row r="34" spans="1:8" x14ac:dyDescent="0.25">
      <c r="B34" s="40"/>
      <c r="C34" s="40"/>
      <c r="D34" s="40"/>
      <c r="E34" s="40"/>
      <c r="F34" s="40"/>
      <c r="G34" s="13"/>
      <c r="H34" s="13"/>
    </row>
    <row r="35" spans="1:8" x14ac:dyDescent="0.25">
      <c r="A35" s="78" t="s">
        <v>12</v>
      </c>
      <c r="B35" s="157">
        <f ca="1">SUMIFS('Facility Detail'!D:D,'Facility Detail'!$B:$B,$A35)</f>
        <v>0</v>
      </c>
      <c r="C35" s="158">
        <f ca="1">SUMIFS('Facility Detail'!E:E,'Facility Detail'!$B:$B,$A35)</f>
        <v>0</v>
      </c>
      <c r="D35" s="158">
        <f ca="1">SUMIFS('Facility Detail'!F:F,'Facility Detail'!$B:$B,$A35)</f>
        <v>0</v>
      </c>
      <c r="E35" s="158">
        <f ca="1">SUMIFS('Facility Detail'!G:G,'Facility Detail'!$B:$B,$A35)</f>
        <v>0</v>
      </c>
      <c r="F35" s="159">
        <f ca="1">SUMIFS('Facility Detail'!H:H,'Facility Detail'!$B:$B,$A35)</f>
        <v>0</v>
      </c>
      <c r="G35" s="13"/>
      <c r="H35" s="13"/>
    </row>
    <row r="36" spans="1:8" x14ac:dyDescent="0.25">
      <c r="B36" s="40"/>
      <c r="C36" s="40"/>
      <c r="D36" s="40"/>
      <c r="E36" s="40"/>
      <c r="F36" s="40"/>
      <c r="G36" s="13"/>
      <c r="H36" s="13"/>
    </row>
    <row r="37" spans="1:8" x14ac:dyDescent="0.25">
      <c r="B37" s="2">
        <f>StartYear</f>
        <v>2017</v>
      </c>
      <c r="C37" s="2">
        <f>B37+1</f>
        <v>2018</v>
      </c>
      <c r="D37" s="2">
        <f>B37+2</f>
        <v>2019</v>
      </c>
      <c r="E37" s="2">
        <f>B37+3</f>
        <v>2020</v>
      </c>
      <c r="F37" s="2">
        <f>B37+4</f>
        <v>2021</v>
      </c>
      <c r="G37" s="13"/>
      <c r="H37" s="13"/>
    </row>
    <row r="38" spans="1:8" ht="32.25" customHeight="1" x14ac:dyDescent="0.25">
      <c r="A38" s="48" t="s">
        <v>27</v>
      </c>
      <c r="B38" s="160">
        <f ca="1">ROUNDDOWN(B14 + B20 - B9 + B33 + B35,0)</f>
        <v>67098</v>
      </c>
      <c r="C38" s="160">
        <f ca="1">C14 + C20 - C9 + C33 + C35</f>
        <v>17329.000000000233</v>
      </c>
      <c r="D38" s="160">
        <f ca="1">D14 + D20 - D9 + D33 + D35</f>
        <v>0.36000000010244548</v>
      </c>
      <c r="E38" s="160">
        <f ca="1">E14 + E20 - E9 + E33 + E35</f>
        <v>0.42500000027939677</v>
      </c>
      <c r="F38" s="160">
        <f ca="1">F14 + F20 - F9 + F33 + F35</f>
        <v>1025388.3054379674</v>
      </c>
      <c r="G38" s="19"/>
      <c r="H38" s="19"/>
    </row>
    <row r="39" spans="1:8" x14ac:dyDescent="0.25">
      <c r="H39" s="209"/>
    </row>
    <row r="40" spans="1:8" x14ac:dyDescent="0.25">
      <c r="A40" s="108" t="s">
        <v>158</v>
      </c>
      <c r="B40" s="196">
        <f ca="1">SUMIFS('Facility Detail'!D:D,'Facility Detail'!$C:$C,'Compliance Summary'!$A40)</f>
        <v>1647643</v>
      </c>
      <c r="C40" s="196">
        <f ca="1">SUMIFS('Facility Detail'!E:E,'Facility Detail'!$C:$C,'Compliance Summary'!$A40)</f>
        <v>1716929</v>
      </c>
      <c r="D40" s="196">
        <f ca="1">SUMIFS('Facility Detail'!F:F,'Facility Detail'!$C:$C,'Compliance Summary'!$A40)</f>
        <v>1694107</v>
      </c>
      <c r="H40" s="209"/>
    </row>
    <row r="41" spans="1:8" x14ac:dyDescent="0.25">
      <c r="H41" s="122"/>
    </row>
    <row r="42" spans="1:8" x14ac:dyDescent="0.25">
      <c r="H42" s="122"/>
    </row>
    <row r="43" spans="1:8" ht="30.75" customHeight="1" x14ac:dyDescent="0.25">
      <c r="A43" s="240" t="s">
        <v>126</v>
      </c>
      <c r="B43" s="240"/>
      <c r="C43" s="240"/>
      <c r="D43" s="240"/>
    </row>
    <row r="46" spans="1:8" x14ac:dyDescent="0.25">
      <c r="C46" s="141"/>
    </row>
  </sheetData>
  <mergeCells count="3">
    <mergeCell ref="A43:D43"/>
    <mergeCell ref="C4:E4"/>
    <mergeCell ref="C2:E2"/>
  </mergeCells>
  <phoneticPr fontId="8" type="noConversion"/>
  <conditionalFormatting sqref="B38:H38">
    <cfRule type="cellIs" dxfId="0" priority="12" stopIfTrue="1" operator="lessThan">
      <formula>0</formula>
    </cfRule>
  </conditionalFormatting>
  <pageMargins left="0.75" right="0.75" top="1" bottom="1" header="0.5" footer="0.5"/>
  <pageSetup scale="65" fitToWidth="0" orientation="landscape" r:id="rId1"/>
  <headerFooter alignWithMargins="0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N1947"/>
  <sheetViews>
    <sheetView showGridLines="0" zoomScale="75" zoomScaleNormal="75" workbookViewId="0">
      <selection activeCell="D62" sqref="D62"/>
    </sheetView>
  </sheetViews>
  <sheetFormatPr defaultColWidth="9.140625" defaultRowHeight="15" outlineLevelRow="1" outlineLevelCol="1" x14ac:dyDescent="0.25"/>
  <cols>
    <col min="1" max="1" width="5.28515625" style="1" customWidth="1"/>
    <col min="2" max="2" width="56.7109375" style="1" customWidth="1"/>
    <col min="3" max="3" width="17" style="1" customWidth="1"/>
    <col min="4" max="4" width="23.140625" style="122" customWidth="1"/>
    <col min="5" max="7" width="23.140625" style="1" customWidth="1"/>
    <col min="8" max="8" width="18.7109375" style="1" customWidth="1"/>
    <col min="9" max="9" width="3.7109375" style="1" customWidth="1"/>
    <col min="10" max="10" width="8.42578125" style="29" customWidth="1"/>
    <col min="11" max="11" width="14.42578125" style="29" bestFit="1" customWidth="1"/>
    <col min="12" max="12" width="20" style="1" customWidth="1" outlineLevel="1"/>
    <col min="13" max="13" width="58.85546875" style="29" customWidth="1" outlineLevel="1"/>
    <col min="14" max="14" width="73.85546875" style="228" customWidth="1" outlineLevel="1"/>
    <col min="15" max="16384" width="9.140625" style="1"/>
  </cols>
  <sheetData>
    <row r="1" spans="2:14" s="5" customFormat="1" ht="23.45" customHeight="1" x14ac:dyDescent="0.25">
      <c r="B1" s="5" t="str">
        <f>"PUGET SOUND ENERGY - "&amp;TEXT(StartYear+4,"0000")&amp;" RPS REPORT"</f>
        <v>PUGET SOUND ENERGY - 2021 RPS REPORT</v>
      </c>
      <c r="H1" s="5" t="s">
        <v>149</v>
      </c>
      <c r="J1" s="55"/>
      <c r="K1" s="55"/>
      <c r="M1" s="29"/>
      <c r="N1" s="32"/>
    </row>
    <row r="2" spans="2:14" s="5" customFormat="1" ht="23.45" customHeight="1" x14ac:dyDescent="0.25">
      <c r="J2" s="55"/>
      <c r="K2" s="55"/>
      <c r="M2" s="29"/>
      <c r="N2" s="32"/>
    </row>
    <row r="3" spans="2:14" ht="47.25" x14ac:dyDescent="0.25">
      <c r="B3" s="31" t="s">
        <v>4</v>
      </c>
      <c r="C3" s="31" t="s">
        <v>13</v>
      </c>
      <c r="D3" s="31" t="s">
        <v>178</v>
      </c>
      <c r="E3" s="31" t="s">
        <v>177</v>
      </c>
      <c r="F3" s="31" t="s">
        <v>14</v>
      </c>
      <c r="G3" s="31" t="s">
        <v>15</v>
      </c>
      <c r="H3" s="31" t="s">
        <v>125</v>
      </c>
      <c r="M3" s="29" t="s">
        <v>13</v>
      </c>
    </row>
    <row r="4" spans="2:14" ht="30" x14ac:dyDescent="0.25">
      <c r="B4" s="219" t="s">
        <v>141</v>
      </c>
      <c r="C4" s="33" t="s">
        <v>145</v>
      </c>
      <c r="D4" s="33" t="s">
        <v>179</v>
      </c>
      <c r="E4" s="222" t="s">
        <v>114</v>
      </c>
      <c r="F4" s="25" t="s">
        <v>1</v>
      </c>
      <c r="G4" s="102" t="s">
        <v>2</v>
      </c>
      <c r="H4" s="105"/>
      <c r="M4" s="29" t="s">
        <v>145</v>
      </c>
    </row>
    <row r="5" spans="2:14" x14ac:dyDescent="0.25">
      <c r="B5" s="220" t="s">
        <v>128</v>
      </c>
      <c r="C5" s="34" t="s">
        <v>131</v>
      </c>
      <c r="D5" s="34" t="s">
        <v>179</v>
      </c>
      <c r="E5" s="26" t="s">
        <v>107</v>
      </c>
      <c r="F5" s="26" t="s">
        <v>1</v>
      </c>
      <c r="G5" s="103" t="s">
        <v>2</v>
      </c>
      <c r="H5" s="106"/>
      <c r="M5" s="29" t="s">
        <v>131</v>
      </c>
    </row>
    <row r="6" spans="2:14" x14ac:dyDescent="0.25">
      <c r="B6" s="220" t="s">
        <v>134</v>
      </c>
      <c r="C6" s="34" t="s">
        <v>136</v>
      </c>
      <c r="D6" s="34" t="s">
        <v>179</v>
      </c>
      <c r="E6" s="26" t="s">
        <v>107</v>
      </c>
      <c r="F6" s="26" t="s">
        <v>1</v>
      </c>
      <c r="G6" s="103" t="s">
        <v>2</v>
      </c>
      <c r="H6" s="106"/>
      <c r="M6" s="29" t="s">
        <v>136</v>
      </c>
    </row>
    <row r="7" spans="2:14" x14ac:dyDescent="0.25">
      <c r="B7" s="220" t="s">
        <v>129</v>
      </c>
      <c r="C7" s="34" t="s">
        <v>132</v>
      </c>
      <c r="D7" s="34" t="s">
        <v>180</v>
      </c>
      <c r="E7" s="26" t="s">
        <v>107</v>
      </c>
      <c r="F7" s="26" t="s">
        <v>1</v>
      </c>
      <c r="G7" s="103" t="s">
        <v>2</v>
      </c>
      <c r="H7" s="106"/>
      <c r="M7" s="29" t="s">
        <v>132</v>
      </c>
    </row>
    <row r="8" spans="2:14" x14ac:dyDescent="0.25">
      <c r="B8" s="220" t="s">
        <v>139</v>
      </c>
      <c r="C8" s="34" t="s">
        <v>137</v>
      </c>
      <c r="D8" s="34" t="s">
        <v>179</v>
      </c>
      <c r="E8" s="26" t="s">
        <v>107</v>
      </c>
      <c r="F8" s="26" t="s">
        <v>0</v>
      </c>
      <c r="G8" s="103" t="s">
        <v>2</v>
      </c>
      <c r="H8" s="106"/>
      <c r="M8" s="29" t="s">
        <v>137</v>
      </c>
    </row>
    <row r="9" spans="2:14" x14ac:dyDescent="0.25">
      <c r="B9" s="220" t="s">
        <v>140</v>
      </c>
      <c r="C9" s="34" t="s">
        <v>138</v>
      </c>
      <c r="D9" s="34" t="s">
        <v>179</v>
      </c>
      <c r="E9" s="26" t="s">
        <v>107</v>
      </c>
      <c r="F9" s="26" t="s">
        <v>0</v>
      </c>
      <c r="G9" s="103" t="s">
        <v>2</v>
      </c>
      <c r="H9" s="106"/>
      <c r="M9" s="29" t="s">
        <v>138</v>
      </c>
    </row>
    <row r="10" spans="2:14" ht="30" x14ac:dyDescent="0.25">
      <c r="B10" s="220" t="s">
        <v>142</v>
      </c>
      <c r="C10" s="34" t="s">
        <v>146</v>
      </c>
      <c r="D10" s="34" t="s">
        <v>179</v>
      </c>
      <c r="E10" s="127" t="s">
        <v>114</v>
      </c>
      <c r="F10" s="26" t="s">
        <v>1</v>
      </c>
      <c r="G10" s="103" t="s">
        <v>2</v>
      </c>
      <c r="H10" s="106"/>
      <c r="M10" s="29" t="s">
        <v>146</v>
      </c>
    </row>
    <row r="11" spans="2:14" x14ac:dyDescent="0.25">
      <c r="B11" s="220" t="s">
        <v>229</v>
      </c>
      <c r="C11" s="34" t="s">
        <v>230</v>
      </c>
      <c r="D11" s="34" t="s">
        <v>180</v>
      </c>
      <c r="E11" s="127" t="s">
        <v>112</v>
      </c>
      <c r="F11" s="26" t="s">
        <v>1</v>
      </c>
      <c r="G11" s="103" t="s">
        <v>2</v>
      </c>
      <c r="H11" s="106"/>
      <c r="M11" s="29" t="s">
        <v>230</v>
      </c>
    </row>
    <row r="12" spans="2:14" x14ac:dyDescent="0.25">
      <c r="B12" s="220" t="s">
        <v>127</v>
      </c>
      <c r="C12" s="34" t="s">
        <v>130</v>
      </c>
      <c r="D12" s="34" t="s">
        <v>179</v>
      </c>
      <c r="E12" s="26" t="s">
        <v>107</v>
      </c>
      <c r="F12" s="26" t="s">
        <v>1</v>
      </c>
      <c r="G12" s="103" t="s">
        <v>2</v>
      </c>
      <c r="H12" s="106"/>
      <c r="M12" s="29" t="s">
        <v>130</v>
      </c>
    </row>
    <row r="13" spans="2:14" x14ac:dyDescent="0.25">
      <c r="B13" s="220" t="s">
        <v>133</v>
      </c>
      <c r="C13" s="34" t="s">
        <v>135</v>
      </c>
      <c r="D13" s="34" t="s">
        <v>179</v>
      </c>
      <c r="E13" s="26" t="s">
        <v>107</v>
      </c>
      <c r="F13" s="26" t="s">
        <v>0</v>
      </c>
      <c r="G13" s="103" t="s">
        <v>2</v>
      </c>
      <c r="H13" s="106"/>
      <c r="M13" s="29" t="s">
        <v>135</v>
      </c>
    </row>
    <row r="14" spans="2:14" x14ac:dyDescent="0.25">
      <c r="B14" s="220" t="s">
        <v>189</v>
      </c>
      <c r="C14" s="34" t="s">
        <v>159</v>
      </c>
      <c r="D14" s="34" t="s">
        <v>181</v>
      </c>
      <c r="E14" s="26" t="s">
        <v>107</v>
      </c>
      <c r="F14" s="26" t="s">
        <v>1</v>
      </c>
      <c r="G14" s="103" t="s">
        <v>2</v>
      </c>
      <c r="H14" s="106"/>
      <c r="M14" s="29" t="s">
        <v>159</v>
      </c>
    </row>
    <row r="15" spans="2:14" x14ac:dyDescent="0.25">
      <c r="B15" s="220" t="s">
        <v>187</v>
      </c>
      <c r="C15" s="34" t="s">
        <v>156</v>
      </c>
      <c r="D15" s="34" t="s">
        <v>181</v>
      </c>
      <c r="E15" s="26" t="s">
        <v>107</v>
      </c>
      <c r="F15" s="26" t="s">
        <v>1</v>
      </c>
      <c r="G15" s="103" t="s">
        <v>2</v>
      </c>
      <c r="H15" s="106"/>
      <c r="M15" s="29" t="s">
        <v>156</v>
      </c>
    </row>
    <row r="16" spans="2:14" x14ac:dyDescent="0.25">
      <c r="B16" s="220" t="s">
        <v>188</v>
      </c>
      <c r="C16" s="34" t="s">
        <v>157</v>
      </c>
      <c r="D16" s="34" t="s">
        <v>181</v>
      </c>
      <c r="E16" s="26" t="s">
        <v>107</v>
      </c>
      <c r="F16" s="26" t="s">
        <v>1</v>
      </c>
      <c r="G16" s="201" t="s">
        <v>2</v>
      </c>
      <c r="H16" s="106"/>
      <c r="M16" s="29" t="s">
        <v>157</v>
      </c>
    </row>
    <row r="17" spans="2:13" x14ac:dyDescent="0.25">
      <c r="B17" s="220" t="s">
        <v>205</v>
      </c>
      <c r="C17" s="34" t="s">
        <v>217</v>
      </c>
      <c r="D17" s="34" t="s">
        <v>181</v>
      </c>
      <c r="E17" s="26" t="s">
        <v>112</v>
      </c>
      <c r="F17" s="26" t="s">
        <v>1</v>
      </c>
      <c r="G17" s="201" t="s">
        <v>2</v>
      </c>
      <c r="H17" s="106"/>
      <c r="M17" s="29" t="s">
        <v>217</v>
      </c>
    </row>
    <row r="18" spans="2:13" x14ac:dyDescent="0.25">
      <c r="B18" s="220" t="s">
        <v>206</v>
      </c>
      <c r="C18" s="34" t="s">
        <v>218</v>
      </c>
      <c r="D18" s="34" t="s">
        <v>181</v>
      </c>
      <c r="E18" s="26" t="s">
        <v>112</v>
      </c>
      <c r="F18" s="26" t="s">
        <v>1</v>
      </c>
      <c r="G18" s="201" t="s">
        <v>2</v>
      </c>
      <c r="H18" s="106"/>
      <c r="M18" s="29" t="s">
        <v>218</v>
      </c>
    </row>
    <row r="19" spans="2:13" x14ac:dyDescent="0.25">
      <c r="B19" s="220" t="s">
        <v>176</v>
      </c>
      <c r="C19" s="34" t="s">
        <v>160</v>
      </c>
      <c r="D19" s="34" t="s">
        <v>181</v>
      </c>
      <c r="E19" s="26" t="s">
        <v>107</v>
      </c>
      <c r="F19" s="26" t="s">
        <v>1</v>
      </c>
      <c r="G19" s="103" t="s">
        <v>2</v>
      </c>
      <c r="H19" s="106"/>
      <c r="M19" s="29" t="s">
        <v>160</v>
      </c>
    </row>
    <row r="20" spans="2:13" x14ac:dyDescent="0.25">
      <c r="B20" s="220" t="s">
        <v>207</v>
      </c>
      <c r="C20" s="34" t="s">
        <v>219</v>
      </c>
      <c r="D20" s="34" t="s">
        <v>181</v>
      </c>
      <c r="E20" s="26" t="s">
        <v>107</v>
      </c>
      <c r="F20" s="26" t="s">
        <v>1</v>
      </c>
      <c r="G20" s="103" t="s">
        <v>2</v>
      </c>
      <c r="H20" s="106"/>
      <c r="M20" s="29" t="s">
        <v>219</v>
      </c>
    </row>
    <row r="21" spans="2:13" x14ac:dyDescent="0.25">
      <c r="B21" s="220" t="s">
        <v>185</v>
      </c>
      <c r="C21" s="34" t="s">
        <v>154</v>
      </c>
      <c r="D21" s="34" t="s">
        <v>181</v>
      </c>
      <c r="E21" s="26" t="s">
        <v>108</v>
      </c>
      <c r="F21" s="26" t="s">
        <v>1</v>
      </c>
      <c r="G21" s="103" t="s">
        <v>2</v>
      </c>
      <c r="H21" s="106"/>
      <c r="M21" s="29" t="s">
        <v>154</v>
      </c>
    </row>
    <row r="22" spans="2:13" x14ac:dyDescent="0.25">
      <c r="B22" s="220" t="s">
        <v>184</v>
      </c>
      <c r="C22" s="34" t="s">
        <v>153</v>
      </c>
      <c r="D22" s="34" t="s">
        <v>181</v>
      </c>
      <c r="E22" s="26" t="s">
        <v>108</v>
      </c>
      <c r="F22" s="26" t="s">
        <v>1</v>
      </c>
      <c r="G22" s="103" t="s">
        <v>2</v>
      </c>
      <c r="H22" s="106"/>
      <c r="M22" s="29" t="s">
        <v>153</v>
      </c>
    </row>
    <row r="23" spans="2:13" x14ac:dyDescent="0.25">
      <c r="B23" s="220" t="s">
        <v>208</v>
      </c>
      <c r="C23" s="34" t="s">
        <v>220</v>
      </c>
      <c r="D23" s="34" t="s">
        <v>181</v>
      </c>
      <c r="E23" s="26" t="s">
        <v>221</v>
      </c>
      <c r="F23" s="26" t="s">
        <v>1</v>
      </c>
      <c r="G23" s="103" t="s">
        <v>0</v>
      </c>
      <c r="H23" s="106"/>
      <c r="M23" s="29" t="s">
        <v>220</v>
      </c>
    </row>
    <row r="24" spans="2:13" x14ac:dyDescent="0.25">
      <c r="B24" s="220" t="s">
        <v>183</v>
      </c>
      <c r="C24" s="34" t="s">
        <v>152</v>
      </c>
      <c r="D24" s="34" t="s">
        <v>181</v>
      </c>
      <c r="E24" s="26" t="s">
        <v>107</v>
      </c>
      <c r="F24" s="26" t="s">
        <v>1</v>
      </c>
      <c r="G24" s="103" t="s">
        <v>2</v>
      </c>
      <c r="H24" s="106"/>
      <c r="M24" s="29" t="s">
        <v>152</v>
      </c>
    </row>
    <row r="25" spans="2:13" x14ac:dyDescent="0.25">
      <c r="B25" s="220" t="s">
        <v>186</v>
      </c>
      <c r="C25" s="34" t="s">
        <v>155</v>
      </c>
      <c r="D25" s="34" t="s">
        <v>181</v>
      </c>
      <c r="E25" s="26" t="s">
        <v>108</v>
      </c>
      <c r="F25" s="26" t="s">
        <v>1</v>
      </c>
      <c r="G25" s="103" t="s">
        <v>2</v>
      </c>
      <c r="H25" s="106"/>
      <c r="M25" s="29" t="s">
        <v>155</v>
      </c>
    </row>
    <row r="26" spans="2:13" x14ac:dyDescent="0.25">
      <c r="B26" s="220" t="s">
        <v>182</v>
      </c>
      <c r="C26" s="34" t="s">
        <v>150</v>
      </c>
      <c r="D26" s="34" t="s">
        <v>181</v>
      </c>
      <c r="E26" s="26" t="s">
        <v>107</v>
      </c>
      <c r="F26" s="26" t="s">
        <v>1</v>
      </c>
      <c r="G26" s="103" t="s">
        <v>2</v>
      </c>
      <c r="H26" s="106"/>
      <c r="M26" s="29" t="s">
        <v>150</v>
      </c>
    </row>
    <row r="27" spans="2:13" x14ac:dyDescent="0.25">
      <c r="B27" s="220" t="s">
        <v>190</v>
      </c>
      <c r="C27" s="34" t="s">
        <v>132</v>
      </c>
      <c r="D27" s="34" t="s">
        <v>181</v>
      </c>
      <c r="E27" s="26" t="s">
        <v>107</v>
      </c>
      <c r="F27" s="26" t="s">
        <v>1</v>
      </c>
      <c r="G27" s="103" t="s">
        <v>2</v>
      </c>
      <c r="H27" s="106"/>
      <c r="M27" s="29" t="s">
        <v>132</v>
      </c>
    </row>
    <row r="28" spans="2:13" x14ac:dyDescent="0.25">
      <c r="B28" s="220" t="s">
        <v>209</v>
      </c>
      <c r="C28" s="34" t="s">
        <v>222</v>
      </c>
      <c r="D28" s="34" t="s">
        <v>181</v>
      </c>
      <c r="E28" s="26" t="s">
        <v>107</v>
      </c>
      <c r="F28" s="26" t="s">
        <v>1</v>
      </c>
      <c r="G28" s="103" t="s">
        <v>2</v>
      </c>
      <c r="H28" s="106"/>
      <c r="M28" s="29" t="s">
        <v>222</v>
      </c>
    </row>
    <row r="29" spans="2:13" x14ac:dyDescent="0.25">
      <c r="B29" s="220" t="s">
        <v>210</v>
      </c>
      <c r="C29" s="34" t="s">
        <v>223</v>
      </c>
      <c r="D29" s="34" t="s">
        <v>181</v>
      </c>
      <c r="E29" s="26" t="s">
        <v>107</v>
      </c>
      <c r="F29" s="26" t="s">
        <v>1</v>
      </c>
      <c r="G29" s="103" t="s">
        <v>2</v>
      </c>
      <c r="H29" s="106"/>
      <c r="M29" s="29" t="s">
        <v>223</v>
      </c>
    </row>
    <row r="30" spans="2:13" x14ac:dyDescent="0.25">
      <c r="B30" s="220" t="s">
        <v>175</v>
      </c>
      <c r="C30" s="34" t="s">
        <v>161</v>
      </c>
      <c r="D30" s="34" t="s">
        <v>181</v>
      </c>
      <c r="E30" s="26" t="s">
        <v>107</v>
      </c>
      <c r="F30" s="26" t="s">
        <v>1</v>
      </c>
      <c r="G30" s="103" t="s">
        <v>2</v>
      </c>
      <c r="H30" s="106"/>
      <c r="M30" s="29" t="s">
        <v>161</v>
      </c>
    </row>
    <row r="31" spans="2:13" x14ac:dyDescent="0.25">
      <c r="B31" s="220" t="s">
        <v>191</v>
      </c>
      <c r="C31" s="34" t="s">
        <v>162</v>
      </c>
      <c r="D31" s="34" t="s">
        <v>181</v>
      </c>
      <c r="E31" s="26" t="s">
        <v>107</v>
      </c>
      <c r="F31" s="26" t="s">
        <v>1</v>
      </c>
      <c r="G31" s="103" t="s">
        <v>2</v>
      </c>
      <c r="H31" s="106"/>
      <c r="M31" s="29" t="s">
        <v>162</v>
      </c>
    </row>
    <row r="32" spans="2:13" x14ac:dyDescent="0.25">
      <c r="B32" s="220" t="s">
        <v>192</v>
      </c>
      <c r="C32" s="34" t="s">
        <v>163</v>
      </c>
      <c r="D32" s="34" t="s">
        <v>181</v>
      </c>
      <c r="E32" s="26" t="s">
        <v>107</v>
      </c>
      <c r="F32" s="26" t="s">
        <v>1</v>
      </c>
      <c r="G32" s="103" t="s">
        <v>2</v>
      </c>
      <c r="H32" s="106"/>
      <c r="M32" s="29" t="s">
        <v>163</v>
      </c>
    </row>
    <row r="33" spans="2:13" x14ac:dyDescent="0.25">
      <c r="B33" s="220" t="s">
        <v>193</v>
      </c>
      <c r="C33" s="34" t="s">
        <v>164</v>
      </c>
      <c r="D33" s="34" t="s">
        <v>181</v>
      </c>
      <c r="E33" s="26" t="s">
        <v>107</v>
      </c>
      <c r="F33" s="26" t="s">
        <v>1</v>
      </c>
      <c r="G33" s="103" t="s">
        <v>2</v>
      </c>
      <c r="H33" s="106"/>
      <c r="M33" s="29" t="s">
        <v>164</v>
      </c>
    </row>
    <row r="34" spans="2:13" x14ac:dyDescent="0.25">
      <c r="B34" s="220" t="s">
        <v>211</v>
      </c>
      <c r="C34" s="34" t="s">
        <v>224</v>
      </c>
      <c r="D34" s="34" t="s">
        <v>181</v>
      </c>
      <c r="E34" s="26" t="s">
        <v>107</v>
      </c>
      <c r="F34" s="26" t="s">
        <v>1</v>
      </c>
      <c r="G34" s="103" t="s">
        <v>2</v>
      </c>
      <c r="H34" s="106"/>
      <c r="M34" s="29" t="s">
        <v>224</v>
      </c>
    </row>
    <row r="35" spans="2:13" x14ac:dyDescent="0.25">
      <c r="B35" s="220" t="s">
        <v>194</v>
      </c>
      <c r="C35" s="34" t="s">
        <v>165</v>
      </c>
      <c r="D35" s="34" t="s">
        <v>181</v>
      </c>
      <c r="E35" s="26" t="s">
        <v>107</v>
      </c>
      <c r="F35" s="26" t="s">
        <v>1</v>
      </c>
      <c r="G35" s="103" t="s">
        <v>2</v>
      </c>
      <c r="H35" s="106"/>
      <c r="M35" s="29" t="s">
        <v>165</v>
      </c>
    </row>
    <row r="36" spans="2:13" x14ac:dyDescent="0.25">
      <c r="B36" s="220" t="s">
        <v>195</v>
      </c>
      <c r="C36" s="34" t="s">
        <v>166</v>
      </c>
      <c r="D36" s="34" t="s">
        <v>181</v>
      </c>
      <c r="E36" s="26" t="s">
        <v>107</v>
      </c>
      <c r="F36" s="26" t="s">
        <v>1</v>
      </c>
      <c r="G36" s="201" t="s">
        <v>2</v>
      </c>
      <c r="H36" s="106"/>
      <c r="M36" s="29" t="s">
        <v>166</v>
      </c>
    </row>
    <row r="37" spans="2:13" x14ac:dyDescent="0.25">
      <c r="B37" s="220" t="s">
        <v>212</v>
      </c>
      <c r="C37" s="34" t="s">
        <v>225</v>
      </c>
      <c r="D37" s="34" t="s">
        <v>181</v>
      </c>
      <c r="E37" s="26" t="s">
        <v>107</v>
      </c>
      <c r="F37" s="26" t="s">
        <v>1</v>
      </c>
      <c r="G37" s="201" t="s">
        <v>2</v>
      </c>
      <c r="H37" s="106"/>
      <c r="M37" s="29" t="s">
        <v>225</v>
      </c>
    </row>
    <row r="38" spans="2:13" x14ac:dyDescent="0.25">
      <c r="B38" s="220" t="s">
        <v>196</v>
      </c>
      <c r="C38" s="34" t="s">
        <v>167</v>
      </c>
      <c r="D38" s="34" t="s">
        <v>181</v>
      </c>
      <c r="E38" s="26" t="s">
        <v>110</v>
      </c>
      <c r="F38" s="26" t="s">
        <v>1</v>
      </c>
      <c r="G38" s="103" t="s">
        <v>2</v>
      </c>
      <c r="H38" s="200"/>
      <c r="M38" s="29" t="s">
        <v>167</v>
      </c>
    </row>
    <row r="39" spans="2:13" x14ac:dyDescent="0.25">
      <c r="B39" s="220" t="s">
        <v>197</v>
      </c>
      <c r="C39" s="34" t="s">
        <v>168</v>
      </c>
      <c r="D39" s="34" t="s">
        <v>181</v>
      </c>
      <c r="E39" s="26" t="s">
        <v>107</v>
      </c>
      <c r="F39" s="26" t="s">
        <v>1</v>
      </c>
      <c r="G39" s="201" t="s">
        <v>2</v>
      </c>
      <c r="H39" s="200"/>
      <c r="M39" s="29" t="s">
        <v>168</v>
      </c>
    </row>
    <row r="40" spans="2:13" x14ac:dyDescent="0.25">
      <c r="B40" s="220" t="s">
        <v>198</v>
      </c>
      <c r="C40" s="34" t="s">
        <v>169</v>
      </c>
      <c r="D40" s="34" t="s">
        <v>181</v>
      </c>
      <c r="E40" s="26" t="s">
        <v>107</v>
      </c>
      <c r="F40" s="26" t="s">
        <v>1</v>
      </c>
      <c r="G40" s="201" t="s">
        <v>2</v>
      </c>
      <c r="H40" s="200"/>
      <c r="M40" s="29" t="s">
        <v>169</v>
      </c>
    </row>
    <row r="41" spans="2:13" x14ac:dyDescent="0.25">
      <c r="B41" s="220" t="s">
        <v>213</v>
      </c>
      <c r="C41" s="197" t="s">
        <v>151</v>
      </c>
      <c r="D41" s="197" t="s">
        <v>181</v>
      </c>
      <c r="E41" s="198" t="s">
        <v>107</v>
      </c>
      <c r="F41" s="198" t="s">
        <v>1</v>
      </c>
      <c r="G41" s="199" t="s">
        <v>2</v>
      </c>
      <c r="H41" s="200"/>
      <c r="M41" s="29" t="s">
        <v>151</v>
      </c>
    </row>
    <row r="42" spans="2:13" x14ac:dyDescent="0.25">
      <c r="B42" s="220" t="s">
        <v>214</v>
      </c>
      <c r="C42" s="197" t="s">
        <v>226</v>
      </c>
      <c r="D42" s="197" t="s">
        <v>181</v>
      </c>
      <c r="E42" s="198" t="s">
        <v>112</v>
      </c>
      <c r="F42" s="198" t="s">
        <v>1</v>
      </c>
      <c r="G42" s="202" t="s">
        <v>2</v>
      </c>
      <c r="H42" s="200"/>
      <c r="M42" s="29" t="s">
        <v>226</v>
      </c>
    </row>
    <row r="43" spans="2:13" x14ac:dyDescent="0.25">
      <c r="B43" s="220" t="s">
        <v>215</v>
      </c>
      <c r="C43" s="197" t="s">
        <v>227</v>
      </c>
      <c r="D43" s="197" t="s">
        <v>181</v>
      </c>
      <c r="E43" s="198" t="s">
        <v>112</v>
      </c>
      <c r="F43" s="198" t="s">
        <v>1</v>
      </c>
      <c r="G43" s="202" t="s">
        <v>0</v>
      </c>
      <c r="H43" s="200"/>
      <c r="M43" s="29" t="s">
        <v>227</v>
      </c>
    </row>
    <row r="44" spans="2:13" ht="15" customHeight="1" x14ac:dyDescent="0.25">
      <c r="B44" s="220" t="s">
        <v>199</v>
      </c>
      <c r="C44" s="197" t="s">
        <v>170</v>
      </c>
      <c r="D44" s="197" t="s">
        <v>181</v>
      </c>
      <c r="E44" s="198" t="s">
        <v>107</v>
      </c>
      <c r="F44" s="198" t="s">
        <v>1</v>
      </c>
      <c r="G44" s="202" t="s">
        <v>2</v>
      </c>
      <c r="H44" s="200"/>
      <c r="M44" s="29" t="s">
        <v>170</v>
      </c>
    </row>
    <row r="45" spans="2:13" x14ac:dyDescent="0.25">
      <c r="B45" s="220" t="s">
        <v>216</v>
      </c>
      <c r="C45" s="197" t="s">
        <v>228</v>
      </c>
      <c r="D45" s="197" t="s">
        <v>181</v>
      </c>
      <c r="E45" s="198" t="s">
        <v>107</v>
      </c>
      <c r="F45" s="198" t="s">
        <v>1</v>
      </c>
      <c r="G45" s="202" t="s">
        <v>2</v>
      </c>
      <c r="H45" s="200"/>
      <c r="M45" s="29" t="s">
        <v>228</v>
      </c>
    </row>
    <row r="46" spans="2:13" x14ac:dyDescent="0.25">
      <c r="B46" s="220" t="s">
        <v>200</v>
      </c>
      <c r="C46" s="197" t="s">
        <v>171</v>
      </c>
      <c r="D46" s="197" t="s">
        <v>181</v>
      </c>
      <c r="E46" s="198" t="s">
        <v>107</v>
      </c>
      <c r="F46" s="198" t="s">
        <v>1</v>
      </c>
      <c r="G46" s="202" t="s">
        <v>2</v>
      </c>
      <c r="H46" s="200"/>
      <c r="M46" s="29" t="s">
        <v>171</v>
      </c>
    </row>
    <row r="47" spans="2:13" x14ac:dyDescent="0.25">
      <c r="B47" s="220" t="s">
        <v>201</v>
      </c>
      <c r="C47" s="197" t="s">
        <v>172</v>
      </c>
      <c r="D47" s="197" t="s">
        <v>181</v>
      </c>
      <c r="E47" s="198" t="s">
        <v>107</v>
      </c>
      <c r="F47" s="198" t="s">
        <v>1</v>
      </c>
      <c r="G47" s="202" t="s">
        <v>2</v>
      </c>
      <c r="H47" s="200"/>
      <c r="M47" s="29" t="s">
        <v>172</v>
      </c>
    </row>
    <row r="48" spans="2:13" x14ac:dyDescent="0.25">
      <c r="B48" s="220" t="s">
        <v>202</v>
      </c>
      <c r="C48" s="197" t="s">
        <v>173</v>
      </c>
      <c r="D48" s="197" t="s">
        <v>181</v>
      </c>
      <c r="E48" s="198" t="s">
        <v>107</v>
      </c>
      <c r="F48" s="198" t="s">
        <v>1</v>
      </c>
      <c r="G48" s="202" t="s">
        <v>2</v>
      </c>
      <c r="H48" s="200"/>
      <c r="M48" s="29" t="s">
        <v>173</v>
      </c>
    </row>
    <row r="49" spans="1:14" x14ac:dyDescent="0.25">
      <c r="B49" s="220"/>
      <c r="C49" s="197"/>
      <c r="D49" s="197"/>
      <c r="E49" s="198"/>
      <c r="F49" s="198"/>
      <c r="G49" s="202"/>
      <c r="H49" s="200"/>
    </row>
    <row r="50" spans="1:14" x14ac:dyDescent="0.25">
      <c r="B50" s="220"/>
      <c r="C50" s="197"/>
      <c r="D50" s="197"/>
      <c r="E50" s="198"/>
      <c r="F50" s="198" t="s">
        <v>2</v>
      </c>
      <c r="G50" s="199" t="s">
        <v>2</v>
      </c>
      <c r="H50" s="200"/>
    </row>
    <row r="51" spans="1:14" x14ac:dyDescent="0.25">
      <c r="B51" s="220"/>
      <c r="C51" s="197"/>
      <c r="D51" s="197"/>
      <c r="E51" s="198"/>
      <c r="F51" s="198" t="s">
        <v>2</v>
      </c>
      <c r="G51" s="199" t="s">
        <v>2</v>
      </c>
      <c r="H51" s="200"/>
    </row>
    <row r="52" spans="1:14" x14ac:dyDescent="0.25">
      <c r="B52" s="220">
        <v>0</v>
      </c>
      <c r="C52" s="197"/>
      <c r="D52" s="197"/>
      <c r="E52" s="198"/>
      <c r="F52" s="198" t="s">
        <v>2</v>
      </c>
      <c r="G52" s="199" t="s">
        <v>2</v>
      </c>
      <c r="H52" s="200"/>
    </row>
    <row r="53" spans="1:14" x14ac:dyDescent="0.25">
      <c r="B53" s="221" t="s">
        <v>203</v>
      </c>
      <c r="C53" s="35"/>
      <c r="D53" s="35"/>
      <c r="E53" s="27"/>
      <c r="F53" s="27" t="s">
        <v>2</v>
      </c>
      <c r="G53" s="104" t="s">
        <v>2</v>
      </c>
      <c r="H53" s="107"/>
    </row>
    <row r="54" spans="1:14" x14ac:dyDescent="0.25">
      <c r="B54" s="24"/>
      <c r="D54" s="1"/>
    </row>
    <row r="55" spans="1:14" ht="31.5" customHeight="1" x14ac:dyDescent="0.25">
      <c r="B55" s="240" t="s">
        <v>126</v>
      </c>
      <c r="C55" s="240"/>
      <c r="D55" s="240"/>
      <c r="E55" s="240"/>
      <c r="F55" s="240"/>
      <c r="I55" s="29"/>
    </row>
    <row r="56" spans="1:14" ht="31.5" customHeight="1" x14ac:dyDescent="0.25">
      <c r="B56" s="175"/>
      <c r="C56" s="175"/>
      <c r="D56" s="175"/>
      <c r="E56" s="175"/>
      <c r="F56" s="175"/>
      <c r="I56" s="29"/>
      <c r="J56" s="225"/>
      <c r="K56" s="225"/>
      <c r="L56" s="225"/>
      <c r="N56" s="229"/>
    </row>
    <row r="57" spans="1:14" ht="31.5" customHeight="1" x14ac:dyDescent="0.25">
      <c r="B57" s="175"/>
      <c r="C57" s="175"/>
      <c r="D57" s="175"/>
      <c r="E57" s="175"/>
      <c r="F57" s="175"/>
      <c r="I57" s="29"/>
    </row>
    <row r="58" spans="1:14" s="29" customFormat="1" x14ac:dyDescent="0.25">
      <c r="D58" s="177"/>
      <c r="N58" s="57"/>
    </row>
    <row r="59" spans="1:14" ht="21" x14ac:dyDescent="0.35">
      <c r="A59" s="12">
        <f>MAX(A$1:A58)+1</f>
        <v>1</v>
      </c>
      <c r="B59" s="123"/>
      <c r="C59" s="214" t="str">
        <f ca="1">OFFSET($B$4,A59-1,0)</f>
        <v>Baker River Project</v>
      </c>
      <c r="D59" s="215"/>
      <c r="E59" s="216"/>
      <c r="F59" s="216"/>
      <c r="G59" s="217"/>
      <c r="H59" s="218"/>
    </row>
    <row r="60" spans="1:14" x14ac:dyDescent="0.25">
      <c r="B60" s="122"/>
      <c r="C60" s="1" t="str">
        <f ca="1">VLOOKUP(C59,Facilities,3,FALSE)</f>
        <v>PSE owned</v>
      </c>
      <c r="D60" s="1"/>
      <c r="I60" s="22"/>
    </row>
    <row r="61" spans="1:14" ht="18.75" x14ac:dyDescent="0.3">
      <c r="A61" s="8" t="s">
        <v>21</v>
      </c>
      <c r="B61" s="124"/>
      <c r="D61" s="2">
        <f>D366</f>
        <v>2017</v>
      </c>
      <c r="E61" s="2">
        <f>D61+1</f>
        <v>2018</v>
      </c>
      <c r="F61" s="118">
        <f>E61+1</f>
        <v>2019</v>
      </c>
      <c r="G61" s="118">
        <f>F61+1</f>
        <v>2020</v>
      </c>
      <c r="H61" s="118">
        <f>G61+1</f>
        <v>2021</v>
      </c>
      <c r="I61" s="22"/>
    </row>
    <row r="62" spans="1:14" ht="15" customHeight="1" x14ac:dyDescent="0.25">
      <c r="B62" s="119" t="str">
        <f ca="1">IF(C98&lt;&gt;"REC only","Total MWh ","")&amp;IF(C60="PSE owned","Produced","Purchased")&amp;" from "&amp;C59</f>
        <v>Total MWh Produced from Baker River Project</v>
      </c>
      <c r="C62" s="52"/>
      <c r="D62" s="178">
        <v>313000</v>
      </c>
      <c r="E62" s="178">
        <v>385059</v>
      </c>
      <c r="F62" s="178">
        <v>263625.44169611309</v>
      </c>
      <c r="G62" s="3">
        <v>383403</v>
      </c>
      <c r="H62" s="176">
        <f>98639/H63</f>
        <v>348547.70318021206</v>
      </c>
      <c r="I62" s="23"/>
      <c r="J62" s="232"/>
      <c r="K62" s="30"/>
      <c r="L62" s="190" t="s">
        <v>232</v>
      </c>
      <c r="M62" s="29" t="s">
        <v>141</v>
      </c>
      <c r="N62" s="228" t="s">
        <v>234</v>
      </c>
    </row>
    <row r="63" spans="1:14" ht="15" customHeight="1" x14ac:dyDescent="0.25">
      <c r="B63" s="119" t="s">
        <v>25</v>
      </c>
      <c r="C63" s="52"/>
      <c r="D63" s="135">
        <v>0.28299999999999997</v>
      </c>
      <c r="E63" s="135">
        <v>0.28299999999999997</v>
      </c>
      <c r="F63" s="135">
        <v>0.28299999999999997</v>
      </c>
      <c r="G63" s="135">
        <v>0.28299999999999997</v>
      </c>
      <c r="H63" s="136">
        <v>0.28299999999999997</v>
      </c>
      <c r="I63" s="22"/>
      <c r="J63" s="232"/>
      <c r="K63" s="30"/>
      <c r="L63" s="190" t="s">
        <v>232</v>
      </c>
      <c r="M63" s="29" t="s">
        <v>141</v>
      </c>
      <c r="N63" s="228" t="s">
        <v>25</v>
      </c>
    </row>
    <row r="64" spans="1:14" ht="15" customHeight="1" x14ac:dyDescent="0.25">
      <c r="B64" s="119" t="s">
        <v>20</v>
      </c>
      <c r="C64" s="52"/>
      <c r="D64" s="42">
        <v>1</v>
      </c>
      <c r="E64" s="42">
        <v>1</v>
      </c>
      <c r="F64" s="42">
        <v>1</v>
      </c>
      <c r="G64" s="42">
        <v>1</v>
      </c>
      <c r="H64" s="43">
        <v>1</v>
      </c>
      <c r="J64" s="232"/>
      <c r="K64" s="30"/>
      <c r="L64" s="190" t="s">
        <v>232</v>
      </c>
      <c r="M64" s="29" t="s">
        <v>141</v>
      </c>
      <c r="N64" s="228" t="s">
        <v>20</v>
      </c>
    </row>
    <row r="65" spans="1:14" ht="15" customHeight="1" x14ac:dyDescent="0.25">
      <c r="B65" s="54" t="s">
        <v>22</v>
      </c>
      <c r="C65" s="52"/>
      <c r="D65" s="131">
        <f xml:space="preserve"> D62 * D63 * D64</f>
        <v>88578.999999999985</v>
      </c>
      <c r="E65" s="131">
        <f xml:space="preserve"> ROUNDDOWN(E62 * E63 * E64,0)</f>
        <v>108971</v>
      </c>
      <c r="F65" s="131">
        <f xml:space="preserve"> ROUNDDOWN(F62 * F63 * F64,0)</f>
        <v>74606</v>
      </c>
      <c r="G65" s="131">
        <f xml:space="preserve"> ROUNDDOWN(G62 * G63 * G64,0)</f>
        <v>108503</v>
      </c>
      <c r="H65" s="131">
        <f xml:space="preserve"> ROUNDDOWN(H62 * H63 * H64,0)</f>
        <v>98639</v>
      </c>
      <c r="K65" s="30"/>
      <c r="L65" s="190" t="s">
        <v>232</v>
      </c>
      <c r="M65" s="29" t="s">
        <v>141</v>
      </c>
      <c r="N65" s="228" t="s">
        <v>22</v>
      </c>
    </row>
    <row r="66" spans="1:14" ht="15" customHeight="1" x14ac:dyDescent="0.25">
      <c r="B66" s="22"/>
      <c r="C66" s="52"/>
      <c r="D66" s="168"/>
      <c r="E66" s="168"/>
      <c r="F66" s="168"/>
      <c r="G66" s="167"/>
      <c r="H66" s="36"/>
      <c r="L66" s="190" t="s">
        <v>232</v>
      </c>
      <c r="M66" s="29" t="s">
        <v>141</v>
      </c>
    </row>
    <row r="67" spans="1:14" ht="18.75" customHeight="1" x14ac:dyDescent="0.3">
      <c r="A67" s="39" t="s">
        <v>119</v>
      </c>
      <c r="B67" s="122"/>
      <c r="C67" s="52"/>
      <c r="D67" s="2">
        <f>D61</f>
        <v>2017</v>
      </c>
      <c r="E67" s="2">
        <f>D67+1</f>
        <v>2018</v>
      </c>
      <c r="F67" s="2">
        <f>E67+1</f>
        <v>2019</v>
      </c>
      <c r="G67" s="2">
        <f>F67+1</f>
        <v>2020</v>
      </c>
      <c r="H67" s="2">
        <f>G67+1</f>
        <v>2021</v>
      </c>
      <c r="L67" s="190" t="s">
        <v>232</v>
      </c>
      <c r="M67" s="29" t="s">
        <v>141</v>
      </c>
    </row>
    <row r="68" spans="1:14" x14ac:dyDescent="0.25">
      <c r="B68" s="119" t="s">
        <v>10</v>
      </c>
      <c r="C68" s="52"/>
      <c r="D68" s="10">
        <f ca="1">IF(VLOOKUP($C59,Facilities,5,FALSE)="Eligible", D65*ApprenticeshipBonus, 0 )</f>
        <v>0</v>
      </c>
      <c r="E68" s="109">
        <f ca="1">IF(VLOOKUP($C59,Facilities,5,FALSE)="Eligible", E65*ApprenticeshipBonus, 0 )</f>
        <v>0</v>
      </c>
      <c r="F68" s="109">
        <f ca="1">IF(VLOOKUP($C59,Facilities,5,FALSE)="Eligible", F65*ApprenticeshipBonus, 0 )</f>
        <v>0</v>
      </c>
      <c r="G68" s="109">
        <f ca="1">IF(VLOOKUP($C59,Facilities,5,FALSE)="Eligible", G65*ApprenticeshipBonus, 0 )</f>
        <v>0</v>
      </c>
      <c r="H68" s="11">
        <f ca="1">IF(VLOOKUP($C59,Facilities,5,FALSE)="Eligible", H65*ApprenticeshipBonus, 0 )</f>
        <v>0</v>
      </c>
      <c r="L68" s="190" t="s">
        <v>232</v>
      </c>
      <c r="M68" s="29" t="s">
        <v>141</v>
      </c>
      <c r="N68" s="228" t="s">
        <v>10</v>
      </c>
    </row>
    <row r="69" spans="1:14" ht="15" customHeight="1" x14ac:dyDescent="0.25">
      <c r="B69" s="119" t="s">
        <v>6</v>
      </c>
      <c r="C69" s="52"/>
      <c r="D69" s="44">
        <f ca="1">IF(VLOOKUP($C59,Facilities,6,FALSE)="Eligible", D65, 0 )</f>
        <v>0</v>
      </c>
      <c r="E69" s="110">
        <f ca="1">IF(VLOOKUP($C59,Facilities,6,FALSE)="Eligible", E65, 0 )</f>
        <v>0</v>
      </c>
      <c r="F69" s="110">
        <f ca="1">IF(VLOOKUP($C59,Facilities,6,FALSE)="Eligible", F65, 0 )</f>
        <v>0</v>
      </c>
      <c r="G69" s="110">
        <f ca="1">IF(VLOOKUP($C59,Facilities,6,FALSE)="Eligible", G65, 0 )</f>
        <v>0</v>
      </c>
      <c r="H69" s="45">
        <f ca="1">IF(VLOOKUP($C59,Facilities,6,FALSE)="Eligible", H65, 0 )</f>
        <v>0</v>
      </c>
      <c r="L69" s="190" t="s">
        <v>232</v>
      </c>
      <c r="M69" s="29" t="s">
        <v>141</v>
      </c>
      <c r="N69" s="228" t="s">
        <v>6</v>
      </c>
    </row>
    <row r="70" spans="1:14" ht="15" customHeight="1" x14ac:dyDescent="0.25">
      <c r="B70" s="54" t="s">
        <v>121</v>
      </c>
      <c r="C70" s="52"/>
      <c r="D70" s="37">
        <f ca="1">SUM(D68:D69)</f>
        <v>0</v>
      </c>
      <c r="E70" s="37">
        <f ca="1">SUM(E68:E69)</f>
        <v>0</v>
      </c>
      <c r="F70" s="37">
        <f ca="1">SUM(F68:F69)</f>
        <v>0</v>
      </c>
      <c r="G70" s="37">
        <f ca="1">SUM(G68:G69)</f>
        <v>0</v>
      </c>
      <c r="H70" s="37">
        <f ca="1">SUM(H68:H69)</f>
        <v>0</v>
      </c>
      <c r="L70" s="190" t="s">
        <v>232</v>
      </c>
      <c r="M70" s="29" t="s">
        <v>141</v>
      </c>
      <c r="N70" s="228" t="s">
        <v>121</v>
      </c>
    </row>
    <row r="71" spans="1:14" ht="15" customHeight="1" x14ac:dyDescent="0.25">
      <c r="B71" s="22"/>
      <c r="C71" s="52"/>
      <c r="D71" s="169"/>
      <c r="E71" s="169"/>
      <c r="F71" s="169"/>
      <c r="G71" s="169"/>
      <c r="H71" s="30"/>
      <c r="L71" s="190" t="s">
        <v>232</v>
      </c>
      <c r="M71" s="29" t="s">
        <v>141</v>
      </c>
    </row>
    <row r="72" spans="1:14" ht="18.75" customHeight="1" x14ac:dyDescent="0.3">
      <c r="A72" s="38" t="s">
        <v>30</v>
      </c>
      <c r="B72" s="122"/>
      <c r="C72" s="52"/>
      <c r="D72" s="2">
        <f>D61</f>
        <v>2017</v>
      </c>
      <c r="E72" s="2">
        <f>D72+1</f>
        <v>2018</v>
      </c>
      <c r="F72" s="2">
        <f>E72+1</f>
        <v>2019</v>
      </c>
      <c r="G72" s="2">
        <f>F72+1</f>
        <v>2020</v>
      </c>
      <c r="H72" s="2">
        <f>G72+1</f>
        <v>2021</v>
      </c>
      <c r="L72" s="190" t="s">
        <v>232</v>
      </c>
      <c r="M72" s="29" t="s">
        <v>141</v>
      </c>
    </row>
    <row r="73" spans="1:14" ht="15" customHeight="1" x14ac:dyDescent="0.25">
      <c r="B73" s="119" t="s">
        <v>47</v>
      </c>
      <c r="C73" s="52"/>
      <c r="D73" s="3">
        <v>0</v>
      </c>
      <c r="E73" s="3">
        <v>0</v>
      </c>
      <c r="F73" s="3">
        <v>0</v>
      </c>
      <c r="G73" s="3">
        <v>0</v>
      </c>
      <c r="H73" s="4">
        <v>0</v>
      </c>
      <c r="L73" s="190" t="s">
        <v>232</v>
      </c>
      <c r="M73" s="29" t="s">
        <v>141</v>
      </c>
      <c r="N73" s="228" t="s">
        <v>47</v>
      </c>
    </row>
    <row r="74" spans="1:14" ht="15" customHeight="1" x14ac:dyDescent="0.25">
      <c r="B74" s="68" t="s">
        <v>23</v>
      </c>
      <c r="C74" s="52"/>
      <c r="D74" s="137">
        <v>0</v>
      </c>
      <c r="E74" s="137">
        <v>0</v>
      </c>
      <c r="F74" s="137">
        <v>0</v>
      </c>
      <c r="G74" s="137">
        <v>0</v>
      </c>
      <c r="H74" s="138">
        <v>0</v>
      </c>
      <c r="L74" s="190" t="s">
        <v>232</v>
      </c>
      <c r="M74" s="29" t="s">
        <v>141</v>
      </c>
      <c r="N74" s="228" t="s">
        <v>23</v>
      </c>
    </row>
    <row r="75" spans="1:14" ht="15" customHeight="1" x14ac:dyDescent="0.25">
      <c r="B75" s="68" t="s">
        <v>89</v>
      </c>
      <c r="C75" s="52"/>
      <c r="D75" s="191">
        <v>0</v>
      </c>
      <c r="E75" s="139">
        <v>0</v>
      </c>
      <c r="F75" s="139">
        <v>0</v>
      </c>
      <c r="G75" s="139">
        <v>0</v>
      </c>
      <c r="H75" s="140">
        <v>0</v>
      </c>
      <c r="L75" s="190" t="s">
        <v>232</v>
      </c>
      <c r="M75" s="29" t="s">
        <v>141</v>
      </c>
      <c r="N75" s="228" t="s">
        <v>89</v>
      </c>
    </row>
    <row r="76" spans="1:14" ht="15" customHeight="1" x14ac:dyDescent="0.25">
      <c r="B76" s="120" t="s">
        <v>90</v>
      </c>
      <c r="C76" s="52"/>
      <c r="D76" s="6">
        <f>SUM(D73:D75)</f>
        <v>0</v>
      </c>
      <c r="E76" s="6">
        <f>SUM(E73:E75)</f>
        <v>0</v>
      </c>
      <c r="F76" s="6">
        <f>SUM(F73:F75)</f>
        <v>0</v>
      </c>
      <c r="G76" s="6">
        <f>SUM(G73:G75)</f>
        <v>0</v>
      </c>
      <c r="H76" s="6">
        <f>SUM(H73:H75)</f>
        <v>0</v>
      </c>
      <c r="L76" s="190" t="s">
        <v>232</v>
      </c>
      <c r="M76" s="29" t="s">
        <v>141</v>
      </c>
      <c r="N76" s="228" t="s">
        <v>90</v>
      </c>
    </row>
    <row r="77" spans="1:14" ht="15" customHeight="1" x14ac:dyDescent="0.25">
      <c r="B77" s="121"/>
      <c r="C77" s="52"/>
      <c r="D77" s="167"/>
      <c r="E77" s="167"/>
      <c r="F77" s="167"/>
      <c r="G77" s="167"/>
      <c r="H77" s="6"/>
      <c r="L77" s="190" t="s">
        <v>232</v>
      </c>
      <c r="M77" s="29" t="s">
        <v>141</v>
      </c>
    </row>
    <row r="78" spans="1:14" ht="18.75" customHeight="1" x14ac:dyDescent="0.3">
      <c r="A78" s="8" t="s">
        <v>100</v>
      </c>
      <c r="B78" s="122"/>
      <c r="C78" s="52"/>
      <c r="D78" s="2">
        <f>D61</f>
        <v>2017</v>
      </c>
      <c r="E78" s="2">
        <f>D78+1</f>
        <v>2018</v>
      </c>
      <c r="F78" s="2">
        <f>E78+1</f>
        <v>2019</v>
      </c>
      <c r="G78" s="2">
        <f>F78+1</f>
        <v>2020</v>
      </c>
      <c r="H78" s="2">
        <f>G78+1</f>
        <v>2021</v>
      </c>
      <c r="L78" s="190" t="s">
        <v>232</v>
      </c>
      <c r="M78" s="29" t="s">
        <v>141</v>
      </c>
    </row>
    <row r="79" spans="1:14" ht="15" customHeight="1" x14ac:dyDescent="0.25">
      <c r="B79" s="57" t="str">
        <f>(StartYear-1) &amp; " Surplus Applied to " &amp; StartYear</f>
        <v>2016 Surplus Applied to 2017</v>
      </c>
      <c r="C79" s="52"/>
      <c r="D79" s="186">
        <v>0</v>
      </c>
      <c r="E79" s="187"/>
      <c r="F79" s="187"/>
      <c r="G79" s="187"/>
      <c r="H79" s="188"/>
      <c r="L79" s="190" t="s">
        <v>232</v>
      </c>
      <c r="M79" s="29" t="s">
        <v>141</v>
      </c>
      <c r="N79" s="228" t="s">
        <v>235</v>
      </c>
    </row>
    <row r="80" spans="1:14" ht="15" customHeight="1" x14ac:dyDescent="0.25">
      <c r="B80" s="57" t="str">
        <f>StartYear &amp; " Surplus Applied to " &amp; (StartYear-1)</f>
        <v>2017 Surplus Applied to 2016</v>
      </c>
      <c r="C80" s="52"/>
      <c r="D80" s="189">
        <v>0</v>
      </c>
      <c r="E80" s="113"/>
      <c r="F80" s="113"/>
      <c r="G80" s="113"/>
      <c r="H80" s="117"/>
      <c r="L80" s="190" t="s">
        <v>232</v>
      </c>
      <c r="M80" s="29" t="s">
        <v>141</v>
      </c>
      <c r="N80" s="228" t="s">
        <v>236</v>
      </c>
    </row>
    <row r="81" spans="1:14" ht="15" customHeight="1" x14ac:dyDescent="0.25">
      <c r="B81" s="57" t="str">
        <f>( StartYear) &amp; " Surplus Applied to " &amp; ( StartYear + 1 )</f>
        <v>2017 Surplus Applied to 2018</v>
      </c>
      <c r="C81" s="52"/>
      <c r="D81" s="184">
        <v>0</v>
      </c>
      <c r="E81" s="185">
        <f>D81</f>
        <v>0</v>
      </c>
      <c r="F81" s="181"/>
      <c r="G81" s="181"/>
      <c r="H81" s="182"/>
      <c r="L81" s="190" t="s">
        <v>232</v>
      </c>
      <c r="M81" s="29" t="s">
        <v>141</v>
      </c>
      <c r="N81" s="228" t="s">
        <v>237</v>
      </c>
    </row>
    <row r="82" spans="1:14" ht="15" customHeight="1" x14ac:dyDescent="0.25">
      <c r="B82" s="57" t="str">
        <f xml:space="preserve"> ( StartYear + 1 ) &amp; " Surplus Applied to " &amp; ( StartYear )</f>
        <v>2018 Surplus Applied to 2017</v>
      </c>
      <c r="C82" s="52"/>
      <c r="D82" s="134">
        <v>0</v>
      </c>
      <c r="E82" s="9">
        <v>0</v>
      </c>
      <c r="F82" s="113"/>
      <c r="G82" s="113"/>
      <c r="H82" s="117"/>
      <c r="L82" s="190" t="s">
        <v>232</v>
      </c>
      <c r="M82" s="29" t="s">
        <v>141</v>
      </c>
      <c r="N82" s="228" t="s">
        <v>238</v>
      </c>
    </row>
    <row r="83" spans="1:14" ht="15" customHeight="1" x14ac:dyDescent="0.25">
      <c r="B83" s="119" t="str">
        <f xml:space="preserve"> ( StartYear + 1 ) &amp; " Surplus Applied to " &amp; ( StartYear + 2 )</f>
        <v>2018 Surplus Applied to 2019</v>
      </c>
      <c r="C83" s="52"/>
      <c r="D83" s="114">
        <v>0</v>
      </c>
      <c r="E83" s="9">
        <v>0</v>
      </c>
      <c r="F83" s="51">
        <f>E83</f>
        <v>0</v>
      </c>
      <c r="G83" s="113"/>
      <c r="H83" s="117"/>
      <c r="L83" s="190" t="s">
        <v>232</v>
      </c>
      <c r="M83" s="29" t="s">
        <v>141</v>
      </c>
      <c r="N83" s="228" t="s">
        <v>239</v>
      </c>
    </row>
    <row r="84" spans="1:14" ht="15" customHeight="1" x14ac:dyDescent="0.25">
      <c r="B84" s="119" t="str">
        <f xml:space="preserve"> ( StartYear + 2 ) &amp; " Surplus Applied to " &amp; ( StartYear + 1 )</f>
        <v>2019 Surplus Applied to 2018</v>
      </c>
      <c r="C84" s="52"/>
      <c r="D84" s="114"/>
      <c r="E84" s="51">
        <v>0</v>
      </c>
      <c r="F84" s="9">
        <v>0</v>
      </c>
      <c r="G84" s="113"/>
      <c r="H84" s="117"/>
      <c r="L84" s="190" t="s">
        <v>232</v>
      </c>
      <c r="M84" s="29" t="s">
        <v>141</v>
      </c>
      <c r="N84" s="228" t="s">
        <v>240</v>
      </c>
    </row>
    <row r="85" spans="1:14" ht="15" customHeight="1" x14ac:dyDescent="0.25">
      <c r="B85" s="165" t="str">
        <f xml:space="preserve"> ( StartYear + 2 ) &amp; " Surplus Applied to " &amp; ( StartYear + 3 )</f>
        <v>2019 Surplus Applied to 2020</v>
      </c>
      <c r="C85" s="52"/>
      <c r="D85" s="114"/>
      <c r="E85" s="113"/>
      <c r="F85" s="9">
        <v>0</v>
      </c>
      <c r="G85" s="51">
        <f>F85</f>
        <v>0</v>
      </c>
      <c r="H85" s="117"/>
      <c r="L85" s="190" t="s">
        <v>232</v>
      </c>
      <c r="M85" s="29" t="s">
        <v>141</v>
      </c>
      <c r="N85" s="228" t="s">
        <v>241</v>
      </c>
    </row>
    <row r="86" spans="1:14" ht="15" customHeight="1" x14ac:dyDescent="0.25">
      <c r="B86" s="165" t="str">
        <f xml:space="preserve"> ( StartYear + 3 ) &amp; " Surplus Applied to " &amp; ( StartYear + 2 )</f>
        <v>2020 Surplus Applied to 2019</v>
      </c>
      <c r="C86" s="52"/>
      <c r="D86" s="114"/>
      <c r="E86" s="113"/>
      <c r="F86" s="51">
        <v>0</v>
      </c>
      <c r="G86" s="9"/>
      <c r="H86" s="117"/>
      <c r="L86" s="190" t="s">
        <v>232</v>
      </c>
      <c r="M86" s="29" t="s">
        <v>141</v>
      </c>
      <c r="N86" s="228" t="s">
        <v>242</v>
      </c>
    </row>
    <row r="87" spans="1:14" ht="15" customHeight="1" x14ac:dyDescent="0.25">
      <c r="B87" s="165" t="str">
        <f xml:space="preserve"> ( StartYear + 3 ) &amp; " Surplus Applied to " &amp; ( StartYear + 4 )</f>
        <v>2020 Surplus Applied to 2021</v>
      </c>
      <c r="C87" s="52"/>
      <c r="D87" s="114"/>
      <c r="E87" s="113"/>
      <c r="F87" s="113"/>
      <c r="G87" s="9">
        <v>0</v>
      </c>
      <c r="H87" s="46">
        <f>+G87</f>
        <v>0</v>
      </c>
      <c r="L87" s="190" t="s">
        <v>232</v>
      </c>
      <c r="M87" s="29" t="s">
        <v>141</v>
      </c>
      <c r="N87" s="228" t="s">
        <v>243</v>
      </c>
    </row>
    <row r="88" spans="1:14" ht="15" customHeight="1" x14ac:dyDescent="0.25">
      <c r="B88" s="165" t="str">
        <f xml:space="preserve"> ( StartYear + 4 ) &amp; " Surplus Applied to " &amp; ( StartYear + 3 )</f>
        <v>2021 Surplus Applied to 2020</v>
      </c>
      <c r="C88" s="52"/>
      <c r="D88" s="115"/>
      <c r="E88" s="116"/>
      <c r="F88" s="116"/>
      <c r="G88" s="47">
        <v>0</v>
      </c>
      <c r="H88" s="41">
        <v>0</v>
      </c>
      <c r="L88" s="190" t="s">
        <v>232</v>
      </c>
      <c r="M88" s="29" t="s">
        <v>141</v>
      </c>
      <c r="N88" s="228" t="s">
        <v>244</v>
      </c>
    </row>
    <row r="89" spans="1:14" ht="15" customHeight="1" x14ac:dyDescent="0.25">
      <c r="B89" s="120" t="s">
        <v>17</v>
      </c>
      <c r="C89" s="52"/>
      <c r="D89" s="6">
        <f>D79-D80+D82-D81</f>
        <v>0</v>
      </c>
      <c r="E89" s="6">
        <f>E81+E84-E82-E83</f>
        <v>0</v>
      </c>
      <c r="F89" s="6">
        <f>F83+F86-F84-F85</f>
        <v>0</v>
      </c>
      <c r="G89" s="6">
        <f>G85+G88-G86-G87</f>
        <v>0</v>
      </c>
      <c r="H89" s="6">
        <f>H87 - H88</f>
        <v>0</v>
      </c>
      <c r="L89" s="190" t="s">
        <v>232</v>
      </c>
      <c r="M89" s="29" t="s">
        <v>141</v>
      </c>
      <c r="N89" s="228" t="s">
        <v>17</v>
      </c>
    </row>
    <row r="90" spans="1:14" ht="15" customHeight="1" x14ac:dyDescent="0.25">
      <c r="B90" s="121"/>
      <c r="C90" s="52"/>
      <c r="D90" s="6"/>
      <c r="E90" s="6"/>
      <c r="F90" s="6"/>
      <c r="G90" s="6"/>
      <c r="H90" s="6"/>
      <c r="L90" s="190" t="s">
        <v>232</v>
      </c>
      <c r="M90" s="29" t="s">
        <v>141</v>
      </c>
    </row>
    <row r="91" spans="1:14" ht="15" customHeight="1" x14ac:dyDescent="0.25">
      <c r="B91" s="54" t="s">
        <v>12</v>
      </c>
      <c r="C91" s="52"/>
      <c r="D91" s="75">
        <v>0</v>
      </c>
      <c r="E91" s="111">
        <v>0</v>
      </c>
      <c r="F91" s="111">
        <v>0</v>
      </c>
      <c r="G91" s="111">
        <v>0</v>
      </c>
      <c r="H91" s="76">
        <v>0</v>
      </c>
      <c r="L91" s="190" t="s">
        <v>232</v>
      </c>
      <c r="M91" s="29" t="s">
        <v>141</v>
      </c>
      <c r="N91" s="228" t="s">
        <v>12</v>
      </c>
    </row>
    <row r="92" spans="1:14" ht="15" customHeight="1" x14ac:dyDescent="0.25">
      <c r="B92" s="121"/>
      <c r="D92" s="6"/>
      <c r="E92" s="6"/>
      <c r="F92" s="6"/>
      <c r="G92" s="6"/>
      <c r="H92" s="6"/>
      <c r="L92" s="190" t="s">
        <v>232</v>
      </c>
      <c r="M92" s="29" t="s">
        <v>141</v>
      </c>
    </row>
    <row r="93" spans="1:14" ht="18.75" customHeight="1" x14ac:dyDescent="0.3">
      <c r="A93" s="38" t="s">
        <v>26</v>
      </c>
      <c r="B93" s="122"/>
      <c r="C93" s="52">
        <f>A59</f>
        <v>1</v>
      </c>
      <c r="D93" s="112">
        <f ca="1" xml:space="preserve"> D65 + D70 - D76 + D89 + D91</f>
        <v>88578.999999999985</v>
      </c>
      <c r="E93" s="112">
        <f ca="1" xml:space="preserve"> E65 + E70 - E76 + E89 + E91</f>
        <v>108971</v>
      </c>
      <c r="F93" s="112">
        <f ca="1" xml:space="preserve"> F65 + F70 - F76 + F89 + F91</f>
        <v>74606</v>
      </c>
      <c r="G93" s="112">
        <f ca="1" xml:space="preserve"> G65 + G70 - G76 + G89 + G91</f>
        <v>108503</v>
      </c>
      <c r="H93" s="174">
        <f ca="1" xml:space="preserve"> H65 + H70 - H76 + H89 + H91</f>
        <v>98639</v>
      </c>
      <c r="L93" s="190" t="s">
        <v>232</v>
      </c>
      <c r="M93" s="29" t="s">
        <v>141</v>
      </c>
      <c r="N93" s="228" t="s">
        <v>26</v>
      </c>
    </row>
    <row r="94" spans="1:14" ht="15" customHeight="1" x14ac:dyDescent="0.25">
      <c r="B94" s="121"/>
      <c r="C94" s="129" t="s">
        <v>158</v>
      </c>
      <c r="D94" s="6">
        <v>88579</v>
      </c>
      <c r="E94" s="6">
        <v>108971</v>
      </c>
      <c r="F94" s="6">
        <v>74606</v>
      </c>
      <c r="G94" s="6"/>
      <c r="H94" s="6"/>
      <c r="L94" s="190" t="s">
        <v>232</v>
      </c>
      <c r="M94" s="29" t="s">
        <v>141</v>
      </c>
      <c r="N94" s="235" t="s">
        <v>158</v>
      </c>
    </row>
    <row r="95" spans="1:14" ht="15" customHeight="1" x14ac:dyDescent="0.25">
      <c r="A95" s="1" t="s">
        <v>290</v>
      </c>
      <c r="B95" s="122"/>
      <c r="D95" s="1"/>
      <c r="L95" s="190" t="s">
        <v>232</v>
      </c>
      <c r="M95" s="29" t="s">
        <v>141</v>
      </c>
    </row>
    <row r="96" spans="1:14" s="29" customFormat="1" ht="15" customHeight="1" x14ac:dyDescent="0.25">
      <c r="B96" s="22"/>
      <c r="I96" s="22"/>
      <c r="J96" s="22"/>
      <c r="L96" s="190" t="s">
        <v>232</v>
      </c>
      <c r="M96" s="29" t="s">
        <v>141</v>
      </c>
      <c r="N96" s="228"/>
    </row>
    <row r="97" spans="1:14" ht="21" customHeight="1" x14ac:dyDescent="0.35">
      <c r="A97" s="12">
        <f>MAX(A$1:A96)+1</f>
        <v>2</v>
      </c>
      <c r="B97" s="123"/>
      <c r="C97" s="214" t="str">
        <f ca="1">OFFSET($B$4,A97-1,0)</f>
        <v>Hopkins Ridge</v>
      </c>
      <c r="D97" s="215"/>
      <c r="E97" s="216"/>
      <c r="F97" s="216"/>
      <c r="G97" s="217"/>
      <c r="H97" s="218"/>
      <c r="L97" s="190" t="s">
        <v>232</v>
      </c>
      <c r="M97" s="29" t="s">
        <v>128</v>
      </c>
      <c r="N97" s="228">
        <v>2</v>
      </c>
    </row>
    <row r="98" spans="1:14" ht="15" customHeight="1" x14ac:dyDescent="0.25">
      <c r="B98" s="122"/>
      <c r="C98" s="1" t="str">
        <f ca="1">VLOOKUP(C97,Facilities,3,FALSE)</f>
        <v>PSE owned</v>
      </c>
      <c r="D98" s="1"/>
      <c r="L98" s="190" t="s">
        <v>232</v>
      </c>
      <c r="M98" s="29" t="s">
        <v>128</v>
      </c>
      <c r="N98" s="228" t="s">
        <v>179</v>
      </c>
    </row>
    <row r="99" spans="1:14" ht="18.75" customHeight="1" x14ac:dyDescent="0.3">
      <c r="A99" s="8" t="s">
        <v>21</v>
      </c>
      <c r="B99" s="124"/>
      <c r="D99" s="2">
        <f>D366</f>
        <v>2017</v>
      </c>
      <c r="E99" s="2">
        <f>D99+1</f>
        <v>2018</v>
      </c>
      <c r="F99" s="118">
        <f>E99+1</f>
        <v>2019</v>
      </c>
      <c r="G99" s="118">
        <f>F99+1</f>
        <v>2020</v>
      </c>
      <c r="H99" s="118">
        <f>G99+1</f>
        <v>2021</v>
      </c>
      <c r="L99" s="190" t="s">
        <v>232</v>
      </c>
      <c r="M99" s="29" t="s">
        <v>128</v>
      </c>
      <c r="N99" s="228" t="s">
        <v>21</v>
      </c>
    </row>
    <row r="100" spans="1:14" ht="15" customHeight="1" x14ac:dyDescent="0.25">
      <c r="B100" s="119" t="str">
        <f ca="1">IF(C136&lt;&gt;"REC only","Total MWh ","")&amp;IF(C98="PSE owned","Produced","Purchased")&amp;" from "&amp;C97</f>
        <v>Total MWh Produced from Hopkins Ridge</v>
      </c>
      <c r="C100" s="52"/>
      <c r="D100" s="3">
        <v>329544</v>
      </c>
      <c r="E100" s="3">
        <v>392020</v>
      </c>
      <c r="F100" s="3">
        <v>324844</v>
      </c>
      <c r="G100" s="3">
        <v>456184</v>
      </c>
      <c r="H100" s="4">
        <f>416425*95.18%</f>
        <v>396353.31500000006</v>
      </c>
      <c r="J100" s="232"/>
      <c r="K100" s="30"/>
      <c r="L100" s="190" t="s">
        <v>232</v>
      </c>
      <c r="M100" s="29" t="s">
        <v>128</v>
      </c>
      <c r="N100" s="228" t="s">
        <v>245</v>
      </c>
    </row>
    <row r="101" spans="1:14" ht="15" customHeight="1" x14ac:dyDescent="0.25">
      <c r="B101" s="119" t="s">
        <v>25</v>
      </c>
      <c r="C101" s="52"/>
      <c r="D101" s="132">
        <v>1</v>
      </c>
      <c r="E101" s="132">
        <v>1</v>
      </c>
      <c r="F101" s="132">
        <v>1</v>
      </c>
      <c r="G101" s="132">
        <v>1</v>
      </c>
      <c r="H101" s="133">
        <v>1</v>
      </c>
      <c r="J101" s="232"/>
      <c r="K101" s="30"/>
      <c r="L101" s="190" t="s">
        <v>232</v>
      </c>
      <c r="M101" s="29" t="s">
        <v>128</v>
      </c>
      <c r="N101" s="228" t="s">
        <v>25</v>
      </c>
    </row>
    <row r="102" spans="1:14" ht="15" customHeight="1" x14ac:dyDescent="0.25">
      <c r="B102" s="119" t="s">
        <v>20</v>
      </c>
      <c r="C102" s="52"/>
      <c r="D102" s="42">
        <v>1</v>
      </c>
      <c r="E102" s="42">
        <v>1</v>
      </c>
      <c r="F102" s="42">
        <v>1</v>
      </c>
      <c r="G102" s="42">
        <v>1</v>
      </c>
      <c r="H102" s="43">
        <v>1</v>
      </c>
      <c r="J102" s="232"/>
      <c r="K102" s="30"/>
      <c r="L102" s="190" t="s">
        <v>232</v>
      </c>
      <c r="M102" s="29" t="s">
        <v>128</v>
      </c>
      <c r="N102" s="228" t="s">
        <v>20</v>
      </c>
    </row>
    <row r="103" spans="1:14" ht="15" customHeight="1" x14ac:dyDescent="0.25">
      <c r="B103" s="54" t="s">
        <v>22</v>
      </c>
      <c r="C103" s="55"/>
      <c r="D103" s="131">
        <f>D100*D101*D102</f>
        <v>329544</v>
      </c>
      <c r="E103" s="131">
        <f>E100*E101*E102</f>
        <v>392020</v>
      </c>
      <c r="F103" s="131">
        <f>F100*F101*F102</f>
        <v>324844</v>
      </c>
      <c r="G103" s="131">
        <f>G100*G101*G102</f>
        <v>456184</v>
      </c>
      <c r="H103" s="131">
        <f>H100*H101*H102</f>
        <v>396353.31500000006</v>
      </c>
      <c r="K103" s="30"/>
      <c r="L103" s="190" t="s">
        <v>232</v>
      </c>
      <c r="M103" s="29" t="s">
        <v>128</v>
      </c>
      <c r="N103" s="228" t="s">
        <v>22</v>
      </c>
    </row>
    <row r="104" spans="1:14" ht="15" customHeight="1" x14ac:dyDescent="0.25">
      <c r="B104" s="22"/>
      <c r="C104" s="29"/>
      <c r="D104" s="168"/>
      <c r="E104" s="168"/>
      <c r="F104" s="168"/>
      <c r="G104" s="167"/>
      <c r="H104" s="36"/>
      <c r="K104" s="233"/>
      <c r="L104" s="190" t="s">
        <v>232</v>
      </c>
      <c r="M104" s="29" t="s">
        <v>128</v>
      </c>
    </row>
    <row r="105" spans="1:14" ht="18.75" customHeight="1" x14ac:dyDescent="0.3">
      <c r="A105" s="39" t="s">
        <v>119</v>
      </c>
      <c r="B105" s="122"/>
      <c r="C105" s="29"/>
      <c r="D105" s="2">
        <f>D99</f>
        <v>2017</v>
      </c>
      <c r="E105" s="2">
        <f>D105+1</f>
        <v>2018</v>
      </c>
      <c r="F105" s="2">
        <f>E105+1</f>
        <v>2019</v>
      </c>
      <c r="G105" s="2">
        <f>F105+1</f>
        <v>2020</v>
      </c>
      <c r="H105" s="2">
        <f>G105+1</f>
        <v>2021</v>
      </c>
      <c r="K105" s="30"/>
      <c r="L105" s="190" t="s">
        <v>232</v>
      </c>
      <c r="M105" s="29" t="s">
        <v>128</v>
      </c>
      <c r="N105" s="228" t="s">
        <v>119</v>
      </c>
    </row>
    <row r="106" spans="1:14" x14ac:dyDescent="0.25">
      <c r="B106" s="119" t="s">
        <v>10</v>
      </c>
      <c r="C106" s="52"/>
      <c r="D106" s="10">
        <f ca="1">IF(VLOOKUP($C97,Facilities,5,FALSE)="Eligible", D103*ApprenticeshipBonus, 0 )</f>
        <v>0</v>
      </c>
      <c r="E106" s="109">
        <f ca="1">IF(VLOOKUP($C97,Facilities,5,FALSE)="Eligible", E103*ApprenticeshipBonus, 0 )</f>
        <v>0</v>
      </c>
      <c r="F106" s="109">
        <f ca="1">IF(VLOOKUP($C97,Facilities,5,FALSE)="Eligible", F103*ApprenticeshipBonus, 0 )</f>
        <v>0</v>
      </c>
      <c r="G106" s="109">
        <f ca="1">IF(VLOOKUP($C97,Facilities,5,FALSE)="Eligible", G103*ApprenticeshipBonus, 0 )</f>
        <v>0</v>
      </c>
      <c r="H106" s="11">
        <f ca="1">IF(VLOOKUP($C97,Facilities,5,FALSE)="Eligible", H103*ApprenticeshipBonus, 0 )</f>
        <v>0</v>
      </c>
      <c r="L106" s="190" t="s">
        <v>232</v>
      </c>
      <c r="M106" s="29" t="s">
        <v>128</v>
      </c>
      <c r="N106" s="228" t="s">
        <v>10</v>
      </c>
    </row>
    <row r="107" spans="1:14" ht="15" customHeight="1" x14ac:dyDescent="0.25">
      <c r="B107" s="119" t="s">
        <v>6</v>
      </c>
      <c r="C107" s="52"/>
      <c r="D107" s="44">
        <f ca="1">IF(VLOOKUP($C97,Facilities,6,FALSE)="Eligible", D103, 0 )</f>
        <v>0</v>
      </c>
      <c r="E107" s="110">
        <f ca="1">IF(VLOOKUP($C97,Facilities,6,FALSE)="Eligible", E103, 0 )</f>
        <v>0</v>
      </c>
      <c r="F107" s="110">
        <f ca="1">IF(VLOOKUP($C97,Facilities,6,FALSE)="Eligible", F103, 0 )</f>
        <v>0</v>
      </c>
      <c r="G107" s="110">
        <f ca="1">IF(VLOOKUP($C97,Facilities,6,FALSE)="Eligible", G103, 0 )</f>
        <v>0</v>
      </c>
      <c r="H107" s="45">
        <f ca="1">IF(VLOOKUP($C97,Facilities,6,FALSE)="Eligible", H103, 0 )</f>
        <v>0</v>
      </c>
      <c r="L107" s="190" t="s">
        <v>232</v>
      </c>
      <c r="M107" s="29" t="s">
        <v>128</v>
      </c>
      <c r="N107" s="228" t="s">
        <v>6</v>
      </c>
    </row>
    <row r="108" spans="1:14" ht="15" customHeight="1" x14ac:dyDescent="0.25">
      <c r="B108" s="54" t="s">
        <v>121</v>
      </c>
      <c r="C108" s="55"/>
      <c r="D108" s="37">
        <f ca="1">SUM(D106:D107)</f>
        <v>0</v>
      </c>
      <c r="E108" s="37">
        <f ca="1">SUM(E106:E107)</f>
        <v>0</v>
      </c>
      <c r="F108" s="37">
        <f ca="1">SUM(F106:F107)</f>
        <v>0</v>
      </c>
      <c r="G108" s="37">
        <f ca="1">SUM(G106:G107)</f>
        <v>0</v>
      </c>
      <c r="H108" s="37">
        <f ca="1">SUM(H106:H107)</f>
        <v>0</v>
      </c>
      <c r="L108" s="190" t="s">
        <v>232</v>
      </c>
      <c r="M108" s="29" t="s">
        <v>128</v>
      </c>
      <c r="N108" s="228" t="s">
        <v>121</v>
      </c>
    </row>
    <row r="109" spans="1:14" ht="15" customHeight="1" x14ac:dyDescent="0.25">
      <c r="B109" s="22"/>
      <c r="C109" s="29"/>
      <c r="D109" s="169"/>
      <c r="E109" s="169"/>
      <c r="F109" s="169"/>
      <c r="G109" s="169"/>
      <c r="H109" s="30"/>
      <c r="L109" s="190" t="s">
        <v>232</v>
      </c>
      <c r="M109" s="29" t="s">
        <v>128</v>
      </c>
    </row>
    <row r="110" spans="1:14" ht="18.75" customHeight="1" x14ac:dyDescent="0.3">
      <c r="A110" s="38" t="s">
        <v>30</v>
      </c>
      <c r="B110" s="122"/>
      <c r="C110" s="29"/>
      <c r="D110" s="2">
        <f>D99</f>
        <v>2017</v>
      </c>
      <c r="E110" s="2">
        <f>D110+1</f>
        <v>2018</v>
      </c>
      <c r="F110" s="2">
        <f>E110+1</f>
        <v>2019</v>
      </c>
      <c r="G110" s="2">
        <f>F110+1</f>
        <v>2020</v>
      </c>
      <c r="H110" s="2">
        <f>G110+1</f>
        <v>2021</v>
      </c>
      <c r="L110" s="190" t="s">
        <v>232</v>
      </c>
      <c r="M110" s="29" t="s">
        <v>128</v>
      </c>
      <c r="N110" s="228" t="s">
        <v>30</v>
      </c>
    </row>
    <row r="111" spans="1:14" ht="15" customHeight="1" x14ac:dyDescent="0.25">
      <c r="B111" s="119" t="s">
        <v>47</v>
      </c>
      <c r="C111" s="52"/>
      <c r="D111" s="3">
        <f>74400+0</f>
        <v>74400</v>
      </c>
      <c r="E111" s="3">
        <f>176270+0</f>
        <v>176270</v>
      </c>
      <c r="F111" s="3">
        <f>25000+0</f>
        <v>25000</v>
      </c>
      <c r="G111" s="3">
        <v>0</v>
      </c>
      <c r="H111" s="4">
        <v>0</v>
      </c>
      <c r="L111" s="190" t="s">
        <v>232</v>
      </c>
      <c r="M111" s="29" t="s">
        <v>128</v>
      </c>
      <c r="N111" s="228" t="s">
        <v>47</v>
      </c>
    </row>
    <row r="112" spans="1:14" ht="15" customHeight="1" x14ac:dyDescent="0.25">
      <c r="B112" s="68" t="s">
        <v>23</v>
      </c>
      <c r="C112" s="59"/>
      <c r="D112" s="137">
        <v>0</v>
      </c>
      <c r="E112" s="137">
        <v>0</v>
      </c>
      <c r="F112" s="137">
        <v>0</v>
      </c>
      <c r="G112" s="137">
        <v>0</v>
      </c>
      <c r="H112" s="138">
        <v>0</v>
      </c>
      <c r="L112" s="190" t="s">
        <v>232</v>
      </c>
      <c r="M112" s="29" t="s">
        <v>128</v>
      </c>
      <c r="N112" s="228" t="s">
        <v>23</v>
      </c>
    </row>
    <row r="113" spans="1:14" ht="15" customHeight="1" x14ac:dyDescent="0.25">
      <c r="B113" s="68" t="s">
        <v>89</v>
      </c>
      <c r="C113" s="67"/>
      <c r="D113" s="191">
        <v>0</v>
      </c>
      <c r="E113" s="139">
        <v>0</v>
      </c>
      <c r="F113" s="139">
        <v>0</v>
      </c>
      <c r="G113" s="139">
        <v>0</v>
      </c>
      <c r="H113" s="140">
        <v>0</v>
      </c>
      <c r="L113" s="190" t="s">
        <v>232</v>
      </c>
      <c r="M113" s="29" t="s">
        <v>128</v>
      </c>
      <c r="N113" s="228" t="s">
        <v>89</v>
      </c>
    </row>
    <row r="114" spans="1:14" ht="15" customHeight="1" x14ac:dyDescent="0.25">
      <c r="B114" s="120" t="s">
        <v>90</v>
      </c>
      <c r="D114" s="6">
        <f>SUM(D111:D113)</f>
        <v>74400</v>
      </c>
      <c r="E114" s="6">
        <f>SUM(E111:E113)</f>
        <v>176270</v>
      </c>
      <c r="F114" s="6">
        <f>SUM(F111:F113)</f>
        <v>25000</v>
      </c>
      <c r="G114" s="6">
        <f>SUM(G111:G113)</f>
        <v>0</v>
      </c>
      <c r="H114" s="6">
        <f>SUM(H111:H113)</f>
        <v>0</v>
      </c>
      <c r="L114" s="190" t="s">
        <v>232</v>
      </c>
      <c r="M114" s="29" t="s">
        <v>128</v>
      </c>
      <c r="N114" s="228" t="s">
        <v>90</v>
      </c>
    </row>
    <row r="115" spans="1:14" ht="15" customHeight="1" x14ac:dyDescent="0.25">
      <c r="B115" s="121"/>
      <c r="D115" s="167"/>
      <c r="E115" s="167"/>
      <c r="F115" s="167"/>
      <c r="G115" s="167"/>
      <c r="H115" s="6"/>
      <c r="K115" s="234"/>
      <c r="L115" s="190" t="s">
        <v>232</v>
      </c>
      <c r="M115" s="29" t="s">
        <v>128</v>
      </c>
    </row>
    <row r="116" spans="1:14" ht="18.75" customHeight="1" x14ac:dyDescent="0.3">
      <c r="A116" s="8" t="s">
        <v>100</v>
      </c>
      <c r="B116" s="122"/>
      <c r="D116" s="2">
        <f>D99</f>
        <v>2017</v>
      </c>
      <c r="E116" s="2">
        <f>D116+1</f>
        <v>2018</v>
      </c>
      <c r="F116" s="2">
        <f>E116+1</f>
        <v>2019</v>
      </c>
      <c r="G116" s="2">
        <f>F116+1</f>
        <v>2020</v>
      </c>
      <c r="H116" s="2">
        <f>G116+1</f>
        <v>2021</v>
      </c>
      <c r="L116" s="190" t="s">
        <v>232</v>
      </c>
      <c r="M116" s="29" t="s">
        <v>128</v>
      </c>
      <c r="N116" s="228" t="s">
        <v>100</v>
      </c>
    </row>
    <row r="117" spans="1:14" ht="15" customHeight="1" x14ac:dyDescent="0.25">
      <c r="B117" s="57" t="str">
        <f>(StartYear-1) &amp; " Surplus Applied to " &amp; StartYear</f>
        <v>2016 Surplus Applied to 2017</v>
      </c>
      <c r="C117" s="29"/>
      <c r="D117" s="186">
        <v>207498</v>
      </c>
      <c r="E117" s="187"/>
      <c r="F117" s="187"/>
      <c r="G117" s="187"/>
      <c r="H117" s="188"/>
      <c r="L117" s="190" t="s">
        <v>232</v>
      </c>
      <c r="M117" s="29" t="s">
        <v>128</v>
      </c>
      <c r="N117" s="228" t="s">
        <v>235</v>
      </c>
    </row>
    <row r="118" spans="1:14" ht="15" customHeight="1" x14ac:dyDescent="0.25">
      <c r="B118" s="57" t="str">
        <f>StartYear &amp; " Surplus Applied to " &amp; (StartYear-1)</f>
        <v>2017 Surplus Applied to 2016</v>
      </c>
      <c r="C118" s="29"/>
      <c r="D118" s="189">
        <v>0</v>
      </c>
      <c r="E118" s="113"/>
      <c r="F118" s="113"/>
      <c r="G118" s="113"/>
      <c r="H118" s="117"/>
      <c r="L118" s="190" t="s">
        <v>232</v>
      </c>
      <c r="M118" s="29" t="s">
        <v>128</v>
      </c>
      <c r="N118" s="228" t="s">
        <v>236</v>
      </c>
    </row>
    <row r="119" spans="1:14" ht="15" customHeight="1" x14ac:dyDescent="0.25">
      <c r="B119" s="57" t="str">
        <f>( StartYear) &amp; " Surplus Applied to " &amp; ( StartYear + 1 )</f>
        <v>2017 Surplus Applied to 2018</v>
      </c>
      <c r="C119" s="29"/>
      <c r="D119" s="184">
        <f ca="1">D103+D108-D114</f>
        <v>255144</v>
      </c>
      <c r="E119" s="185">
        <f ca="1">D119</f>
        <v>255144</v>
      </c>
      <c r="F119" s="181"/>
      <c r="G119" s="181"/>
      <c r="H119" s="182"/>
      <c r="L119" s="190" t="s">
        <v>232</v>
      </c>
      <c r="M119" s="29" t="s">
        <v>128</v>
      </c>
      <c r="N119" s="228" t="s">
        <v>237</v>
      </c>
    </row>
    <row r="120" spans="1:14" ht="15" customHeight="1" x14ac:dyDescent="0.25">
      <c r="B120" s="57" t="str">
        <f xml:space="preserve"> ( StartYear + 1 ) &amp; " Surplus Applied to " &amp; ( StartYear )</f>
        <v>2018 Surplus Applied to 2017</v>
      </c>
      <c r="C120" s="29"/>
      <c r="D120" s="134">
        <f>E120</f>
        <v>0</v>
      </c>
      <c r="E120" s="9">
        <v>0</v>
      </c>
      <c r="F120" s="113"/>
      <c r="G120" s="113"/>
      <c r="H120" s="117"/>
      <c r="L120" s="190" t="s">
        <v>232</v>
      </c>
      <c r="M120" s="29" t="s">
        <v>128</v>
      </c>
      <c r="N120" s="228" t="s">
        <v>238</v>
      </c>
    </row>
    <row r="121" spans="1:14" ht="15" customHeight="1" x14ac:dyDescent="0.25">
      <c r="B121" s="119" t="str">
        <f xml:space="preserve"> ( StartYear + 1 ) &amp; " Surplus Applied to " &amp; ( StartYear + 2 )</f>
        <v>2018 Surplus Applied to 2019</v>
      </c>
      <c r="C121" s="29"/>
      <c r="D121" s="114"/>
      <c r="E121" s="9">
        <f ca="1">E103+E108-E114</f>
        <v>215750</v>
      </c>
      <c r="F121" s="51">
        <f ca="1">E121</f>
        <v>215750</v>
      </c>
      <c r="G121" s="113"/>
      <c r="H121" s="117"/>
      <c r="L121" s="190" t="s">
        <v>232</v>
      </c>
      <c r="M121" s="29" t="s">
        <v>128</v>
      </c>
      <c r="N121" s="228" t="s">
        <v>239</v>
      </c>
    </row>
    <row r="122" spans="1:14" ht="15" customHeight="1" x14ac:dyDescent="0.25">
      <c r="B122" s="119" t="str">
        <f xml:space="preserve"> ( StartYear + 2 ) &amp; " Surplus Applied to " &amp; ( StartYear + 1 )</f>
        <v>2019 Surplus Applied to 2018</v>
      </c>
      <c r="C122" s="29"/>
      <c r="D122" s="114"/>
      <c r="E122" s="51">
        <f>F122</f>
        <v>0</v>
      </c>
      <c r="F122" s="9">
        <v>0</v>
      </c>
      <c r="G122" s="113"/>
      <c r="H122" s="117"/>
      <c r="L122" s="190" t="s">
        <v>232</v>
      </c>
      <c r="M122" s="29" t="s">
        <v>128</v>
      </c>
      <c r="N122" s="228" t="s">
        <v>240</v>
      </c>
    </row>
    <row r="123" spans="1:14" ht="15" customHeight="1" x14ac:dyDescent="0.25">
      <c r="B123" s="165" t="str">
        <f xml:space="preserve"> ( StartYear + 2 ) &amp; " Surplus Applied to " &amp; ( StartYear + 3 )</f>
        <v>2019 Surplus Applied to 2020</v>
      </c>
      <c r="C123" s="29"/>
      <c r="D123" s="114"/>
      <c r="E123" s="113"/>
      <c r="F123" s="9">
        <f ca="1">F103+F108-F114</f>
        <v>299844</v>
      </c>
      <c r="G123" s="51">
        <f ca="1">F123</f>
        <v>299844</v>
      </c>
      <c r="H123" s="117"/>
      <c r="L123" s="190" t="s">
        <v>232</v>
      </c>
      <c r="M123" s="29" t="s">
        <v>128</v>
      </c>
      <c r="N123" s="228" t="s">
        <v>241</v>
      </c>
    </row>
    <row r="124" spans="1:14" ht="15" customHeight="1" x14ac:dyDescent="0.25">
      <c r="B124" s="165" t="str">
        <f xml:space="preserve"> ( StartYear + 3 ) &amp; " Surplus Applied to " &amp; ( StartYear + 2 )</f>
        <v>2020 Surplus Applied to 2019</v>
      </c>
      <c r="C124" s="29"/>
      <c r="D124" s="114"/>
      <c r="E124" s="113"/>
      <c r="F124" s="51">
        <f>G124</f>
        <v>0</v>
      </c>
      <c r="G124" s="9">
        <v>0</v>
      </c>
      <c r="H124" s="117"/>
      <c r="L124" s="190" t="s">
        <v>232</v>
      </c>
      <c r="M124" s="29" t="s">
        <v>128</v>
      </c>
      <c r="N124" s="228" t="s">
        <v>242</v>
      </c>
    </row>
    <row r="125" spans="1:14" ht="15" customHeight="1" x14ac:dyDescent="0.25">
      <c r="B125" s="165" t="str">
        <f xml:space="preserve"> ( StartYear + 3 ) &amp; " Surplus Applied to " &amp; ( StartYear + 4 )</f>
        <v>2020 Surplus Applied to 2021</v>
      </c>
      <c r="C125" s="29"/>
      <c r="D125" s="114"/>
      <c r="E125" s="113"/>
      <c r="F125" s="113"/>
      <c r="G125" s="9"/>
      <c r="H125" s="46">
        <f>G125</f>
        <v>0</v>
      </c>
      <c r="L125" s="190" t="s">
        <v>232</v>
      </c>
      <c r="M125" s="29" t="s">
        <v>128</v>
      </c>
      <c r="N125" s="228" t="s">
        <v>243</v>
      </c>
    </row>
    <row r="126" spans="1:14" ht="15" customHeight="1" x14ac:dyDescent="0.25">
      <c r="B126" s="165" t="str">
        <f xml:space="preserve"> ( StartYear + 4 ) &amp; " Surplus Applied to " &amp; ( StartYear + 3 )</f>
        <v>2021 Surplus Applied to 2020</v>
      </c>
      <c r="C126" s="29"/>
      <c r="D126" s="115"/>
      <c r="E126" s="116"/>
      <c r="F126" s="116"/>
      <c r="G126" s="47">
        <f>H126</f>
        <v>0</v>
      </c>
      <c r="H126" s="41">
        <v>0</v>
      </c>
      <c r="L126" s="190" t="s">
        <v>232</v>
      </c>
      <c r="M126" s="29" t="s">
        <v>128</v>
      </c>
      <c r="N126" s="228" t="s">
        <v>244</v>
      </c>
    </row>
    <row r="127" spans="1:14" ht="15" customHeight="1" x14ac:dyDescent="0.25">
      <c r="B127" s="120" t="s">
        <v>17</v>
      </c>
      <c r="D127" s="6">
        <f ca="1">D117-D118+D120-D119</f>
        <v>-47646</v>
      </c>
      <c r="E127" s="6">
        <f ca="1">E119+E122-E120-E121</f>
        <v>39394</v>
      </c>
      <c r="F127" s="6">
        <f ca="1">F121+F124-F122-F123</f>
        <v>-84094</v>
      </c>
      <c r="G127" s="6">
        <f ca="1">G123+G126-G124-G125</f>
        <v>299844</v>
      </c>
      <c r="H127" s="6">
        <f>H125 - H126</f>
        <v>0</v>
      </c>
      <c r="L127" s="190" t="s">
        <v>232</v>
      </c>
      <c r="M127" s="29" t="s">
        <v>128</v>
      </c>
      <c r="N127" s="228" t="s">
        <v>17</v>
      </c>
    </row>
    <row r="128" spans="1:14" ht="15" customHeight="1" x14ac:dyDescent="0.25">
      <c r="B128" s="121"/>
      <c r="D128" s="6"/>
      <c r="E128" s="6"/>
      <c r="F128" s="6"/>
      <c r="G128" s="6"/>
      <c r="H128" s="6"/>
      <c r="L128" s="190" t="s">
        <v>232</v>
      </c>
      <c r="M128" s="29" t="s">
        <v>128</v>
      </c>
    </row>
    <row r="129" spans="1:14" ht="15" customHeight="1" x14ac:dyDescent="0.25">
      <c r="B129" s="54" t="s">
        <v>12</v>
      </c>
      <c r="C129" s="52"/>
      <c r="D129" s="75">
        <v>0</v>
      </c>
      <c r="E129" s="111">
        <v>0</v>
      </c>
      <c r="F129" s="111">
        <v>0</v>
      </c>
      <c r="G129" s="111">
        <v>0</v>
      </c>
      <c r="H129" s="76">
        <v>0</v>
      </c>
      <c r="L129" s="190" t="s">
        <v>232</v>
      </c>
      <c r="M129" s="29" t="s">
        <v>128</v>
      </c>
      <c r="N129" s="228" t="s">
        <v>12</v>
      </c>
    </row>
    <row r="130" spans="1:14" ht="15" customHeight="1" x14ac:dyDescent="0.25">
      <c r="B130" s="121"/>
      <c r="D130" s="6"/>
      <c r="E130" s="6"/>
      <c r="F130" s="6"/>
      <c r="G130" s="6"/>
      <c r="H130" s="6"/>
      <c r="L130" s="190" t="s">
        <v>232</v>
      </c>
      <c r="M130" s="29" t="s">
        <v>128</v>
      </c>
    </row>
    <row r="131" spans="1:14" ht="18.75" customHeight="1" x14ac:dyDescent="0.3">
      <c r="A131" s="38" t="s">
        <v>26</v>
      </c>
      <c r="B131" s="122"/>
      <c r="C131" s="52">
        <f>A97</f>
        <v>2</v>
      </c>
      <c r="D131" s="112">
        <f ca="1">D103+D108-D114+D127+D129</f>
        <v>207498</v>
      </c>
      <c r="E131" s="112">
        <f ca="1">E103+E108-E114+E127+E129</f>
        <v>255144</v>
      </c>
      <c r="F131" s="112">
        <f ca="1">F103+F108-F114+F127+F129</f>
        <v>215750</v>
      </c>
      <c r="G131" s="112">
        <f ca="1">G103+G108-G114+G127+G129</f>
        <v>756028</v>
      </c>
      <c r="H131" s="174">
        <f ca="1">H103+H108-H114+H127+H129</f>
        <v>396353.31500000006</v>
      </c>
      <c r="L131" s="190" t="s">
        <v>232</v>
      </c>
      <c r="M131" s="29" t="s">
        <v>128</v>
      </c>
      <c r="N131" s="228" t="s">
        <v>26</v>
      </c>
    </row>
    <row r="132" spans="1:14" ht="15" customHeight="1" x14ac:dyDescent="0.25">
      <c r="B132" s="121"/>
      <c r="C132" s="129" t="s">
        <v>158</v>
      </c>
      <c r="D132" s="6">
        <v>207498</v>
      </c>
      <c r="E132" s="28">
        <v>237815</v>
      </c>
      <c r="F132" s="28">
        <v>215750</v>
      </c>
      <c r="G132" s="28"/>
      <c r="H132" s="28"/>
      <c r="L132" s="190" t="s">
        <v>232</v>
      </c>
      <c r="M132" s="29" t="s">
        <v>128</v>
      </c>
      <c r="N132" s="228" t="s">
        <v>158</v>
      </c>
    </row>
    <row r="133" spans="1:14" s="29" customFormat="1" ht="15" customHeight="1" x14ac:dyDescent="0.25">
      <c r="B133" s="22"/>
      <c r="L133" s="190" t="s">
        <v>232</v>
      </c>
      <c r="M133" s="29" t="s">
        <v>128</v>
      </c>
      <c r="N133" s="228"/>
    </row>
    <row r="134" spans="1:14" ht="15" customHeight="1" x14ac:dyDescent="0.25">
      <c r="A134" s="29"/>
      <c r="B134" s="22"/>
      <c r="C134" s="29"/>
      <c r="D134" s="29"/>
      <c r="E134" s="29"/>
      <c r="F134" s="29"/>
      <c r="G134" s="29"/>
      <c r="H134" s="29"/>
      <c r="L134" s="190" t="s">
        <v>232</v>
      </c>
      <c r="M134" s="29" t="s">
        <v>128</v>
      </c>
    </row>
    <row r="135" spans="1:14" ht="21" customHeight="1" x14ac:dyDescent="0.35">
      <c r="A135" s="12">
        <f>MAX(A$1:A134)+1</f>
        <v>3</v>
      </c>
      <c r="B135" s="123"/>
      <c r="C135" s="214" t="str">
        <f ca="1">OFFSET($B$4,A135-1,0)</f>
        <v>Hopkins Ridge Phase II</v>
      </c>
      <c r="D135" s="215"/>
      <c r="E135" s="216"/>
      <c r="F135" s="216"/>
      <c r="G135" s="217"/>
      <c r="H135" s="218"/>
      <c r="L135" s="190" t="s">
        <v>232</v>
      </c>
      <c r="M135" s="29" t="s">
        <v>134</v>
      </c>
      <c r="N135" s="228">
        <v>3</v>
      </c>
    </row>
    <row r="136" spans="1:14" ht="15" customHeight="1" x14ac:dyDescent="0.25">
      <c r="B136" s="122"/>
      <c r="C136" s="1" t="str">
        <f ca="1">VLOOKUP(C135,Facilities,3,FALSE)</f>
        <v>PSE owned</v>
      </c>
      <c r="D136" s="1"/>
      <c r="L136" s="190" t="s">
        <v>232</v>
      </c>
      <c r="M136" s="29" t="s">
        <v>134</v>
      </c>
      <c r="N136" s="228" t="s">
        <v>179</v>
      </c>
    </row>
    <row r="137" spans="1:14" ht="18.75" customHeight="1" x14ac:dyDescent="0.3">
      <c r="A137" s="8" t="s">
        <v>21</v>
      </c>
      <c r="B137" s="124"/>
      <c r="D137" s="2">
        <f>D366</f>
        <v>2017</v>
      </c>
      <c r="E137" s="2">
        <f>D137+1</f>
        <v>2018</v>
      </c>
      <c r="F137" s="118">
        <f>E137+1</f>
        <v>2019</v>
      </c>
      <c r="G137" s="118">
        <f>F137+1</f>
        <v>2020</v>
      </c>
      <c r="H137" s="118">
        <f>G137+1</f>
        <v>2021</v>
      </c>
      <c r="L137" s="190" t="s">
        <v>232</v>
      </c>
      <c r="M137" s="29" t="s">
        <v>134</v>
      </c>
      <c r="N137" s="228" t="s">
        <v>21</v>
      </c>
    </row>
    <row r="138" spans="1:14" ht="15" customHeight="1" x14ac:dyDescent="0.25">
      <c r="B138" s="119" t="str">
        <f ca="1">IF(C174&lt;&gt;"REC only","Total MWh ","")&amp;IF(C136="PSE owned","Produced","Purchased")&amp;" from "&amp;C135</f>
        <v>Total MWh Produced from Hopkins Ridge Phase II</v>
      </c>
      <c r="C138" s="52"/>
      <c r="D138" s="3">
        <v>15881</v>
      </c>
      <c r="E138" s="3">
        <v>18893</v>
      </c>
      <c r="F138" s="3">
        <v>15655</v>
      </c>
      <c r="G138" s="3">
        <v>21985</v>
      </c>
      <c r="H138" s="4">
        <f>416425*4.82%</f>
        <v>20071.685000000001</v>
      </c>
      <c r="J138" s="232"/>
      <c r="K138" s="30"/>
      <c r="L138" s="190" t="s">
        <v>232</v>
      </c>
      <c r="M138" s="29" t="s">
        <v>134</v>
      </c>
      <c r="N138" s="228" t="s">
        <v>246</v>
      </c>
    </row>
    <row r="139" spans="1:14" ht="15" customHeight="1" x14ac:dyDescent="0.25">
      <c r="B139" s="119" t="s">
        <v>25</v>
      </c>
      <c r="C139" s="52"/>
      <c r="D139" s="132">
        <v>1</v>
      </c>
      <c r="E139" s="132">
        <v>1</v>
      </c>
      <c r="F139" s="132">
        <v>1</v>
      </c>
      <c r="G139" s="132">
        <v>1</v>
      </c>
      <c r="H139" s="133">
        <v>1</v>
      </c>
      <c r="J139" s="232"/>
      <c r="K139" s="30"/>
      <c r="L139" s="190" t="s">
        <v>232</v>
      </c>
      <c r="M139" s="29" t="s">
        <v>134</v>
      </c>
      <c r="N139" s="228" t="s">
        <v>25</v>
      </c>
    </row>
    <row r="140" spans="1:14" ht="15" customHeight="1" x14ac:dyDescent="0.25">
      <c r="B140" s="119" t="s">
        <v>20</v>
      </c>
      <c r="C140" s="52"/>
      <c r="D140" s="42">
        <v>1</v>
      </c>
      <c r="E140" s="42">
        <v>1</v>
      </c>
      <c r="F140" s="42">
        <v>1</v>
      </c>
      <c r="G140" s="42">
        <v>1</v>
      </c>
      <c r="H140" s="43">
        <v>1</v>
      </c>
      <c r="J140" s="232"/>
      <c r="K140" s="30"/>
      <c r="L140" s="190" t="s">
        <v>232</v>
      </c>
      <c r="M140" s="29" t="s">
        <v>134</v>
      </c>
      <c r="N140" s="228" t="s">
        <v>20</v>
      </c>
    </row>
    <row r="141" spans="1:14" ht="15" customHeight="1" x14ac:dyDescent="0.25">
      <c r="B141" s="54" t="s">
        <v>22</v>
      </c>
      <c r="C141" s="55"/>
      <c r="D141" s="131">
        <f xml:space="preserve"> D138 * D139 * D140</f>
        <v>15881</v>
      </c>
      <c r="E141" s="131">
        <f xml:space="preserve"> E138 * E139 * E140</f>
        <v>18893</v>
      </c>
      <c r="F141" s="131">
        <f xml:space="preserve"> F138 * F139 * F140</f>
        <v>15655</v>
      </c>
      <c r="G141" s="131">
        <f xml:space="preserve"> G138 * G139 * G140</f>
        <v>21985</v>
      </c>
      <c r="H141" s="131">
        <f xml:space="preserve"> H138 * H139 * H140</f>
        <v>20071.685000000001</v>
      </c>
      <c r="K141" s="30"/>
      <c r="L141" s="190" t="s">
        <v>232</v>
      </c>
      <c r="M141" s="29" t="s">
        <v>134</v>
      </c>
      <c r="N141" s="228" t="s">
        <v>22</v>
      </c>
    </row>
    <row r="142" spans="1:14" ht="15" customHeight="1" x14ac:dyDescent="0.25">
      <c r="B142" s="22"/>
      <c r="C142" s="29"/>
      <c r="D142" s="168"/>
      <c r="E142" s="168"/>
      <c r="F142" s="168"/>
      <c r="G142" s="167"/>
      <c r="H142" s="36"/>
      <c r="K142" s="233"/>
      <c r="L142" s="190" t="s">
        <v>232</v>
      </c>
      <c r="M142" s="29" t="s">
        <v>134</v>
      </c>
    </row>
    <row r="143" spans="1:14" ht="18.75" customHeight="1" x14ac:dyDescent="0.3">
      <c r="A143" s="39" t="s">
        <v>119</v>
      </c>
      <c r="B143" s="122"/>
      <c r="C143" s="29"/>
      <c r="D143" s="2">
        <f>D137</f>
        <v>2017</v>
      </c>
      <c r="E143" s="2">
        <f>D143+1</f>
        <v>2018</v>
      </c>
      <c r="F143" s="2">
        <f>E143+1</f>
        <v>2019</v>
      </c>
      <c r="G143" s="2">
        <f>F143+1</f>
        <v>2020</v>
      </c>
      <c r="H143" s="2">
        <f>G143+1</f>
        <v>2021</v>
      </c>
      <c r="K143" s="30"/>
      <c r="L143" s="190" t="s">
        <v>232</v>
      </c>
      <c r="M143" s="29" t="s">
        <v>134</v>
      </c>
      <c r="N143" s="228" t="s">
        <v>119</v>
      </c>
    </row>
    <row r="144" spans="1:14" x14ac:dyDescent="0.25">
      <c r="B144" s="119" t="s">
        <v>10</v>
      </c>
      <c r="C144" s="52"/>
      <c r="D144" s="10">
        <f ca="1">IF(VLOOKUP($C135,Facilities,5,FALSE)="Eligible", D141*ApprenticeshipBonus, 0 )</f>
        <v>0</v>
      </c>
      <c r="E144" s="109">
        <f ca="1">IF(VLOOKUP($C135,Facilities,5,FALSE)="Eligible", E141*ApprenticeshipBonus, 0 )</f>
        <v>0</v>
      </c>
      <c r="F144" s="109">
        <f ca="1">IF(VLOOKUP($C135,Facilities,5,FALSE)="Eligible", F141*ApprenticeshipBonus, 0 )</f>
        <v>0</v>
      </c>
      <c r="G144" s="109">
        <f ca="1">IF(VLOOKUP($C135,Facilities,5,FALSE)="Eligible", G141*ApprenticeshipBonus, 0 )</f>
        <v>0</v>
      </c>
      <c r="H144" s="11">
        <f ca="1">IF(VLOOKUP($C135,Facilities,5,FALSE)="Eligible", H141*ApprenticeshipBonus, 0 )</f>
        <v>0</v>
      </c>
      <c r="L144" s="190" t="s">
        <v>232</v>
      </c>
      <c r="M144" s="29" t="s">
        <v>134</v>
      </c>
      <c r="N144" s="228" t="s">
        <v>10</v>
      </c>
    </row>
    <row r="145" spans="1:14" ht="15" customHeight="1" x14ac:dyDescent="0.25">
      <c r="B145" s="119" t="s">
        <v>6</v>
      </c>
      <c r="C145" s="52"/>
      <c r="D145" s="44">
        <f ca="1">IF(VLOOKUP($C135,Facilities,6,FALSE)="Eligible", D141, 0 )</f>
        <v>0</v>
      </c>
      <c r="E145" s="110">
        <f ca="1">IF(VLOOKUP($C135,Facilities,6,FALSE)="Eligible", E141, 0 )</f>
        <v>0</v>
      </c>
      <c r="F145" s="110">
        <f ca="1">IF(VLOOKUP($C135,Facilities,6,FALSE)="Eligible", F141, 0 )</f>
        <v>0</v>
      </c>
      <c r="G145" s="110">
        <f ca="1">IF(VLOOKUP($C135,Facilities,6,FALSE)="Eligible", G141, 0 )</f>
        <v>0</v>
      </c>
      <c r="H145" s="45">
        <f ca="1">IF(VLOOKUP($C135,Facilities,6,FALSE)="Eligible", H141, 0 )</f>
        <v>0</v>
      </c>
      <c r="L145" s="190" t="s">
        <v>232</v>
      </c>
      <c r="M145" s="29" t="s">
        <v>134</v>
      </c>
      <c r="N145" s="228" t="s">
        <v>6</v>
      </c>
    </row>
    <row r="146" spans="1:14" ht="15" customHeight="1" x14ac:dyDescent="0.25">
      <c r="B146" s="54" t="s">
        <v>121</v>
      </c>
      <c r="C146" s="55"/>
      <c r="D146" s="37">
        <f ca="1">SUM(D144:D145)</f>
        <v>0</v>
      </c>
      <c r="E146" s="37">
        <f ca="1">SUM(E144:E145)</f>
        <v>0</v>
      </c>
      <c r="F146" s="37">
        <f ca="1">SUM(F144:F145)</f>
        <v>0</v>
      </c>
      <c r="G146" s="37">
        <f ca="1">SUM(G144:G145)</f>
        <v>0</v>
      </c>
      <c r="H146" s="37">
        <f ca="1">SUM(H144:H145)</f>
        <v>0</v>
      </c>
      <c r="L146" s="190" t="s">
        <v>232</v>
      </c>
      <c r="M146" s="29" t="s">
        <v>134</v>
      </c>
      <c r="N146" s="228" t="s">
        <v>121</v>
      </c>
    </row>
    <row r="147" spans="1:14" ht="15" customHeight="1" x14ac:dyDescent="0.25">
      <c r="B147" s="22"/>
      <c r="C147" s="29"/>
      <c r="D147" s="169"/>
      <c r="E147" s="169"/>
      <c r="F147" s="169"/>
      <c r="G147" s="169"/>
      <c r="H147" s="30"/>
      <c r="L147" s="190" t="s">
        <v>232</v>
      </c>
      <c r="M147" s="29" t="s">
        <v>134</v>
      </c>
    </row>
    <row r="148" spans="1:14" ht="18.75" customHeight="1" x14ac:dyDescent="0.3">
      <c r="A148" s="38" t="s">
        <v>30</v>
      </c>
      <c r="B148" s="122"/>
      <c r="C148" s="29"/>
      <c r="D148" s="2">
        <f>D137</f>
        <v>2017</v>
      </c>
      <c r="E148" s="2">
        <f>D148+1</f>
        <v>2018</v>
      </c>
      <c r="F148" s="2">
        <f>E148+1</f>
        <v>2019</v>
      </c>
      <c r="G148" s="2">
        <f>F148+1</f>
        <v>2020</v>
      </c>
      <c r="H148" s="2">
        <f>G148+1</f>
        <v>2021</v>
      </c>
      <c r="L148" s="190" t="s">
        <v>232</v>
      </c>
      <c r="M148" s="29" t="s">
        <v>134</v>
      </c>
      <c r="N148" s="228" t="s">
        <v>30</v>
      </c>
    </row>
    <row r="149" spans="1:14" ht="15" customHeight="1" x14ac:dyDescent="0.25">
      <c r="B149" s="119" t="s">
        <v>47</v>
      </c>
      <c r="C149" s="52"/>
      <c r="D149" s="3">
        <v>0</v>
      </c>
      <c r="E149" s="3">
        <f>10171+0</f>
        <v>10171</v>
      </c>
      <c r="F149" s="3">
        <v>0</v>
      </c>
      <c r="G149" s="3">
        <v>0</v>
      </c>
      <c r="H149" s="4">
        <v>0</v>
      </c>
      <c r="L149" s="190" t="s">
        <v>232</v>
      </c>
      <c r="M149" s="29" t="s">
        <v>134</v>
      </c>
      <c r="N149" s="228" t="s">
        <v>47</v>
      </c>
    </row>
    <row r="150" spans="1:14" ht="15" customHeight="1" x14ac:dyDescent="0.25">
      <c r="B150" s="68" t="s">
        <v>23</v>
      </c>
      <c r="C150" s="59"/>
      <c r="D150" s="137">
        <v>0</v>
      </c>
      <c r="E150" s="137">
        <v>0</v>
      </c>
      <c r="F150" s="137">
        <v>0</v>
      </c>
      <c r="G150" s="137">
        <v>0</v>
      </c>
      <c r="H150" s="138">
        <v>0</v>
      </c>
      <c r="L150" s="190" t="s">
        <v>232</v>
      </c>
      <c r="M150" s="29" t="s">
        <v>134</v>
      </c>
      <c r="N150" s="228" t="s">
        <v>23</v>
      </c>
    </row>
    <row r="151" spans="1:14" ht="15" customHeight="1" x14ac:dyDescent="0.25">
      <c r="B151" s="68" t="s">
        <v>89</v>
      </c>
      <c r="C151" s="67"/>
      <c r="D151" s="191">
        <v>0</v>
      </c>
      <c r="E151" s="139">
        <v>0</v>
      </c>
      <c r="F151" s="139">
        <v>0</v>
      </c>
      <c r="G151" s="139">
        <v>0</v>
      </c>
      <c r="H151" s="140">
        <v>0</v>
      </c>
      <c r="L151" s="190" t="s">
        <v>232</v>
      </c>
      <c r="M151" s="29" t="s">
        <v>134</v>
      </c>
      <c r="N151" s="228" t="s">
        <v>89</v>
      </c>
    </row>
    <row r="152" spans="1:14" ht="15" customHeight="1" x14ac:dyDescent="0.25">
      <c r="B152" s="120" t="s">
        <v>90</v>
      </c>
      <c r="D152" s="6">
        <f>SUM(D149:D151)</f>
        <v>0</v>
      </c>
      <c r="E152" s="6">
        <f>SUM(E149:E151)</f>
        <v>10171</v>
      </c>
      <c r="F152" s="6">
        <f>SUM(F149:F151)</f>
        <v>0</v>
      </c>
      <c r="G152" s="6">
        <f>SUM(G149:G151)</f>
        <v>0</v>
      </c>
      <c r="H152" s="6">
        <f>SUM(H149:H151)</f>
        <v>0</v>
      </c>
      <c r="L152" s="190" t="s">
        <v>232</v>
      </c>
      <c r="M152" s="29" t="s">
        <v>134</v>
      </c>
      <c r="N152" s="228" t="s">
        <v>90</v>
      </c>
    </row>
    <row r="153" spans="1:14" ht="15" customHeight="1" x14ac:dyDescent="0.25">
      <c r="B153" s="121"/>
      <c r="D153" s="167"/>
      <c r="E153" s="167"/>
      <c r="F153" s="167"/>
      <c r="G153" s="167"/>
      <c r="H153" s="6"/>
      <c r="L153" s="190" t="s">
        <v>232</v>
      </c>
      <c r="M153" s="29" t="s">
        <v>134</v>
      </c>
    </row>
    <row r="154" spans="1:14" ht="18.75" customHeight="1" x14ac:dyDescent="0.3">
      <c r="A154" s="8" t="s">
        <v>100</v>
      </c>
      <c r="B154" s="122"/>
      <c r="D154" s="2">
        <f>D137</f>
        <v>2017</v>
      </c>
      <c r="E154" s="2">
        <f>D154+1</f>
        <v>2018</v>
      </c>
      <c r="F154" s="2">
        <f>E154+1</f>
        <v>2019</v>
      </c>
      <c r="G154" s="2">
        <f>F154+1</f>
        <v>2020</v>
      </c>
      <c r="H154" s="2">
        <f>G154+1</f>
        <v>2021</v>
      </c>
      <c r="L154" s="190" t="s">
        <v>232</v>
      </c>
      <c r="M154" s="29" t="s">
        <v>134</v>
      </c>
      <c r="N154" s="228" t="s">
        <v>100</v>
      </c>
    </row>
    <row r="155" spans="1:14" ht="15" customHeight="1" x14ac:dyDescent="0.25">
      <c r="B155" s="57" t="str">
        <f>(StartYear-1) &amp; " Surplus Applied to " &amp; StartYear</f>
        <v>2016 Surplus Applied to 2017</v>
      </c>
      <c r="C155" s="29"/>
      <c r="D155" s="186">
        <v>10000</v>
      </c>
      <c r="E155" s="187"/>
      <c r="F155" s="187"/>
      <c r="G155" s="187"/>
      <c r="H155" s="188"/>
      <c r="L155" s="190" t="s">
        <v>232</v>
      </c>
      <c r="M155" s="29" t="s">
        <v>134</v>
      </c>
      <c r="N155" s="228" t="s">
        <v>235</v>
      </c>
    </row>
    <row r="156" spans="1:14" ht="15" customHeight="1" x14ac:dyDescent="0.25">
      <c r="B156" s="57" t="str">
        <f>StartYear &amp; " Surplus Applied to " &amp; (StartYear-1)</f>
        <v>2017 Surplus Applied to 2016</v>
      </c>
      <c r="C156" s="29"/>
      <c r="D156" s="189">
        <v>0</v>
      </c>
      <c r="E156" s="113"/>
      <c r="F156" s="113"/>
      <c r="G156" s="113"/>
      <c r="H156" s="117"/>
      <c r="L156" s="190" t="s">
        <v>232</v>
      </c>
      <c r="M156" s="29" t="s">
        <v>134</v>
      </c>
      <c r="N156" s="228" t="s">
        <v>236</v>
      </c>
    </row>
    <row r="157" spans="1:14" ht="15" customHeight="1" x14ac:dyDescent="0.25">
      <c r="B157" s="57" t="str">
        <f>( StartYear) &amp; " Surplus Applied to " &amp; ( StartYear + 1 )</f>
        <v>2017 Surplus Applied to 2018</v>
      </c>
      <c r="C157" s="29"/>
      <c r="D157" s="184">
        <f ca="1">D141+D146-D152</f>
        <v>15881</v>
      </c>
      <c r="E157" s="185">
        <f ca="1">D157</f>
        <v>15881</v>
      </c>
      <c r="F157" s="181"/>
      <c r="G157" s="181"/>
      <c r="H157" s="182"/>
      <c r="L157" s="190" t="s">
        <v>232</v>
      </c>
      <c r="M157" s="29" t="s">
        <v>134</v>
      </c>
      <c r="N157" s="228" t="s">
        <v>237</v>
      </c>
    </row>
    <row r="158" spans="1:14" ht="15" customHeight="1" x14ac:dyDescent="0.25">
      <c r="B158" s="57" t="str">
        <f xml:space="preserve"> ( StartYear + 1 ) &amp; " Surplus Applied to " &amp; ( StartYear )</f>
        <v>2018 Surplus Applied to 2017</v>
      </c>
      <c r="C158" s="29"/>
      <c r="D158" s="134">
        <v>0</v>
      </c>
      <c r="E158" s="9">
        <v>0</v>
      </c>
      <c r="F158" s="113"/>
      <c r="G158" s="113"/>
      <c r="H158" s="117"/>
      <c r="L158" s="190" t="s">
        <v>232</v>
      </c>
      <c r="M158" s="29" t="s">
        <v>134</v>
      </c>
      <c r="N158" s="228" t="s">
        <v>238</v>
      </c>
    </row>
    <row r="159" spans="1:14" ht="15" customHeight="1" x14ac:dyDescent="0.25">
      <c r="B159" s="119" t="str">
        <f xml:space="preserve"> ( StartYear + 1 ) &amp; " Surplus Applied to " &amp; ( StartYear + 2 )</f>
        <v>2018 Surplus Applied to 2019</v>
      </c>
      <c r="C159" s="29"/>
      <c r="D159" s="114"/>
      <c r="E159" s="9">
        <f ca="1">E141+E146-E152</f>
        <v>8722</v>
      </c>
      <c r="F159" s="51">
        <f ca="1">E159</f>
        <v>8722</v>
      </c>
      <c r="G159" s="113"/>
      <c r="H159" s="117"/>
      <c r="L159" s="190" t="s">
        <v>232</v>
      </c>
      <c r="M159" s="29" t="s">
        <v>134</v>
      </c>
      <c r="N159" s="228" t="s">
        <v>239</v>
      </c>
    </row>
    <row r="160" spans="1:14" ht="15" customHeight="1" x14ac:dyDescent="0.25">
      <c r="B160" s="119" t="str">
        <f xml:space="preserve"> ( StartYear + 2 ) &amp; " Surplus Applied to " &amp; ( StartYear + 1 )</f>
        <v>2019 Surplus Applied to 2018</v>
      </c>
      <c r="C160" s="29"/>
      <c r="D160" s="114"/>
      <c r="E160" s="51">
        <v>0</v>
      </c>
      <c r="F160" s="9">
        <v>0</v>
      </c>
      <c r="G160" s="113"/>
      <c r="H160" s="117"/>
      <c r="L160" s="190" t="s">
        <v>232</v>
      </c>
      <c r="M160" s="29" t="s">
        <v>134</v>
      </c>
      <c r="N160" s="228" t="s">
        <v>240</v>
      </c>
    </row>
    <row r="161" spans="1:14" ht="15" customHeight="1" x14ac:dyDescent="0.25">
      <c r="B161" s="165" t="str">
        <f xml:space="preserve"> ( StartYear + 2 ) &amp; " Surplus Applied to " &amp; ( StartYear + 3 )</f>
        <v>2019 Surplus Applied to 2020</v>
      </c>
      <c r="C161" s="29"/>
      <c r="D161" s="114"/>
      <c r="E161" s="113"/>
      <c r="F161" s="9">
        <f ca="1">F141+F146-F152</f>
        <v>15655</v>
      </c>
      <c r="G161" s="51">
        <f ca="1">F161</f>
        <v>15655</v>
      </c>
      <c r="H161" s="117"/>
      <c r="L161" s="190" t="s">
        <v>232</v>
      </c>
      <c r="M161" s="29" t="s">
        <v>134</v>
      </c>
      <c r="N161" s="228" t="s">
        <v>241</v>
      </c>
    </row>
    <row r="162" spans="1:14" ht="15" customHeight="1" x14ac:dyDescent="0.25">
      <c r="B162" s="165" t="str">
        <f xml:space="preserve"> ( StartYear + 3 ) &amp; " Surplus Applied to " &amp; ( StartYear + 2 )</f>
        <v>2020 Surplus Applied to 2019</v>
      </c>
      <c r="C162" s="29"/>
      <c r="D162" s="114"/>
      <c r="E162" s="113"/>
      <c r="F162" s="51">
        <v>0</v>
      </c>
      <c r="G162" s="9"/>
      <c r="H162" s="117"/>
      <c r="L162" s="190" t="s">
        <v>232</v>
      </c>
      <c r="M162" s="29" t="s">
        <v>134</v>
      </c>
      <c r="N162" s="228" t="s">
        <v>242</v>
      </c>
    </row>
    <row r="163" spans="1:14" ht="15" customHeight="1" x14ac:dyDescent="0.25">
      <c r="B163" s="165" t="str">
        <f xml:space="preserve"> ( StartYear + 3 ) &amp; " Surplus Applied to " &amp; ( StartYear + 4 )</f>
        <v>2020 Surplus Applied to 2021</v>
      </c>
      <c r="C163" s="29"/>
      <c r="D163" s="114"/>
      <c r="E163" s="113"/>
      <c r="F163" s="113"/>
      <c r="G163" s="9"/>
      <c r="H163" s="46">
        <f>G163</f>
        <v>0</v>
      </c>
      <c r="L163" s="190" t="s">
        <v>232</v>
      </c>
      <c r="M163" s="29" t="s">
        <v>134</v>
      </c>
      <c r="N163" s="228" t="s">
        <v>243</v>
      </c>
    </row>
    <row r="164" spans="1:14" ht="15" customHeight="1" x14ac:dyDescent="0.25">
      <c r="B164" s="165" t="str">
        <f xml:space="preserve"> ( StartYear + 4 ) &amp; " Surplus Applied to " &amp; ( StartYear + 3 )</f>
        <v>2021 Surplus Applied to 2020</v>
      </c>
      <c r="C164" s="29"/>
      <c r="D164" s="115"/>
      <c r="E164" s="116"/>
      <c r="F164" s="116"/>
      <c r="G164" s="47">
        <v>0</v>
      </c>
      <c r="H164" s="41">
        <v>0</v>
      </c>
      <c r="L164" s="190" t="s">
        <v>232</v>
      </c>
      <c r="M164" s="29" t="s">
        <v>134</v>
      </c>
      <c r="N164" s="228" t="s">
        <v>244</v>
      </c>
    </row>
    <row r="165" spans="1:14" ht="15" customHeight="1" x14ac:dyDescent="0.25">
      <c r="B165" s="120" t="s">
        <v>17</v>
      </c>
      <c r="D165" s="6">
        <f ca="1">D155-D156+D158-D157</f>
        <v>-5881</v>
      </c>
      <c r="E165" s="6">
        <f ca="1">E157+E160-E158-E159</f>
        <v>7159</v>
      </c>
      <c r="F165" s="6">
        <f ca="1">F159+F162-F160-F161</f>
        <v>-6933</v>
      </c>
      <c r="G165" s="6">
        <f ca="1">G161+G164-G162-G163</f>
        <v>15655</v>
      </c>
      <c r="H165" s="6">
        <f>H163 - H164</f>
        <v>0</v>
      </c>
      <c r="L165" s="190" t="s">
        <v>232</v>
      </c>
      <c r="M165" s="29" t="s">
        <v>134</v>
      </c>
      <c r="N165" s="228" t="s">
        <v>17</v>
      </c>
    </row>
    <row r="166" spans="1:14" ht="15" customHeight="1" x14ac:dyDescent="0.25">
      <c r="B166" s="121"/>
      <c r="D166" s="6"/>
      <c r="E166" s="6"/>
      <c r="F166" s="6"/>
      <c r="G166" s="6"/>
      <c r="H166" s="6"/>
      <c r="L166" s="190" t="s">
        <v>232</v>
      </c>
      <c r="M166" s="29" t="s">
        <v>134</v>
      </c>
    </row>
    <row r="167" spans="1:14" ht="15" customHeight="1" x14ac:dyDescent="0.25">
      <c r="B167" s="54" t="s">
        <v>12</v>
      </c>
      <c r="C167" s="52"/>
      <c r="D167" s="75">
        <v>0</v>
      </c>
      <c r="E167" s="111">
        <v>0</v>
      </c>
      <c r="F167" s="111">
        <v>0</v>
      </c>
      <c r="G167" s="111">
        <v>0</v>
      </c>
      <c r="H167" s="76">
        <v>0</v>
      </c>
      <c r="L167" s="190" t="s">
        <v>232</v>
      </c>
      <c r="M167" s="29" t="s">
        <v>134</v>
      </c>
      <c r="N167" s="228" t="s">
        <v>12</v>
      </c>
    </row>
    <row r="168" spans="1:14" ht="15" customHeight="1" x14ac:dyDescent="0.25">
      <c r="B168" s="121"/>
      <c r="D168" s="6"/>
      <c r="E168" s="6"/>
      <c r="F168" s="6"/>
      <c r="G168" s="6"/>
      <c r="H168" s="6"/>
      <c r="L168" s="190" t="s">
        <v>232</v>
      </c>
      <c r="M168" s="29" t="s">
        <v>134</v>
      </c>
    </row>
    <row r="169" spans="1:14" ht="18.75" customHeight="1" x14ac:dyDescent="0.3">
      <c r="A169" s="38" t="s">
        <v>26</v>
      </c>
      <c r="B169" s="122"/>
      <c r="C169" s="52">
        <f>A135</f>
        <v>3</v>
      </c>
      <c r="D169" s="112">
        <f ca="1">D141+D146-D152+D165+D167</f>
        <v>10000</v>
      </c>
      <c r="E169" s="112">
        <f ca="1">E141+E146-E152+E165+E167</f>
        <v>15881</v>
      </c>
      <c r="F169" s="112">
        <f ca="1">F141+F146-F152+F165+F167</f>
        <v>8722</v>
      </c>
      <c r="G169" s="112">
        <f ca="1">G141+G146-G152+G165+G167</f>
        <v>37640</v>
      </c>
      <c r="H169" s="174">
        <f ca="1">H141+H146-H152+H165+H167</f>
        <v>20071.685000000001</v>
      </c>
      <c r="L169" s="190" t="s">
        <v>232</v>
      </c>
      <c r="M169" s="29" t="s">
        <v>134</v>
      </c>
      <c r="N169" s="228" t="s">
        <v>26</v>
      </c>
    </row>
    <row r="170" spans="1:14" ht="15" customHeight="1" x14ac:dyDescent="0.25">
      <c r="B170" s="121"/>
      <c r="C170" s="129" t="s">
        <v>158</v>
      </c>
      <c r="D170" s="6">
        <v>10000</v>
      </c>
      <c r="E170" s="28">
        <v>15881</v>
      </c>
      <c r="F170" s="28">
        <v>8722</v>
      </c>
      <c r="G170" s="28"/>
      <c r="H170" s="28"/>
      <c r="L170" s="190" t="s">
        <v>232</v>
      </c>
      <c r="M170" s="29" t="s">
        <v>134</v>
      </c>
      <c r="N170" s="228" t="s">
        <v>158</v>
      </c>
    </row>
    <row r="171" spans="1:14" ht="15" customHeight="1" x14ac:dyDescent="0.25">
      <c r="B171" s="122"/>
      <c r="D171" s="1"/>
      <c r="L171" s="190" t="s">
        <v>232</v>
      </c>
      <c r="M171" s="29" t="s">
        <v>134</v>
      </c>
    </row>
    <row r="172" spans="1:14" s="29" customFormat="1" ht="15" customHeight="1" x14ac:dyDescent="0.25">
      <c r="B172" s="22"/>
      <c r="L172" s="190" t="s">
        <v>232</v>
      </c>
      <c r="M172" s="29" t="s">
        <v>134</v>
      </c>
      <c r="N172" s="228"/>
    </row>
    <row r="173" spans="1:14" ht="21" customHeight="1" x14ac:dyDescent="0.35">
      <c r="A173" s="12">
        <f>MAX(A$1:A172)+1</f>
        <v>4</v>
      </c>
      <c r="B173" s="123"/>
      <c r="C173" s="214" t="str">
        <f ca="1">OFFSET($B$4,A173-1,0)</f>
        <v>Klondike III</v>
      </c>
      <c r="D173" s="215"/>
      <c r="E173" s="216"/>
      <c r="F173" s="216"/>
      <c r="G173" s="217"/>
      <c r="H173" s="218"/>
      <c r="L173" s="190" t="s">
        <v>232</v>
      </c>
      <c r="M173" s="29" t="s">
        <v>129</v>
      </c>
      <c r="N173" s="228">
        <v>4</v>
      </c>
    </row>
    <row r="174" spans="1:14" ht="15" customHeight="1" x14ac:dyDescent="0.25">
      <c r="B174" s="122"/>
      <c r="C174" s="1" t="str">
        <f ca="1">VLOOKUP(C173,Facilities,3,FALSE)</f>
        <v>PPA</v>
      </c>
      <c r="D174" s="1"/>
      <c r="L174" s="190" t="s">
        <v>232</v>
      </c>
      <c r="M174" s="29" t="s">
        <v>129</v>
      </c>
      <c r="N174" s="228" t="s">
        <v>180</v>
      </c>
    </row>
    <row r="175" spans="1:14" ht="18.75" customHeight="1" x14ac:dyDescent="0.3">
      <c r="A175" s="8" t="s">
        <v>21</v>
      </c>
      <c r="B175" s="124"/>
      <c r="D175" s="2">
        <f>D366</f>
        <v>2017</v>
      </c>
      <c r="E175" s="2">
        <f>D175+1</f>
        <v>2018</v>
      </c>
      <c r="F175" s="118">
        <f>E175+1</f>
        <v>2019</v>
      </c>
      <c r="G175" s="118">
        <f>F175+1</f>
        <v>2020</v>
      </c>
      <c r="H175" s="118">
        <f>G175+1</f>
        <v>2021</v>
      </c>
      <c r="L175" s="190" t="s">
        <v>232</v>
      </c>
      <c r="M175" s="29" t="s">
        <v>129</v>
      </c>
      <c r="N175" s="228" t="s">
        <v>21</v>
      </c>
    </row>
    <row r="176" spans="1:14" ht="15" customHeight="1" x14ac:dyDescent="0.25">
      <c r="B176" s="119" t="str">
        <f ca="1">IF(C212&lt;&gt;"REC only","Total MWh ","")&amp;IF(C174="PSE owned","Produced","Purchased")&amp;" from "&amp;C173</f>
        <v>Total MWh Purchased from Klondike III</v>
      </c>
      <c r="C176" s="52"/>
      <c r="D176" s="3">
        <v>110618</v>
      </c>
      <c r="E176" s="3">
        <v>119438</v>
      </c>
      <c r="F176" s="3">
        <v>117651</v>
      </c>
      <c r="G176" s="3">
        <v>139693</v>
      </c>
      <c r="H176" s="4">
        <v>136625</v>
      </c>
      <c r="J176" s="232"/>
      <c r="K176" s="30"/>
      <c r="L176" s="190" t="s">
        <v>232</v>
      </c>
      <c r="M176" s="29" t="s">
        <v>129</v>
      </c>
      <c r="N176" s="228" t="s">
        <v>247</v>
      </c>
    </row>
    <row r="177" spans="1:14" ht="15" customHeight="1" x14ac:dyDescent="0.25">
      <c r="B177" s="119" t="s">
        <v>25</v>
      </c>
      <c r="C177" s="52"/>
      <c r="D177" s="132">
        <v>1</v>
      </c>
      <c r="E177" s="132">
        <v>1</v>
      </c>
      <c r="F177" s="132">
        <v>1</v>
      </c>
      <c r="G177" s="132">
        <v>1</v>
      </c>
      <c r="H177" s="133">
        <v>1</v>
      </c>
      <c r="J177" s="232"/>
      <c r="K177" s="30"/>
      <c r="L177" s="190" t="s">
        <v>232</v>
      </c>
      <c r="M177" s="29" t="s">
        <v>129</v>
      </c>
      <c r="N177" s="228" t="s">
        <v>25</v>
      </c>
    </row>
    <row r="178" spans="1:14" ht="15" customHeight="1" x14ac:dyDescent="0.25">
      <c r="B178" s="119" t="s">
        <v>20</v>
      </c>
      <c r="C178" s="52"/>
      <c r="D178" s="42">
        <v>1</v>
      </c>
      <c r="E178" s="42">
        <v>1</v>
      </c>
      <c r="F178" s="42">
        <v>1</v>
      </c>
      <c r="G178" s="42">
        <v>1</v>
      </c>
      <c r="H178" s="43">
        <v>1</v>
      </c>
      <c r="J178" s="232"/>
      <c r="K178" s="30"/>
      <c r="L178" s="190" t="s">
        <v>232</v>
      </c>
      <c r="M178" s="29" t="s">
        <v>129</v>
      </c>
      <c r="N178" s="228" t="s">
        <v>20</v>
      </c>
    </row>
    <row r="179" spans="1:14" ht="15" customHeight="1" x14ac:dyDescent="0.25">
      <c r="B179" s="54" t="s">
        <v>22</v>
      </c>
      <c r="C179" s="55"/>
      <c r="D179" s="131">
        <f xml:space="preserve"> D176 * D177 * D178</f>
        <v>110618</v>
      </c>
      <c r="E179" s="131">
        <f xml:space="preserve"> E176 * E177 * E178</f>
        <v>119438</v>
      </c>
      <c r="F179" s="131">
        <f xml:space="preserve"> F176 * F177 * F178</f>
        <v>117651</v>
      </c>
      <c r="G179" s="131">
        <f xml:space="preserve"> G176 * G177 * G178</f>
        <v>139693</v>
      </c>
      <c r="H179" s="131">
        <f xml:space="preserve"> H176 * H177 * H178</f>
        <v>136625</v>
      </c>
      <c r="K179" s="30"/>
      <c r="L179" s="190" t="s">
        <v>232</v>
      </c>
      <c r="M179" s="29" t="s">
        <v>129</v>
      </c>
      <c r="N179" s="228" t="s">
        <v>22</v>
      </c>
    </row>
    <row r="180" spans="1:14" ht="15" customHeight="1" x14ac:dyDescent="0.25">
      <c r="B180" s="22"/>
      <c r="C180" s="29"/>
      <c r="D180" s="168"/>
      <c r="E180" s="168"/>
      <c r="F180" s="168"/>
      <c r="G180" s="167"/>
      <c r="H180" s="36"/>
      <c r="L180" s="190" t="s">
        <v>232</v>
      </c>
      <c r="M180" s="29" t="s">
        <v>129</v>
      </c>
    </row>
    <row r="181" spans="1:14" ht="18.75" customHeight="1" x14ac:dyDescent="0.3">
      <c r="A181" s="39" t="s">
        <v>119</v>
      </c>
      <c r="B181" s="122"/>
      <c r="C181" s="29"/>
      <c r="D181" s="2">
        <f>D175</f>
        <v>2017</v>
      </c>
      <c r="E181" s="2">
        <f>D181+1</f>
        <v>2018</v>
      </c>
      <c r="F181" s="2">
        <f>E181+1</f>
        <v>2019</v>
      </c>
      <c r="G181" s="2">
        <f>F181+1</f>
        <v>2020</v>
      </c>
      <c r="H181" s="2">
        <f>G181+1</f>
        <v>2021</v>
      </c>
      <c r="L181" s="190" t="s">
        <v>232</v>
      </c>
      <c r="M181" s="29" t="s">
        <v>129</v>
      </c>
      <c r="N181" s="228" t="s">
        <v>119</v>
      </c>
    </row>
    <row r="182" spans="1:14" x14ac:dyDescent="0.25">
      <c r="B182" s="119" t="s">
        <v>10</v>
      </c>
      <c r="C182" s="52"/>
      <c r="D182" s="10">
        <f ca="1">IF(VLOOKUP($C173,Facilities,5,FALSE)="Eligible", D179*ApprenticeshipBonus, 0 )</f>
        <v>0</v>
      </c>
      <c r="E182" s="109">
        <f ca="1">IF(VLOOKUP($C173,Facilities,5,FALSE)="Eligible", E179*ApprenticeshipBonus, 0 )</f>
        <v>0</v>
      </c>
      <c r="F182" s="109">
        <f ca="1">IF(VLOOKUP($C173,Facilities,5,FALSE)="Eligible", F179*ApprenticeshipBonus, 0 )</f>
        <v>0</v>
      </c>
      <c r="G182" s="109">
        <f ca="1">IF(VLOOKUP($C173,Facilities,5,FALSE)="Eligible", G179*ApprenticeshipBonus, 0 )</f>
        <v>0</v>
      </c>
      <c r="H182" s="11">
        <f ca="1">IF(VLOOKUP($C173,Facilities,5,FALSE)="Eligible", H179*ApprenticeshipBonus, 0 )</f>
        <v>0</v>
      </c>
      <c r="L182" s="190" t="s">
        <v>232</v>
      </c>
      <c r="M182" s="29" t="s">
        <v>129</v>
      </c>
      <c r="N182" s="228" t="s">
        <v>10</v>
      </c>
    </row>
    <row r="183" spans="1:14" ht="15" customHeight="1" x14ac:dyDescent="0.25">
      <c r="B183" s="119" t="s">
        <v>6</v>
      </c>
      <c r="C183" s="52"/>
      <c r="D183" s="44">
        <f ca="1">IF(VLOOKUP($C173,Facilities,6,FALSE)="Eligible", D179, 0 )</f>
        <v>0</v>
      </c>
      <c r="E183" s="110">
        <f ca="1">IF(VLOOKUP($C173,Facilities,6,FALSE)="Eligible", E179, 0 )</f>
        <v>0</v>
      </c>
      <c r="F183" s="110">
        <f ca="1">IF(VLOOKUP($C173,Facilities,6,FALSE)="Eligible", F179, 0 )</f>
        <v>0</v>
      </c>
      <c r="G183" s="110">
        <f ca="1">IF(VLOOKUP($C173,Facilities,6,FALSE)="Eligible", G179, 0 )</f>
        <v>0</v>
      </c>
      <c r="H183" s="45">
        <f ca="1">IF(VLOOKUP($C173,Facilities,6,FALSE)="Eligible", H179, 0 )</f>
        <v>0</v>
      </c>
      <c r="L183" s="190" t="s">
        <v>232</v>
      </c>
      <c r="M183" s="29" t="s">
        <v>129</v>
      </c>
      <c r="N183" s="228" t="s">
        <v>6</v>
      </c>
    </row>
    <row r="184" spans="1:14" ht="15" customHeight="1" x14ac:dyDescent="0.25">
      <c r="B184" s="54" t="s">
        <v>121</v>
      </c>
      <c r="C184" s="55"/>
      <c r="D184" s="37">
        <f ca="1">SUM(D182:D183)</f>
        <v>0</v>
      </c>
      <c r="E184" s="37">
        <f ca="1">SUM(E182:E183)</f>
        <v>0</v>
      </c>
      <c r="F184" s="37">
        <f ca="1">SUM(F182:F183)</f>
        <v>0</v>
      </c>
      <c r="G184" s="37">
        <f ca="1">SUM(G182:G183)</f>
        <v>0</v>
      </c>
      <c r="H184" s="37">
        <f ca="1">SUM(H182:H183)</f>
        <v>0</v>
      </c>
      <c r="L184" s="190" t="s">
        <v>232</v>
      </c>
      <c r="M184" s="29" t="s">
        <v>129</v>
      </c>
      <c r="N184" s="228" t="s">
        <v>121</v>
      </c>
    </row>
    <row r="185" spans="1:14" ht="15" customHeight="1" x14ac:dyDescent="0.25">
      <c r="B185" s="22"/>
      <c r="C185" s="29"/>
      <c r="D185" s="169"/>
      <c r="E185" s="169"/>
      <c r="F185" s="169"/>
      <c r="G185" s="169"/>
      <c r="H185" s="30"/>
      <c r="L185" s="190" t="s">
        <v>232</v>
      </c>
      <c r="M185" s="29" t="s">
        <v>129</v>
      </c>
    </row>
    <row r="186" spans="1:14" ht="18.75" customHeight="1" x14ac:dyDescent="0.3">
      <c r="A186" s="38" t="s">
        <v>30</v>
      </c>
      <c r="B186" s="122"/>
      <c r="C186" s="29"/>
      <c r="D186" s="2">
        <f>D175</f>
        <v>2017</v>
      </c>
      <c r="E186" s="2">
        <f>D186+1</f>
        <v>2018</v>
      </c>
      <c r="F186" s="2">
        <f>E186+1</f>
        <v>2019</v>
      </c>
      <c r="G186" s="2">
        <f>F186+1</f>
        <v>2020</v>
      </c>
      <c r="H186" s="2">
        <f>G186+1</f>
        <v>2021</v>
      </c>
      <c r="L186" s="190" t="s">
        <v>232</v>
      </c>
      <c r="M186" s="29" t="s">
        <v>129</v>
      </c>
      <c r="N186" s="228" t="s">
        <v>30</v>
      </c>
    </row>
    <row r="187" spans="1:14" ht="15" customHeight="1" x14ac:dyDescent="0.25">
      <c r="B187" s="119" t="s">
        <v>47</v>
      </c>
      <c r="C187" s="52"/>
      <c r="D187" s="3">
        <f>57197+0</f>
        <v>57197</v>
      </c>
      <c r="E187" s="3">
        <f>57609+0</f>
        <v>57609</v>
      </c>
      <c r="F187" s="3">
        <f>87499+0</f>
        <v>87499</v>
      </c>
      <c r="G187" s="3">
        <v>0</v>
      </c>
      <c r="H187" s="4">
        <v>0</v>
      </c>
      <c r="L187" s="190" t="s">
        <v>232</v>
      </c>
      <c r="M187" s="29" t="s">
        <v>129</v>
      </c>
      <c r="N187" s="228" t="s">
        <v>47</v>
      </c>
    </row>
    <row r="188" spans="1:14" ht="15" customHeight="1" x14ac:dyDescent="0.25">
      <c r="B188" s="68" t="s">
        <v>23</v>
      </c>
      <c r="C188" s="59"/>
      <c r="D188" s="137">
        <v>0</v>
      </c>
      <c r="E188" s="137">
        <v>0</v>
      </c>
      <c r="F188" s="137">
        <v>0</v>
      </c>
      <c r="G188" s="137">
        <v>0</v>
      </c>
      <c r="H188" s="138">
        <v>0</v>
      </c>
      <c r="L188" s="190" t="s">
        <v>232</v>
      </c>
      <c r="M188" s="29" t="s">
        <v>129</v>
      </c>
      <c r="N188" s="228" t="s">
        <v>23</v>
      </c>
    </row>
    <row r="189" spans="1:14" ht="15" customHeight="1" x14ac:dyDescent="0.25">
      <c r="B189" s="68" t="s">
        <v>89</v>
      </c>
      <c r="C189" s="67"/>
      <c r="D189" s="191">
        <v>0</v>
      </c>
      <c r="E189" s="139">
        <v>0</v>
      </c>
      <c r="F189" s="139">
        <v>0</v>
      </c>
      <c r="G189" s="139">
        <v>0</v>
      </c>
      <c r="H189" s="140">
        <v>0</v>
      </c>
      <c r="L189" s="190" t="s">
        <v>232</v>
      </c>
      <c r="M189" s="29" t="s">
        <v>129</v>
      </c>
      <c r="N189" s="228" t="s">
        <v>89</v>
      </c>
    </row>
    <row r="190" spans="1:14" ht="15" customHeight="1" x14ac:dyDescent="0.25">
      <c r="B190" s="120" t="s">
        <v>90</v>
      </c>
      <c r="D190" s="6">
        <f>SUM(D187:D189)</f>
        <v>57197</v>
      </c>
      <c r="E190" s="6">
        <f>SUM(E187:E189)</f>
        <v>57609</v>
      </c>
      <c r="F190" s="6">
        <f>SUM(F187:F189)</f>
        <v>87499</v>
      </c>
      <c r="G190" s="6">
        <f>SUM(G187:G189)</f>
        <v>0</v>
      </c>
      <c r="H190" s="6">
        <f>SUM(H187:H189)</f>
        <v>0</v>
      </c>
      <c r="L190" s="190" t="s">
        <v>232</v>
      </c>
      <c r="M190" s="29" t="s">
        <v>129</v>
      </c>
      <c r="N190" s="228" t="s">
        <v>90</v>
      </c>
    </row>
    <row r="191" spans="1:14" ht="15" customHeight="1" x14ac:dyDescent="0.25">
      <c r="B191" s="121"/>
      <c r="D191" s="167"/>
      <c r="E191" s="167"/>
      <c r="F191" s="167"/>
      <c r="G191" s="167"/>
      <c r="H191" s="6"/>
      <c r="L191" s="190" t="s">
        <v>232</v>
      </c>
      <c r="M191" s="29" t="s">
        <v>129</v>
      </c>
    </row>
    <row r="192" spans="1:14" ht="18.75" customHeight="1" x14ac:dyDescent="0.3">
      <c r="A192" s="8" t="s">
        <v>100</v>
      </c>
      <c r="B192" s="122"/>
      <c r="D192" s="2">
        <f>D175</f>
        <v>2017</v>
      </c>
      <c r="E192" s="2">
        <f>D192+1</f>
        <v>2018</v>
      </c>
      <c r="F192" s="2">
        <f>E192+1</f>
        <v>2019</v>
      </c>
      <c r="G192" s="2">
        <f>F192+1</f>
        <v>2020</v>
      </c>
      <c r="H192" s="2">
        <f>G192+1</f>
        <v>2021</v>
      </c>
      <c r="L192" s="190" t="s">
        <v>232</v>
      </c>
      <c r="M192" s="29" t="s">
        <v>129</v>
      </c>
      <c r="N192" s="228" t="s">
        <v>100</v>
      </c>
    </row>
    <row r="193" spans="1:14" ht="15" customHeight="1" x14ac:dyDescent="0.25">
      <c r="B193" s="57" t="str">
        <f>(StartYear-1) &amp; " Surplus Applied to " &amp; StartYear</f>
        <v>2016 Surplus Applied to 2017</v>
      </c>
      <c r="C193" s="29"/>
      <c r="D193" s="186">
        <v>64389</v>
      </c>
      <c r="E193" s="187"/>
      <c r="F193" s="187"/>
      <c r="G193" s="187"/>
      <c r="H193" s="188"/>
      <c r="L193" s="190" t="s">
        <v>232</v>
      </c>
      <c r="M193" s="29" t="s">
        <v>129</v>
      </c>
      <c r="N193" s="228" t="s">
        <v>235</v>
      </c>
    </row>
    <row r="194" spans="1:14" ht="15" customHeight="1" x14ac:dyDescent="0.25">
      <c r="B194" s="57" t="str">
        <f>StartYear &amp; " Surplus Applied to " &amp; (StartYear-1)</f>
        <v>2017 Surplus Applied to 2016</v>
      </c>
      <c r="C194" s="29"/>
      <c r="D194" s="189">
        <v>0</v>
      </c>
      <c r="E194" s="113"/>
      <c r="F194" s="113"/>
      <c r="G194" s="113"/>
      <c r="H194" s="117"/>
      <c r="L194" s="190" t="s">
        <v>232</v>
      </c>
      <c r="M194" s="29" t="s">
        <v>129</v>
      </c>
      <c r="N194" s="228" t="s">
        <v>236</v>
      </c>
    </row>
    <row r="195" spans="1:14" ht="15" customHeight="1" x14ac:dyDescent="0.25">
      <c r="B195" s="57" t="str">
        <f>( StartYear) &amp; " Surplus Applied to " &amp; ( StartYear + 1 )</f>
        <v>2017 Surplus Applied to 2018</v>
      </c>
      <c r="C195" s="29"/>
      <c r="D195" s="184">
        <f ca="1">D179+D184-D190</f>
        <v>53421</v>
      </c>
      <c r="E195" s="185">
        <f ca="1">D195</f>
        <v>53421</v>
      </c>
      <c r="F195" s="181"/>
      <c r="G195" s="181"/>
      <c r="H195" s="182"/>
      <c r="L195" s="190" t="s">
        <v>232</v>
      </c>
      <c r="M195" s="29" t="s">
        <v>129</v>
      </c>
      <c r="N195" s="228" t="s">
        <v>237</v>
      </c>
    </row>
    <row r="196" spans="1:14" ht="15" customHeight="1" x14ac:dyDescent="0.25">
      <c r="B196" s="57" t="str">
        <f xml:space="preserve"> ( StartYear + 1 ) &amp; " Surplus Applied to " &amp; ( StartYear )</f>
        <v>2018 Surplus Applied to 2017</v>
      </c>
      <c r="C196" s="29"/>
      <c r="D196" s="134">
        <f>E196</f>
        <v>0</v>
      </c>
      <c r="E196" s="9">
        <v>0</v>
      </c>
      <c r="F196" s="113"/>
      <c r="G196" s="113"/>
      <c r="H196" s="117"/>
      <c r="L196" s="190" t="s">
        <v>232</v>
      </c>
      <c r="M196" s="29" t="s">
        <v>129</v>
      </c>
      <c r="N196" s="228" t="s">
        <v>238</v>
      </c>
    </row>
    <row r="197" spans="1:14" ht="15" customHeight="1" x14ac:dyDescent="0.25">
      <c r="B197" s="119" t="str">
        <f xml:space="preserve"> ( StartYear + 1 ) &amp; " Surplus Applied to " &amp; ( StartYear + 2 )</f>
        <v>2018 Surplus Applied to 2019</v>
      </c>
      <c r="C197" s="29"/>
      <c r="D197" s="114"/>
      <c r="E197" s="9">
        <f ca="1">E179+E184-E190</f>
        <v>61829</v>
      </c>
      <c r="F197" s="51">
        <f ca="1">E197</f>
        <v>61829</v>
      </c>
      <c r="G197" s="113"/>
      <c r="H197" s="117"/>
      <c r="L197" s="190" t="s">
        <v>232</v>
      </c>
      <c r="M197" s="29" t="s">
        <v>129</v>
      </c>
      <c r="N197" s="228" t="s">
        <v>239</v>
      </c>
    </row>
    <row r="198" spans="1:14" ht="15" customHeight="1" x14ac:dyDescent="0.25">
      <c r="B198" s="119" t="str">
        <f xml:space="preserve"> ( StartYear + 2 ) &amp; " Surplus Applied to " &amp; ( StartYear + 1 )</f>
        <v>2019 Surplus Applied to 2018</v>
      </c>
      <c r="C198" s="29"/>
      <c r="D198" s="114"/>
      <c r="E198" s="51">
        <f>F198</f>
        <v>0</v>
      </c>
      <c r="F198" s="9">
        <v>0</v>
      </c>
      <c r="G198" s="113"/>
      <c r="H198" s="117"/>
      <c r="L198" s="190" t="s">
        <v>232</v>
      </c>
      <c r="M198" s="29" t="s">
        <v>129</v>
      </c>
      <c r="N198" s="228" t="s">
        <v>240</v>
      </c>
    </row>
    <row r="199" spans="1:14" ht="15" customHeight="1" x14ac:dyDescent="0.25">
      <c r="B199" s="165" t="str">
        <f xml:space="preserve"> ( StartYear + 2 ) &amp; " Surplus Applied to " &amp; ( StartYear + 3 )</f>
        <v>2019 Surplus Applied to 2020</v>
      </c>
      <c r="C199" s="29"/>
      <c r="D199" s="114"/>
      <c r="E199" s="113"/>
      <c r="F199" s="9">
        <f ca="1">F179+F184-F190</f>
        <v>30152</v>
      </c>
      <c r="G199" s="51">
        <f ca="1">F199</f>
        <v>30152</v>
      </c>
      <c r="H199" s="117"/>
      <c r="L199" s="190" t="s">
        <v>232</v>
      </c>
      <c r="M199" s="29" t="s">
        <v>129</v>
      </c>
      <c r="N199" s="228" t="s">
        <v>241</v>
      </c>
    </row>
    <row r="200" spans="1:14" ht="15" customHeight="1" x14ac:dyDescent="0.25">
      <c r="B200" s="165" t="str">
        <f xml:space="preserve"> ( StartYear + 3 ) &amp; " Surplus Applied to " &amp; ( StartYear + 2 )</f>
        <v>2020 Surplus Applied to 2019</v>
      </c>
      <c r="C200" s="29"/>
      <c r="D200" s="114"/>
      <c r="E200" s="113"/>
      <c r="F200" s="51">
        <f>G200</f>
        <v>0</v>
      </c>
      <c r="G200" s="9">
        <v>0</v>
      </c>
      <c r="H200" s="117"/>
      <c r="L200" s="190" t="s">
        <v>232</v>
      </c>
      <c r="M200" s="29" t="s">
        <v>129</v>
      </c>
      <c r="N200" s="228" t="s">
        <v>242</v>
      </c>
    </row>
    <row r="201" spans="1:14" ht="15" customHeight="1" x14ac:dyDescent="0.25">
      <c r="B201" s="165" t="str">
        <f xml:space="preserve"> ( StartYear + 3 ) &amp; " Surplus Applied to " &amp; ( StartYear + 4 )</f>
        <v>2020 Surplus Applied to 2021</v>
      </c>
      <c r="C201" s="29"/>
      <c r="D201" s="114"/>
      <c r="E201" s="113"/>
      <c r="F201" s="113"/>
      <c r="G201" s="9">
        <f ca="1">G179+G184-G190</f>
        <v>139693</v>
      </c>
      <c r="H201" s="46">
        <f ca="1">G201</f>
        <v>139693</v>
      </c>
      <c r="L201" s="190" t="s">
        <v>232</v>
      </c>
      <c r="M201" s="29" t="s">
        <v>129</v>
      </c>
      <c r="N201" s="228" t="s">
        <v>243</v>
      </c>
    </row>
    <row r="202" spans="1:14" ht="15" customHeight="1" x14ac:dyDescent="0.25">
      <c r="B202" s="165" t="str">
        <f xml:space="preserve"> ( StartYear + 4 ) &amp; " Surplus Applied to " &amp; ( StartYear + 3 )</f>
        <v>2021 Surplus Applied to 2020</v>
      </c>
      <c r="C202" s="29"/>
      <c r="D202" s="115"/>
      <c r="E202" s="116"/>
      <c r="F202" s="116"/>
      <c r="G202" s="47">
        <f>H202</f>
        <v>0</v>
      </c>
      <c r="H202" s="41">
        <v>0</v>
      </c>
      <c r="L202" s="190" t="s">
        <v>232</v>
      </c>
      <c r="M202" s="29" t="s">
        <v>129</v>
      </c>
      <c r="N202" s="228" t="s">
        <v>244</v>
      </c>
    </row>
    <row r="203" spans="1:14" ht="15" customHeight="1" x14ac:dyDescent="0.25">
      <c r="B203" s="120" t="s">
        <v>17</v>
      </c>
      <c r="D203" s="6">
        <f ca="1">D193-D194+D196-D195</f>
        <v>10968</v>
      </c>
      <c r="E203" s="6">
        <f ca="1">E195+E198-E196-E197</f>
        <v>-8408</v>
      </c>
      <c r="F203" s="6">
        <f ca="1">F197+F200-F198-F199</f>
        <v>31677</v>
      </c>
      <c r="G203" s="6">
        <f ca="1">G199+G202-G200-G201</f>
        <v>-109541</v>
      </c>
      <c r="H203" s="6">
        <f ca="1">H201 - H202</f>
        <v>139693</v>
      </c>
      <c r="L203" s="190" t="s">
        <v>232</v>
      </c>
      <c r="M203" s="29" t="s">
        <v>129</v>
      </c>
      <c r="N203" s="228" t="s">
        <v>17</v>
      </c>
    </row>
    <row r="204" spans="1:14" ht="15" customHeight="1" x14ac:dyDescent="0.25">
      <c r="B204" s="121"/>
      <c r="D204" s="6"/>
      <c r="E204" s="6"/>
      <c r="F204" s="6"/>
      <c r="G204" s="6"/>
      <c r="H204" s="6"/>
      <c r="L204" s="190" t="s">
        <v>232</v>
      </c>
      <c r="M204" s="29" t="s">
        <v>129</v>
      </c>
    </row>
    <row r="205" spans="1:14" ht="15" customHeight="1" x14ac:dyDescent="0.25">
      <c r="B205" s="54" t="s">
        <v>12</v>
      </c>
      <c r="C205" s="52"/>
      <c r="D205" s="75">
        <v>0</v>
      </c>
      <c r="E205" s="111">
        <v>0</v>
      </c>
      <c r="F205" s="111">
        <v>0</v>
      </c>
      <c r="G205" s="111">
        <v>0</v>
      </c>
      <c r="H205" s="76">
        <v>0</v>
      </c>
      <c r="L205" s="190" t="s">
        <v>232</v>
      </c>
      <c r="M205" s="29" t="s">
        <v>129</v>
      </c>
      <c r="N205" s="228" t="s">
        <v>12</v>
      </c>
    </row>
    <row r="206" spans="1:14" ht="15" customHeight="1" x14ac:dyDescent="0.25">
      <c r="B206" s="121"/>
      <c r="D206" s="6"/>
      <c r="E206" s="6"/>
      <c r="F206" s="6"/>
      <c r="G206" s="6"/>
      <c r="H206" s="6"/>
      <c r="L206" s="190" t="s">
        <v>232</v>
      </c>
      <c r="M206" s="29" t="s">
        <v>129</v>
      </c>
    </row>
    <row r="207" spans="1:14" ht="18.75" customHeight="1" x14ac:dyDescent="0.3">
      <c r="A207" s="38" t="s">
        <v>26</v>
      </c>
      <c r="B207" s="122"/>
      <c r="C207" s="52">
        <f>A173</f>
        <v>4</v>
      </c>
      <c r="D207" s="112">
        <f ca="1">D179+D184-D190+D203+D205</f>
        <v>64389</v>
      </c>
      <c r="E207" s="112">
        <f ca="1">E179+E184-E190+E203+E205</f>
        <v>53421</v>
      </c>
      <c r="F207" s="112">
        <f ca="1">F179+F184-F190+F203+F205</f>
        <v>61829</v>
      </c>
      <c r="G207" s="112">
        <f ca="1">G179+G184-G190+G203+G205</f>
        <v>30152</v>
      </c>
      <c r="H207" s="174">
        <f ca="1">H179+H184-H190+H203+H205</f>
        <v>276318</v>
      </c>
      <c r="L207" s="190" t="s">
        <v>232</v>
      </c>
      <c r="M207" s="29" t="s">
        <v>129</v>
      </c>
      <c r="N207" s="228" t="s">
        <v>26</v>
      </c>
    </row>
    <row r="208" spans="1:14" ht="15" customHeight="1" x14ac:dyDescent="0.25">
      <c r="B208" s="121"/>
      <c r="C208" s="129" t="s">
        <v>158</v>
      </c>
      <c r="D208" s="6">
        <v>64389</v>
      </c>
      <c r="E208" s="28">
        <v>53421</v>
      </c>
      <c r="F208" s="28">
        <v>61829</v>
      </c>
      <c r="G208" s="28"/>
      <c r="H208" s="28"/>
      <c r="L208" s="190" t="s">
        <v>232</v>
      </c>
      <c r="M208" s="29" t="s">
        <v>129</v>
      </c>
      <c r="N208" s="228" t="s">
        <v>158</v>
      </c>
    </row>
    <row r="209" spans="1:14" ht="15" customHeight="1" x14ac:dyDescent="0.25">
      <c r="B209" s="121"/>
      <c r="D209" s="6"/>
      <c r="E209" s="6"/>
      <c r="F209" s="28"/>
      <c r="G209" s="28"/>
      <c r="H209" s="28"/>
      <c r="L209" s="190" t="s">
        <v>232</v>
      </c>
      <c r="M209" s="29" t="s">
        <v>129</v>
      </c>
      <c r="N209" s="228" t="s">
        <v>174</v>
      </c>
    </row>
    <row r="210" spans="1:14" ht="15" customHeight="1" x14ac:dyDescent="0.25">
      <c r="B210" s="22"/>
      <c r="C210" s="29"/>
      <c r="D210" s="29"/>
      <c r="E210" s="29"/>
      <c r="F210" s="29"/>
      <c r="G210" s="29"/>
      <c r="H210" s="29"/>
      <c r="L210" s="190" t="s">
        <v>232</v>
      </c>
      <c r="M210" s="29" t="s">
        <v>129</v>
      </c>
    </row>
    <row r="211" spans="1:14" ht="21" customHeight="1" x14ac:dyDescent="0.35">
      <c r="A211" s="12">
        <f>MAX(A$1:A210)+1</f>
        <v>5</v>
      </c>
      <c r="B211" s="123"/>
      <c r="C211" s="214" t="str">
        <f ca="1">OFFSET($B$4,A211-1,0)</f>
        <v>Lower Snake River - Dodge Junction</v>
      </c>
      <c r="D211" s="215"/>
      <c r="E211" s="216"/>
      <c r="F211" s="216"/>
      <c r="G211" s="217"/>
      <c r="H211" s="218"/>
      <c r="L211" s="190" t="s">
        <v>232</v>
      </c>
      <c r="M211" s="29" t="s">
        <v>139</v>
      </c>
      <c r="N211" s="228">
        <v>5</v>
      </c>
    </row>
    <row r="212" spans="1:14" ht="15" customHeight="1" x14ac:dyDescent="0.25">
      <c r="B212" s="122"/>
      <c r="C212" s="1" t="str">
        <f ca="1">VLOOKUP(C211,Facilities,3,FALSE)</f>
        <v>PSE owned</v>
      </c>
      <c r="D212" s="1"/>
      <c r="L212" s="190" t="s">
        <v>232</v>
      </c>
      <c r="M212" s="29" t="s">
        <v>139</v>
      </c>
      <c r="N212" s="228" t="s">
        <v>179</v>
      </c>
    </row>
    <row r="213" spans="1:14" ht="18.75" customHeight="1" x14ac:dyDescent="0.3">
      <c r="A213" s="8" t="s">
        <v>21</v>
      </c>
      <c r="B213" s="124"/>
      <c r="D213" s="2">
        <f>D366</f>
        <v>2017</v>
      </c>
      <c r="E213" s="2">
        <f>D213+1</f>
        <v>2018</v>
      </c>
      <c r="F213" s="118">
        <f>E213+1</f>
        <v>2019</v>
      </c>
      <c r="G213" s="118">
        <f>F213+1</f>
        <v>2020</v>
      </c>
      <c r="H213" s="118">
        <f>G213+1</f>
        <v>2021</v>
      </c>
      <c r="L213" s="190" t="s">
        <v>232</v>
      </c>
      <c r="M213" s="29" t="s">
        <v>139</v>
      </c>
      <c r="N213" s="228" t="s">
        <v>21</v>
      </c>
    </row>
    <row r="214" spans="1:14" ht="15" customHeight="1" x14ac:dyDescent="0.25">
      <c r="B214" s="119" t="str">
        <f ca="1">IF(C250&lt;&gt;"REC only","Total MWh ","")&amp;IF(C212="PSE owned","Produced","Purchased")&amp;" from "&amp;C211</f>
        <v>Total MWh Produced from Lower Snake River - Dodge Junction</v>
      </c>
      <c r="C214" s="52"/>
      <c r="D214" s="3">
        <v>413806</v>
      </c>
      <c r="E214" s="3">
        <v>508243</v>
      </c>
      <c r="F214" s="3">
        <v>412098</v>
      </c>
      <c r="G214" s="3">
        <v>564293</v>
      </c>
      <c r="H214" s="4">
        <f>ROUND(849542*G214/SUM(G214,G252),0)</f>
        <v>494914</v>
      </c>
      <c r="J214" s="232"/>
      <c r="K214" s="30"/>
      <c r="L214" s="190" t="s">
        <v>232</v>
      </c>
      <c r="M214" s="29" t="s">
        <v>139</v>
      </c>
      <c r="N214" s="228" t="s">
        <v>248</v>
      </c>
    </row>
    <row r="215" spans="1:14" ht="15" customHeight="1" x14ac:dyDescent="0.25">
      <c r="B215" s="119" t="s">
        <v>25</v>
      </c>
      <c r="C215" s="52"/>
      <c r="D215" s="132">
        <v>1</v>
      </c>
      <c r="E215" s="132">
        <v>1</v>
      </c>
      <c r="F215" s="132">
        <v>1</v>
      </c>
      <c r="G215" s="132">
        <v>1</v>
      </c>
      <c r="H215" s="133">
        <v>1</v>
      </c>
      <c r="J215" s="232"/>
      <c r="K215" s="30"/>
      <c r="L215" s="190" t="s">
        <v>232</v>
      </c>
      <c r="M215" s="29" t="s">
        <v>139</v>
      </c>
      <c r="N215" s="228" t="s">
        <v>25</v>
      </c>
    </row>
    <row r="216" spans="1:14" ht="15" customHeight="1" x14ac:dyDescent="0.25">
      <c r="B216" s="119" t="s">
        <v>20</v>
      </c>
      <c r="C216" s="52"/>
      <c r="D216" s="42">
        <v>1</v>
      </c>
      <c r="E216" s="42">
        <v>1</v>
      </c>
      <c r="F216" s="42">
        <v>1</v>
      </c>
      <c r="G216" s="42">
        <v>1</v>
      </c>
      <c r="H216" s="43">
        <v>1</v>
      </c>
      <c r="J216" s="232"/>
      <c r="K216" s="30"/>
      <c r="L216" s="190" t="s">
        <v>232</v>
      </c>
      <c r="M216" s="29" t="s">
        <v>139</v>
      </c>
      <c r="N216" s="228" t="s">
        <v>20</v>
      </c>
    </row>
    <row r="217" spans="1:14" ht="15" customHeight="1" x14ac:dyDescent="0.25">
      <c r="B217" s="54" t="s">
        <v>22</v>
      </c>
      <c r="C217" s="55"/>
      <c r="D217" s="131">
        <f xml:space="preserve"> D214 * D215 * D216</f>
        <v>413806</v>
      </c>
      <c r="E217" s="131">
        <f xml:space="preserve"> E214 * E215 * E216</f>
        <v>508243</v>
      </c>
      <c r="F217" s="131">
        <f xml:space="preserve"> F214 * F215 * F216</f>
        <v>412098</v>
      </c>
      <c r="G217" s="131">
        <f xml:space="preserve"> G214 * G215 * G216</f>
        <v>564293</v>
      </c>
      <c r="H217" s="131">
        <f xml:space="preserve"> H214 * H215 * H216</f>
        <v>494914</v>
      </c>
      <c r="K217" s="30"/>
      <c r="L217" s="190" t="s">
        <v>232</v>
      </c>
      <c r="M217" s="29" t="s">
        <v>139</v>
      </c>
      <c r="N217" s="228" t="s">
        <v>22</v>
      </c>
    </row>
    <row r="218" spans="1:14" ht="15" customHeight="1" x14ac:dyDescent="0.25">
      <c r="B218" s="22"/>
      <c r="C218" s="29"/>
      <c r="D218" s="168"/>
      <c r="E218" s="168"/>
      <c r="F218" s="168"/>
      <c r="G218" s="167"/>
      <c r="H218" s="36"/>
      <c r="L218" s="190" t="s">
        <v>232</v>
      </c>
      <c r="M218" s="29" t="s">
        <v>139</v>
      </c>
    </row>
    <row r="219" spans="1:14" ht="18.75" customHeight="1" x14ac:dyDescent="0.3">
      <c r="A219" s="39" t="s">
        <v>119</v>
      </c>
      <c r="B219" s="122"/>
      <c r="C219" s="29"/>
      <c r="D219" s="2">
        <f>D213</f>
        <v>2017</v>
      </c>
      <c r="E219" s="2">
        <f>D219+1</f>
        <v>2018</v>
      </c>
      <c r="F219" s="2">
        <f>E219+1</f>
        <v>2019</v>
      </c>
      <c r="G219" s="2">
        <f>F219+1</f>
        <v>2020</v>
      </c>
      <c r="H219" s="2">
        <f>G219+1</f>
        <v>2021</v>
      </c>
      <c r="I219" s="172"/>
      <c r="K219" s="230"/>
      <c r="L219" s="190" t="s">
        <v>232</v>
      </c>
      <c r="M219" s="29" t="s">
        <v>139</v>
      </c>
      <c r="N219" s="228" t="s">
        <v>119</v>
      </c>
    </row>
    <row r="220" spans="1:14" x14ac:dyDescent="0.25">
      <c r="B220" s="119" t="s">
        <v>10</v>
      </c>
      <c r="C220" s="52"/>
      <c r="D220" s="10">
        <f ca="1">IF(VLOOKUP($C211,Facilities,5,FALSE)="Eligible", D217*ApprenticeshipBonus, 0 )</f>
        <v>82761.200000000012</v>
      </c>
      <c r="E220" s="109">
        <f ca="1">IF(VLOOKUP($C211,Facilities,5,FALSE)="Eligible", E217*ApprenticeshipBonus, 0 )</f>
        <v>101648.6</v>
      </c>
      <c r="F220" s="109">
        <f ca="1">IF(VLOOKUP($C211,Facilities,5,FALSE)="Eligible", F217*ApprenticeshipBonus, 0 )</f>
        <v>82419.600000000006</v>
      </c>
      <c r="G220" s="109">
        <f ca="1">IF(VLOOKUP($C211,Facilities,5,FALSE)="Eligible", G217*ApprenticeshipBonus, 0 )</f>
        <v>112858.6</v>
      </c>
      <c r="H220" s="11">
        <f ca="1">ROUND(IF(VLOOKUP($C211,Facilities,5,FALSE)="Eligible", H217*ApprenticeshipBonus, 0 ),0)</f>
        <v>98983</v>
      </c>
      <c r="K220" s="230"/>
      <c r="L220" s="190" t="s">
        <v>232</v>
      </c>
      <c r="M220" s="29" t="s">
        <v>139</v>
      </c>
      <c r="N220" s="228" t="s">
        <v>10</v>
      </c>
    </row>
    <row r="221" spans="1:14" ht="15" customHeight="1" x14ac:dyDescent="0.25">
      <c r="B221" s="119" t="s">
        <v>6</v>
      </c>
      <c r="C221" s="52"/>
      <c r="D221" s="44">
        <f ca="1">IF(VLOOKUP($C211,Facilities,6,FALSE)="Eligible", D217, 0 )</f>
        <v>0</v>
      </c>
      <c r="E221" s="110">
        <f ca="1">IF(VLOOKUP($C211,Facilities,6,FALSE)="Eligible", E217, 0 )</f>
        <v>0</v>
      </c>
      <c r="F221" s="110">
        <f ca="1">IF(VLOOKUP($C211,Facilities,6,FALSE)="Eligible", F217, 0 )</f>
        <v>0</v>
      </c>
      <c r="G221" s="110">
        <f ca="1">IF(VLOOKUP($C211,Facilities,6,FALSE)="Eligible", G217, 0 )</f>
        <v>0</v>
      </c>
      <c r="H221" s="45">
        <f ca="1">IF(VLOOKUP($C211,Facilities,6,FALSE)="Eligible", H217, 0 )</f>
        <v>0</v>
      </c>
      <c r="K221" s="230"/>
      <c r="L221" s="190" t="s">
        <v>232</v>
      </c>
      <c r="M221" s="29" t="s">
        <v>139</v>
      </c>
      <c r="N221" s="228" t="s">
        <v>6</v>
      </c>
    </row>
    <row r="222" spans="1:14" ht="15" customHeight="1" x14ac:dyDescent="0.25">
      <c r="B222" s="54" t="s">
        <v>121</v>
      </c>
      <c r="C222" s="55"/>
      <c r="D222" s="37">
        <f ca="1">SUM(D220:D221)</f>
        <v>82761.200000000012</v>
      </c>
      <c r="E222" s="37">
        <f ca="1">SUM(E220:E221)</f>
        <v>101648.6</v>
      </c>
      <c r="F222" s="37">
        <f ca="1">SUM(F220:F221)</f>
        <v>82419.600000000006</v>
      </c>
      <c r="G222" s="37">
        <f ca="1">SUM(G220:G221)</f>
        <v>112858.6</v>
      </c>
      <c r="H222" s="37">
        <f ca="1">SUM(H220:H221)</f>
        <v>98983</v>
      </c>
      <c r="K222" s="230"/>
      <c r="L222" s="190" t="s">
        <v>232</v>
      </c>
      <c r="M222" s="29" t="s">
        <v>139</v>
      </c>
      <c r="N222" s="228" t="s">
        <v>121</v>
      </c>
    </row>
    <row r="223" spans="1:14" ht="15" customHeight="1" x14ac:dyDescent="0.25">
      <c r="B223" s="22"/>
      <c r="C223" s="29"/>
      <c r="D223" s="169"/>
      <c r="E223" s="169"/>
      <c r="F223" s="169"/>
      <c r="G223" s="169"/>
      <c r="H223" s="30"/>
      <c r="K223" s="230"/>
      <c r="L223" s="190" t="s">
        <v>232</v>
      </c>
      <c r="M223" s="29" t="s">
        <v>139</v>
      </c>
    </row>
    <row r="224" spans="1:14" ht="18.75" customHeight="1" x14ac:dyDescent="0.3">
      <c r="A224" s="38" t="s">
        <v>30</v>
      </c>
      <c r="B224" s="122"/>
      <c r="C224" s="29"/>
      <c r="D224" s="2">
        <f>D213</f>
        <v>2017</v>
      </c>
      <c r="E224" s="2">
        <f>D224+1</f>
        <v>2018</v>
      </c>
      <c r="F224" s="2">
        <f>E224+1</f>
        <v>2019</v>
      </c>
      <c r="G224" s="2">
        <f>F224+1</f>
        <v>2020</v>
      </c>
      <c r="H224" s="2">
        <f>G224+1</f>
        <v>2021</v>
      </c>
      <c r="K224" s="230"/>
      <c r="L224" s="190" t="s">
        <v>232</v>
      </c>
      <c r="M224" s="29" t="s">
        <v>139</v>
      </c>
      <c r="N224" s="228" t="s">
        <v>30</v>
      </c>
    </row>
    <row r="225" spans="1:14" ht="15" customHeight="1" x14ac:dyDescent="0.25">
      <c r="B225" s="119" t="s">
        <v>47</v>
      </c>
      <c r="C225" s="52"/>
      <c r="D225" s="3">
        <v>0</v>
      </c>
      <c r="E225" s="3">
        <v>0</v>
      </c>
      <c r="F225" s="3">
        <v>0</v>
      </c>
      <c r="G225" s="3">
        <v>0</v>
      </c>
      <c r="H225" s="4">
        <v>0</v>
      </c>
      <c r="K225" s="230"/>
      <c r="L225" s="190" t="s">
        <v>232</v>
      </c>
      <c r="M225" s="29" t="s">
        <v>139</v>
      </c>
      <c r="N225" s="228" t="s">
        <v>47</v>
      </c>
    </row>
    <row r="226" spans="1:14" ht="15" customHeight="1" x14ac:dyDescent="0.25">
      <c r="B226" s="68" t="s">
        <v>23</v>
      </c>
      <c r="C226" s="59"/>
      <c r="D226" s="137">
        <v>0</v>
      </c>
      <c r="E226" s="137">
        <v>0</v>
      </c>
      <c r="F226" s="137">
        <v>0</v>
      </c>
      <c r="G226" s="137">
        <v>0</v>
      </c>
      <c r="H226" s="138">
        <v>0</v>
      </c>
      <c r="K226" s="230"/>
      <c r="L226" s="190" t="s">
        <v>232</v>
      </c>
      <c r="M226" s="29" t="s">
        <v>139</v>
      </c>
      <c r="N226" s="228" t="s">
        <v>23</v>
      </c>
    </row>
    <row r="227" spans="1:14" ht="15" customHeight="1" x14ac:dyDescent="0.25">
      <c r="B227" s="68" t="s">
        <v>89</v>
      </c>
      <c r="C227" s="67"/>
      <c r="D227" s="191">
        <f>D225*0.2</f>
        <v>0</v>
      </c>
      <c r="E227" s="139">
        <f>E225*0.2</f>
        <v>0</v>
      </c>
      <c r="F227" s="139">
        <f>F225*0.2</f>
        <v>0</v>
      </c>
      <c r="G227" s="139">
        <f>G225*0.2</f>
        <v>0</v>
      </c>
      <c r="H227" s="140">
        <f>H225*0.2</f>
        <v>0</v>
      </c>
      <c r="K227" s="230"/>
      <c r="L227" s="190" t="s">
        <v>232</v>
      </c>
      <c r="M227" s="29" t="s">
        <v>139</v>
      </c>
      <c r="N227" s="228" t="s">
        <v>89</v>
      </c>
    </row>
    <row r="228" spans="1:14" ht="15" customHeight="1" x14ac:dyDescent="0.25">
      <c r="B228" s="120" t="s">
        <v>90</v>
      </c>
      <c r="D228" s="6">
        <f>SUM(D225:D227)</f>
        <v>0</v>
      </c>
      <c r="E228" s="6">
        <f>SUM(E225:E227)</f>
        <v>0</v>
      </c>
      <c r="F228" s="6">
        <f>SUM(F225:F227)</f>
        <v>0</v>
      </c>
      <c r="G228" s="6">
        <f>SUM(G225:G227)</f>
        <v>0</v>
      </c>
      <c r="H228" s="6">
        <f>SUM(H225:H227)</f>
        <v>0</v>
      </c>
      <c r="K228" s="230"/>
      <c r="L228" s="190" t="s">
        <v>232</v>
      </c>
      <c r="M228" s="29" t="s">
        <v>139</v>
      </c>
      <c r="N228" s="228" t="s">
        <v>90</v>
      </c>
    </row>
    <row r="229" spans="1:14" ht="15" customHeight="1" x14ac:dyDescent="0.25">
      <c r="B229" s="121"/>
      <c r="D229" s="167"/>
      <c r="E229" s="167"/>
      <c r="F229" s="167"/>
      <c r="G229" s="167"/>
      <c r="H229" s="6"/>
      <c r="K229" s="230"/>
      <c r="L229" s="190" t="s">
        <v>232</v>
      </c>
      <c r="M229" s="29" t="s">
        <v>139</v>
      </c>
    </row>
    <row r="230" spans="1:14" ht="18.75" customHeight="1" x14ac:dyDescent="0.3">
      <c r="A230" s="8" t="s">
        <v>100</v>
      </c>
      <c r="B230" s="122"/>
      <c r="D230" s="2">
        <f>D213</f>
        <v>2017</v>
      </c>
      <c r="E230" s="2">
        <f>D230+1</f>
        <v>2018</v>
      </c>
      <c r="F230" s="2">
        <f>E230+1</f>
        <v>2019</v>
      </c>
      <c r="G230" s="2">
        <f>F230+1</f>
        <v>2020</v>
      </c>
      <c r="H230" s="2">
        <f>G230+1</f>
        <v>2021</v>
      </c>
      <c r="K230" s="230"/>
      <c r="L230" s="190" t="s">
        <v>232</v>
      </c>
      <c r="M230" s="29" t="s">
        <v>139</v>
      </c>
      <c r="N230" s="228" t="s">
        <v>100</v>
      </c>
    </row>
    <row r="231" spans="1:14" ht="15" customHeight="1" x14ac:dyDescent="0.25">
      <c r="B231" s="57" t="str">
        <f>(StartYear-1) &amp; " Surplus Applied to " &amp; StartYear</f>
        <v>2016 Surplus Applied to 2017</v>
      </c>
      <c r="C231" s="29"/>
      <c r="D231" s="186">
        <v>600880.80000000005</v>
      </c>
      <c r="E231" s="187"/>
      <c r="F231" s="187"/>
      <c r="G231" s="187"/>
      <c r="H231" s="188"/>
      <c r="K231" s="230"/>
      <c r="L231" s="190" t="s">
        <v>232</v>
      </c>
      <c r="M231" s="29" t="s">
        <v>139</v>
      </c>
      <c r="N231" s="228" t="s">
        <v>235</v>
      </c>
    </row>
    <row r="232" spans="1:14" ht="15" customHeight="1" x14ac:dyDescent="0.25">
      <c r="B232" s="57" t="str">
        <f>StartYear &amp; " Surplus Applied to " &amp; (StartYear-1)</f>
        <v>2017 Surplus Applied to 2016</v>
      </c>
      <c r="C232" s="29"/>
      <c r="D232" s="189">
        <v>0</v>
      </c>
      <c r="E232" s="113"/>
      <c r="F232" s="113"/>
      <c r="G232" s="113"/>
      <c r="H232" s="117"/>
      <c r="K232" s="230"/>
      <c r="L232" s="190" t="s">
        <v>232</v>
      </c>
      <c r="M232" s="29" t="s">
        <v>139</v>
      </c>
      <c r="N232" s="228" t="s">
        <v>236</v>
      </c>
    </row>
    <row r="233" spans="1:14" ht="15" customHeight="1" x14ac:dyDescent="0.25">
      <c r="B233" s="57" t="str">
        <f>( StartYear) &amp; " Surplus Applied to " &amp; ( StartYear + 1 )</f>
        <v>2017 Surplus Applied to 2018</v>
      </c>
      <c r="C233" s="29"/>
      <c r="D233" s="184">
        <f ca="1">D217+D222-D228</f>
        <v>496567.2</v>
      </c>
      <c r="E233" s="185">
        <f ca="1">D233</f>
        <v>496567.2</v>
      </c>
      <c r="F233" s="181"/>
      <c r="G233" s="181"/>
      <c r="H233" s="182"/>
      <c r="K233" s="230"/>
      <c r="L233" s="190" t="s">
        <v>232</v>
      </c>
      <c r="M233" s="29" t="s">
        <v>139</v>
      </c>
      <c r="N233" s="228" t="s">
        <v>237</v>
      </c>
    </row>
    <row r="234" spans="1:14" ht="15" customHeight="1" x14ac:dyDescent="0.25">
      <c r="B234" s="57" t="str">
        <f xml:space="preserve"> ( StartYear + 1 ) &amp; " Surplus Applied to " &amp; ( StartYear )</f>
        <v>2018 Surplus Applied to 2017</v>
      </c>
      <c r="C234" s="29"/>
      <c r="D234" s="134">
        <f>E234</f>
        <v>0</v>
      </c>
      <c r="E234" s="9">
        <v>0</v>
      </c>
      <c r="F234" s="113"/>
      <c r="G234" s="113"/>
      <c r="H234" s="117"/>
      <c r="K234" s="230"/>
      <c r="L234" s="190" t="s">
        <v>232</v>
      </c>
      <c r="M234" s="29" t="s">
        <v>139</v>
      </c>
      <c r="N234" s="228" t="s">
        <v>238</v>
      </c>
    </row>
    <row r="235" spans="1:14" ht="15" customHeight="1" x14ac:dyDescent="0.25">
      <c r="B235" s="119" t="str">
        <f xml:space="preserve"> ( StartYear + 1 ) &amp; " Surplus Applied to " &amp; ( StartYear + 2 )</f>
        <v>2018 Surplus Applied to 2019</v>
      </c>
      <c r="C235" s="29"/>
      <c r="D235" s="114"/>
      <c r="E235" s="9">
        <f ca="1">E217+E222-E228</f>
        <v>609891.6</v>
      </c>
      <c r="F235" s="51">
        <f ca="1">E235</f>
        <v>609891.6</v>
      </c>
      <c r="G235" s="113"/>
      <c r="H235" s="117"/>
      <c r="K235" s="230"/>
      <c r="L235" s="190" t="s">
        <v>232</v>
      </c>
      <c r="M235" s="29" t="s">
        <v>139</v>
      </c>
      <c r="N235" s="228" t="s">
        <v>239</v>
      </c>
    </row>
    <row r="236" spans="1:14" ht="15" customHeight="1" x14ac:dyDescent="0.25">
      <c r="B236" s="119" t="str">
        <f xml:space="preserve"> ( StartYear + 2 ) &amp; " Surplus Applied to " &amp; ( StartYear + 1 )</f>
        <v>2019 Surplus Applied to 2018</v>
      </c>
      <c r="C236" s="29"/>
      <c r="D236" s="114"/>
      <c r="E236" s="51">
        <v>0</v>
      </c>
      <c r="F236" s="9">
        <v>0</v>
      </c>
      <c r="G236" s="113"/>
      <c r="H236" s="117"/>
      <c r="K236" s="230"/>
      <c r="L236" s="190" t="s">
        <v>232</v>
      </c>
      <c r="M236" s="29" t="s">
        <v>139</v>
      </c>
      <c r="N236" s="228" t="s">
        <v>240</v>
      </c>
    </row>
    <row r="237" spans="1:14" ht="15" customHeight="1" x14ac:dyDescent="0.25">
      <c r="B237" s="165" t="str">
        <f xml:space="preserve"> ( StartYear + 2 ) &amp; " Surplus Applied to " &amp; ( StartYear + 3 )</f>
        <v>2019 Surplus Applied to 2020</v>
      </c>
      <c r="C237" s="29"/>
      <c r="D237" s="114"/>
      <c r="E237" s="113"/>
      <c r="F237" s="9">
        <f ca="1">F217+F222-F228</f>
        <v>494517.6</v>
      </c>
      <c r="G237" s="51">
        <f ca="1">F237</f>
        <v>494517.6</v>
      </c>
      <c r="H237" s="117"/>
      <c r="K237" s="230"/>
      <c r="L237" s="190" t="s">
        <v>232</v>
      </c>
      <c r="M237" s="29" t="s">
        <v>139</v>
      </c>
      <c r="N237" s="228" t="s">
        <v>241</v>
      </c>
    </row>
    <row r="238" spans="1:14" ht="15" customHeight="1" x14ac:dyDescent="0.25">
      <c r="B238" s="165" t="str">
        <f xml:space="preserve"> ( StartYear + 3 ) &amp; " Surplus Applied to " &amp; ( StartYear + 2 )</f>
        <v>2020 Surplus Applied to 2019</v>
      </c>
      <c r="C238" s="29"/>
      <c r="D238" s="114"/>
      <c r="E238" s="113"/>
      <c r="F238" s="51">
        <v>0</v>
      </c>
      <c r="G238" s="9">
        <v>0</v>
      </c>
      <c r="H238" s="117"/>
      <c r="K238" s="230"/>
      <c r="L238" s="190" t="s">
        <v>232</v>
      </c>
      <c r="M238" s="29" t="s">
        <v>139</v>
      </c>
      <c r="N238" s="228" t="s">
        <v>242</v>
      </c>
    </row>
    <row r="239" spans="1:14" ht="15" customHeight="1" x14ac:dyDescent="0.25">
      <c r="B239" s="165" t="str">
        <f xml:space="preserve"> ( StartYear + 3 ) &amp; " Surplus Applied to " &amp; ( StartYear + 4 )</f>
        <v>2020 Surplus Applied to 2021</v>
      </c>
      <c r="C239" s="29"/>
      <c r="D239" s="114"/>
      <c r="E239" s="113"/>
      <c r="F239" s="113"/>
      <c r="G239" s="9">
        <f ca="1">G217+G222-G228</f>
        <v>677151.6</v>
      </c>
      <c r="H239" s="46">
        <f ca="1">ROUND(G239,0)</f>
        <v>677152</v>
      </c>
      <c r="K239" s="230"/>
      <c r="L239" s="190" t="s">
        <v>232</v>
      </c>
      <c r="M239" s="29" t="s">
        <v>139</v>
      </c>
      <c r="N239" s="228" t="s">
        <v>243</v>
      </c>
    </row>
    <row r="240" spans="1:14" ht="15" customHeight="1" x14ac:dyDescent="0.25">
      <c r="B240" s="165" t="str">
        <f xml:space="preserve"> ( StartYear + 4 ) &amp; " Surplus Applied to " &amp; ( StartYear + 3 )</f>
        <v>2021 Surplus Applied to 2020</v>
      </c>
      <c r="C240" s="29"/>
      <c r="D240" s="115"/>
      <c r="E240" s="116"/>
      <c r="F240" s="116"/>
      <c r="G240" s="47">
        <v>0</v>
      </c>
      <c r="H240" s="41">
        <v>0</v>
      </c>
      <c r="K240" s="230"/>
      <c r="L240" s="190" t="s">
        <v>232</v>
      </c>
      <c r="M240" s="29" t="s">
        <v>139</v>
      </c>
      <c r="N240" s="228" t="s">
        <v>244</v>
      </c>
    </row>
    <row r="241" spans="1:14" ht="15" customHeight="1" x14ac:dyDescent="0.25">
      <c r="B241" s="120" t="s">
        <v>17</v>
      </c>
      <c r="D241" s="6">
        <f ca="1">D231-D232+D234-D233</f>
        <v>104313.60000000003</v>
      </c>
      <c r="E241" s="6">
        <f ca="1">E233+E236-E234-E235</f>
        <v>-113324.39999999997</v>
      </c>
      <c r="F241" s="6">
        <f ca="1">F235+F238-F236-F237</f>
        <v>115374</v>
      </c>
      <c r="G241" s="6">
        <f ca="1">G237+G240-G238-G239</f>
        <v>-182634</v>
      </c>
      <c r="H241" s="6">
        <f ca="1">H239 - H240</f>
        <v>677152</v>
      </c>
      <c r="K241" s="230"/>
      <c r="L241" s="190" t="s">
        <v>232</v>
      </c>
      <c r="M241" s="29" t="s">
        <v>139</v>
      </c>
      <c r="N241" s="228" t="s">
        <v>17</v>
      </c>
    </row>
    <row r="242" spans="1:14" ht="15" customHeight="1" x14ac:dyDescent="0.25">
      <c r="B242" s="121"/>
      <c r="D242" s="6"/>
      <c r="E242" s="6"/>
      <c r="F242" s="6"/>
      <c r="G242" s="6"/>
      <c r="H242" s="6"/>
      <c r="K242" s="230"/>
      <c r="L242" s="190" t="s">
        <v>232</v>
      </c>
      <c r="M242" s="29" t="s">
        <v>139</v>
      </c>
    </row>
    <row r="243" spans="1:14" ht="15" customHeight="1" x14ac:dyDescent="0.25">
      <c r="B243" s="54" t="s">
        <v>12</v>
      </c>
      <c r="C243" s="52"/>
      <c r="D243" s="75">
        <v>0</v>
      </c>
      <c r="E243" s="111">
        <v>0</v>
      </c>
      <c r="F243" s="111">
        <v>0</v>
      </c>
      <c r="G243" s="111">
        <v>0</v>
      </c>
      <c r="H243" s="76">
        <v>0</v>
      </c>
      <c r="K243" s="230"/>
      <c r="L243" s="190" t="s">
        <v>232</v>
      </c>
      <c r="M243" s="29" t="s">
        <v>139</v>
      </c>
      <c r="N243" s="228" t="s">
        <v>12</v>
      </c>
    </row>
    <row r="244" spans="1:14" ht="15" customHeight="1" x14ac:dyDescent="0.25">
      <c r="B244" s="121"/>
      <c r="D244" s="6"/>
      <c r="E244" s="6"/>
      <c r="F244" s="6"/>
      <c r="G244" s="6"/>
      <c r="H244" s="6"/>
      <c r="K244" s="230"/>
      <c r="L244" s="190" t="s">
        <v>232</v>
      </c>
      <c r="M244" s="29" t="s">
        <v>139</v>
      </c>
    </row>
    <row r="245" spans="1:14" ht="18.75" customHeight="1" x14ac:dyDescent="0.3">
      <c r="A245" s="38" t="s">
        <v>26</v>
      </c>
      <c r="B245" s="122"/>
      <c r="C245" s="52">
        <f>A211</f>
        <v>5</v>
      </c>
      <c r="D245" s="112">
        <f ca="1">D217+D222-D228+D241+D243</f>
        <v>600880.80000000005</v>
      </c>
      <c r="E245" s="112">
        <f ca="1">E217+E222-E228+E241+E243</f>
        <v>496567.2</v>
      </c>
      <c r="F245" s="112">
        <f ca="1">F217+F222-F228+F241+F243</f>
        <v>609891.6</v>
      </c>
      <c r="G245" s="112">
        <f ca="1">G217+G222-G228+G241+G243</f>
        <v>494517.6</v>
      </c>
      <c r="H245" s="174">
        <f ca="1">H217+H222-H228+H241+H243</f>
        <v>1271049</v>
      </c>
      <c r="K245" s="230"/>
      <c r="L245" s="190" t="s">
        <v>232</v>
      </c>
      <c r="M245" s="29" t="s">
        <v>139</v>
      </c>
      <c r="N245" s="228" t="s">
        <v>26</v>
      </c>
    </row>
    <row r="246" spans="1:14" ht="15" customHeight="1" x14ac:dyDescent="0.25">
      <c r="B246" s="121"/>
      <c r="C246" s="129" t="s">
        <v>158</v>
      </c>
      <c r="D246" s="6">
        <v>500734</v>
      </c>
      <c r="E246" s="28">
        <v>413806</v>
      </c>
      <c r="F246" s="28">
        <v>508243</v>
      </c>
      <c r="G246" s="28"/>
      <c r="H246" s="28"/>
      <c r="K246" s="230"/>
      <c r="L246" s="190" t="s">
        <v>232</v>
      </c>
      <c r="M246" s="29" t="s">
        <v>139</v>
      </c>
      <c r="N246" s="228" t="s">
        <v>158</v>
      </c>
    </row>
    <row r="247" spans="1:14" s="29" customFormat="1" ht="15" customHeight="1" x14ac:dyDescent="0.25">
      <c r="B247" s="22"/>
      <c r="C247" s="125"/>
      <c r="K247" s="230"/>
      <c r="L247" s="190" t="s">
        <v>232</v>
      </c>
      <c r="M247" s="29" t="s">
        <v>139</v>
      </c>
      <c r="N247" s="228"/>
    </row>
    <row r="248" spans="1:14" ht="15" customHeight="1" x14ac:dyDescent="0.25">
      <c r="A248" s="29"/>
      <c r="B248" s="22"/>
      <c r="C248" s="29"/>
      <c r="D248" s="29"/>
      <c r="E248" s="29"/>
      <c r="F248" s="29"/>
      <c r="G248" s="29"/>
      <c r="H248" s="29"/>
      <c r="K248" s="230"/>
      <c r="L248" s="190" t="s">
        <v>232</v>
      </c>
      <c r="M248" s="29" t="s">
        <v>139</v>
      </c>
    </row>
    <row r="249" spans="1:14" ht="21" customHeight="1" x14ac:dyDescent="0.35">
      <c r="A249" s="12">
        <f>MAX(A$1:A248)+1</f>
        <v>6</v>
      </c>
      <c r="B249" s="123"/>
      <c r="C249" s="214" t="str">
        <f ca="1">OFFSET($B$4,A249-1,0)</f>
        <v>Lower Snake River - Phalen Gulch</v>
      </c>
      <c r="D249" s="215"/>
      <c r="E249" s="216"/>
      <c r="F249" s="216"/>
      <c r="G249" s="217"/>
      <c r="H249" s="218"/>
      <c r="K249" s="230"/>
      <c r="L249" s="190" t="s">
        <v>232</v>
      </c>
      <c r="M249" s="29" t="s">
        <v>140</v>
      </c>
      <c r="N249" s="228">
        <v>6</v>
      </c>
    </row>
    <row r="250" spans="1:14" ht="15" customHeight="1" x14ac:dyDescent="0.25">
      <c r="B250" s="122"/>
      <c r="C250" s="1" t="str">
        <f ca="1">VLOOKUP(C249,Facilities,3,FALSE)</f>
        <v>PSE owned</v>
      </c>
      <c r="D250" s="1"/>
      <c r="K250" s="230"/>
      <c r="L250" s="190" t="s">
        <v>232</v>
      </c>
      <c r="M250" s="29" t="s">
        <v>140</v>
      </c>
      <c r="N250" s="228" t="s">
        <v>179</v>
      </c>
    </row>
    <row r="251" spans="1:14" ht="18.75" customHeight="1" x14ac:dyDescent="0.3">
      <c r="A251" s="8" t="s">
        <v>21</v>
      </c>
      <c r="B251" s="124"/>
      <c r="D251" s="2">
        <f>D366</f>
        <v>2017</v>
      </c>
      <c r="E251" s="2">
        <f>D251+1</f>
        <v>2018</v>
      </c>
      <c r="F251" s="118">
        <f>E251+1</f>
        <v>2019</v>
      </c>
      <c r="G251" s="118">
        <f>F251+1</f>
        <v>2020</v>
      </c>
      <c r="H251" s="118">
        <f>G251+1</f>
        <v>2021</v>
      </c>
      <c r="L251" s="190" t="s">
        <v>232</v>
      </c>
      <c r="M251" s="29" t="s">
        <v>140</v>
      </c>
      <c r="N251" s="228" t="s">
        <v>21</v>
      </c>
    </row>
    <row r="252" spans="1:14" ht="15" customHeight="1" x14ac:dyDescent="0.25">
      <c r="B252" s="119" t="e">
        <f ca="1">IF(#REF!&lt;&gt;"REC only","Total MWh ","")&amp;IF(C250="PSE owned","Produced","Purchased")&amp;" from "&amp;C249</f>
        <v>#REF!</v>
      </c>
      <c r="C252" s="52"/>
      <c r="D252" s="3">
        <v>299266</v>
      </c>
      <c r="E252" s="3">
        <v>370818</v>
      </c>
      <c r="F252" s="3">
        <v>298679</v>
      </c>
      <c r="G252" s="3">
        <v>404341</v>
      </c>
      <c r="H252" s="4">
        <f>849542*G252/SUM(G214,G252)</f>
        <v>354627.92119830608</v>
      </c>
      <c r="J252" s="232"/>
      <c r="K252" s="30"/>
      <c r="L252" s="190" t="s">
        <v>232</v>
      </c>
      <c r="M252" s="29" t="s">
        <v>140</v>
      </c>
      <c r="N252" s="228" t="s">
        <v>249</v>
      </c>
    </row>
    <row r="253" spans="1:14" ht="15" customHeight="1" x14ac:dyDescent="0.25">
      <c r="B253" s="119" t="s">
        <v>25</v>
      </c>
      <c r="C253" s="52"/>
      <c r="D253" s="132">
        <v>1</v>
      </c>
      <c r="E253" s="132">
        <v>1</v>
      </c>
      <c r="F253" s="132">
        <v>1</v>
      </c>
      <c r="G253" s="132">
        <v>1</v>
      </c>
      <c r="H253" s="133">
        <v>1</v>
      </c>
      <c r="J253" s="232"/>
      <c r="K253" s="30"/>
      <c r="L253" s="190" t="s">
        <v>232</v>
      </c>
      <c r="M253" s="29" t="s">
        <v>140</v>
      </c>
      <c r="N253" s="228" t="s">
        <v>25</v>
      </c>
    </row>
    <row r="254" spans="1:14" ht="15" customHeight="1" x14ac:dyDescent="0.25">
      <c r="B254" s="119" t="s">
        <v>20</v>
      </c>
      <c r="C254" s="52"/>
      <c r="D254" s="42">
        <v>1</v>
      </c>
      <c r="E254" s="42">
        <v>1</v>
      </c>
      <c r="F254" s="42">
        <v>1</v>
      </c>
      <c r="G254" s="42">
        <v>1</v>
      </c>
      <c r="H254" s="43">
        <v>1</v>
      </c>
      <c r="J254" s="232"/>
      <c r="K254" s="30"/>
      <c r="L254" s="190" t="s">
        <v>232</v>
      </c>
      <c r="M254" s="29" t="s">
        <v>140</v>
      </c>
      <c r="N254" s="228" t="s">
        <v>20</v>
      </c>
    </row>
    <row r="255" spans="1:14" ht="15" customHeight="1" x14ac:dyDescent="0.25">
      <c r="B255" s="54" t="s">
        <v>22</v>
      </c>
      <c r="C255" s="55"/>
      <c r="D255" s="131">
        <f xml:space="preserve"> D252 * D253 * D254</f>
        <v>299266</v>
      </c>
      <c r="E255" s="131">
        <f xml:space="preserve"> E252 * E253 * E254</f>
        <v>370818</v>
      </c>
      <c r="F255" s="131">
        <f xml:space="preserve"> F252 * F253 * F254</f>
        <v>298679</v>
      </c>
      <c r="G255" s="131">
        <f xml:space="preserve"> G252 * G253 * G254</f>
        <v>404341</v>
      </c>
      <c r="H255" s="131">
        <f xml:space="preserve"> H252 * H253 * H254</f>
        <v>354627.92119830608</v>
      </c>
      <c r="K255" s="30"/>
      <c r="L255" s="190" t="s">
        <v>232</v>
      </c>
      <c r="M255" s="29" t="s">
        <v>140</v>
      </c>
      <c r="N255" s="228" t="s">
        <v>22</v>
      </c>
    </row>
    <row r="256" spans="1:14" ht="15" customHeight="1" x14ac:dyDescent="0.25">
      <c r="B256" s="22"/>
      <c r="C256" s="29"/>
      <c r="D256" s="168"/>
      <c r="E256" s="168"/>
      <c r="F256" s="168"/>
      <c r="G256" s="167"/>
      <c r="H256" s="36"/>
      <c r="L256" s="190" t="s">
        <v>232</v>
      </c>
      <c r="M256" s="29" t="s">
        <v>140</v>
      </c>
    </row>
    <row r="257" spans="1:14" ht="18.75" customHeight="1" x14ac:dyDescent="0.3">
      <c r="A257" s="39" t="s">
        <v>119</v>
      </c>
      <c r="B257" s="122"/>
      <c r="C257" s="29"/>
      <c r="D257" s="2">
        <f>D251</f>
        <v>2017</v>
      </c>
      <c r="E257" s="2">
        <f>D257+1</f>
        <v>2018</v>
      </c>
      <c r="F257" s="2">
        <f>E257+1</f>
        <v>2019</v>
      </c>
      <c r="G257" s="2">
        <f>F257+1</f>
        <v>2020</v>
      </c>
      <c r="H257" s="2">
        <f>G257+1</f>
        <v>2021</v>
      </c>
      <c r="L257" s="190" t="s">
        <v>232</v>
      </c>
      <c r="M257" s="29" t="s">
        <v>140</v>
      </c>
      <c r="N257" s="228" t="s">
        <v>119</v>
      </c>
    </row>
    <row r="258" spans="1:14" x14ac:dyDescent="0.25">
      <c r="B258" s="119" t="s">
        <v>10</v>
      </c>
      <c r="C258" s="52"/>
      <c r="D258" s="10">
        <f ca="1">IF(VLOOKUP($C249,Facilities,5,FALSE)="Eligible", D255*ApprenticeshipBonus, 0 )</f>
        <v>59853.200000000004</v>
      </c>
      <c r="E258" s="109">
        <f ca="1">IF(VLOOKUP($C249,Facilities,5,FALSE)="Eligible", E255*ApprenticeshipBonus, 0 )</f>
        <v>74163.600000000006</v>
      </c>
      <c r="F258" s="109">
        <f ca="1">IF(VLOOKUP($C249,Facilities,5,FALSE)="Eligible", F255*ApprenticeshipBonus, 0 )</f>
        <v>59735.8</v>
      </c>
      <c r="G258" s="109">
        <f ca="1">IF(VLOOKUP($C249,Facilities,5,FALSE)="Eligible", G255*ApprenticeshipBonus, 0 )</f>
        <v>80868.200000000012</v>
      </c>
      <c r="H258" s="11">
        <f ca="1">IF(VLOOKUP($C249,Facilities,5,FALSE)="Eligible", H255*ApprenticeshipBonus, 0 )</f>
        <v>70925.584239661213</v>
      </c>
      <c r="L258" s="190" t="s">
        <v>232</v>
      </c>
      <c r="M258" s="29" t="s">
        <v>140</v>
      </c>
      <c r="N258" s="228" t="s">
        <v>10</v>
      </c>
    </row>
    <row r="259" spans="1:14" ht="15" customHeight="1" x14ac:dyDescent="0.25">
      <c r="B259" s="119" t="s">
        <v>6</v>
      </c>
      <c r="C259" s="52"/>
      <c r="D259" s="44">
        <f ca="1">IF(VLOOKUP($C249,Facilities,6,FALSE)="Eligible", D255, 0 )</f>
        <v>0</v>
      </c>
      <c r="E259" s="110">
        <f ca="1">IF(VLOOKUP($C249,Facilities,6,FALSE)="Eligible", E255, 0 )</f>
        <v>0</v>
      </c>
      <c r="F259" s="110">
        <f ca="1">IF(VLOOKUP($C249,Facilities,6,FALSE)="Eligible", F255, 0 )</f>
        <v>0</v>
      </c>
      <c r="G259" s="110">
        <f ca="1">IF(VLOOKUP($C249,Facilities,6,FALSE)="Eligible", G255, 0 )</f>
        <v>0</v>
      </c>
      <c r="H259" s="45">
        <f ca="1">IF(VLOOKUP($C249,Facilities,6,FALSE)="Eligible", H255, 0 )</f>
        <v>0</v>
      </c>
      <c r="L259" s="190" t="s">
        <v>232</v>
      </c>
      <c r="M259" s="29" t="s">
        <v>140</v>
      </c>
      <c r="N259" s="228" t="s">
        <v>6</v>
      </c>
    </row>
    <row r="260" spans="1:14" ht="15" customHeight="1" x14ac:dyDescent="0.25">
      <c r="B260" s="54" t="s">
        <v>121</v>
      </c>
      <c r="C260" s="55"/>
      <c r="D260" s="37">
        <f ca="1">SUM(D258:D259)</f>
        <v>59853.200000000004</v>
      </c>
      <c r="E260" s="37">
        <f ca="1">SUM(E258:E259)</f>
        <v>74163.600000000006</v>
      </c>
      <c r="F260" s="37">
        <f ca="1">SUM(F258:F259)</f>
        <v>59735.8</v>
      </c>
      <c r="G260" s="37">
        <f ca="1">SUM(G258:G259)</f>
        <v>80868.200000000012</v>
      </c>
      <c r="H260" s="37">
        <f ca="1">SUM(H258:H259)</f>
        <v>70925.584239661213</v>
      </c>
      <c r="L260" s="190" t="s">
        <v>232</v>
      </c>
      <c r="M260" s="29" t="s">
        <v>140</v>
      </c>
      <c r="N260" s="228" t="s">
        <v>121</v>
      </c>
    </row>
    <row r="261" spans="1:14" ht="15" customHeight="1" x14ac:dyDescent="0.25">
      <c r="B261" s="22"/>
      <c r="C261" s="29"/>
      <c r="D261" s="169"/>
      <c r="E261" s="169"/>
      <c r="F261" s="169"/>
      <c r="G261" s="169"/>
      <c r="H261" s="30"/>
      <c r="L261" s="190" t="s">
        <v>232</v>
      </c>
      <c r="M261" s="29" t="s">
        <v>140</v>
      </c>
    </row>
    <row r="262" spans="1:14" ht="18.75" customHeight="1" x14ac:dyDescent="0.3">
      <c r="A262" s="38" t="s">
        <v>30</v>
      </c>
      <c r="B262" s="122"/>
      <c r="C262" s="29"/>
      <c r="D262" s="2">
        <f>D251</f>
        <v>2017</v>
      </c>
      <c r="E262" s="2">
        <f>D262+1</f>
        <v>2018</v>
      </c>
      <c r="F262" s="2">
        <f>E262+1</f>
        <v>2019</v>
      </c>
      <c r="G262" s="2">
        <f>F262+1</f>
        <v>2020</v>
      </c>
      <c r="H262" s="2">
        <f>G262+1</f>
        <v>2021</v>
      </c>
      <c r="L262" s="190" t="s">
        <v>232</v>
      </c>
      <c r="M262" s="29" t="s">
        <v>140</v>
      </c>
      <c r="N262" s="228" t="s">
        <v>30</v>
      </c>
    </row>
    <row r="263" spans="1:14" ht="15" customHeight="1" x14ac:dyDescent="0.25">
      <c r="B263" s="119" t="s">
        <v>47</v>
      </c>
      <c r="C263" s="52"/>
      <c r="D263" s="3">
        <v>0</v>
      </c>
      <c r="E263" s="3">
        <v>0</v>
      </c>
      <c r="F263" s="3">
        <v>0</v>
      </c>
      <c r="G263" s="3">
        <v>0</v>
      </c>
      <c r="H263" s="4">
        <v>0</v>
      </c>
      <c r="L263" s="190" t="s">
        <v>232</v>
      </c>
      <c r="M263" s="29" t="s">
        <v>140</v>
      </c>
      <c r="N263" s="228" t="s">
        <v>47</v>
      </c>
    </row>
    <row r="264" spans="1:14" ht="15" customHeight="1" x14ac:dyDescent="0.25">
      <c r="B264" s="68" t="s">
        <v>23</v>
      </c>
      <c r="C264" s="59"/>
      <c r="D264" s="137">
        <v>0</v>
      </c>
      <c r="E264" s="137">
        <v>0</v>
      </c>
      <c r="F264" s="137">
        <v>0</v>
      </c>
      <c r="G264" s="137">
        <v>0</v>
      </c>
      <c r="H264" s="138">
        <v>0</v>
      </c>
      <c r="L264" s="190" t="s">
        <v>232</v>
      </c>
      <c r="M264" s="29" t="s">
        <v>140</v>
      </c>
      <c r="N264" s="228" t="s">
        <v>23</v>
      </c>
    </row>
    <row r="265" spans="1:14" ht="15" customHeight="1" x14ac:dyDescent="0.25">
      <c r="B265" s="68" t="s">
        <v>89</v>
      </c>
      <c r="C265" s="67"/>
      <c r="D265" s="192">
        <v>0</v>
      </c>
      <c r="E265" s="173">
        <f>E263*$B$1930</f>
        <v>0</v>
      </c>
      <c r="F265" s="173">
        <f>F263*$B$1930</f>
        <v>0</v>
      </c>
      <c r="G265" s="139">
        <f>G263*$B$1930</f>
        <v>0</v>
      </c>
      <c r="H265" s="195">
        <f>H263*$B$1930</f>
        <v>0</v>
      </c>
      <c r="L265" s="190" t="s">
        <v>232</v>
      </c>
      <c r="M265" s="29" t="s">
        <v>140</v>
      </c>
      <c r="N265" s="228" t="s">
        <v>89</v>
      </c>
    </row>
    <row r="266" spans="1:14" ht="15" customHeight="1" x14ac:dyDescent="0.25">
      <c r="B266" s="120" t="s">
        <v>90</v>
      </c>
      <c r="D266" s="6">
        <f>SUM(D263:D265)</f>
        <v>0</v>
      </c>
      <c r="E266" s="6">
        <f>SUM(E263:E265)</f>
        <v>0</v>
      </c>
      <c r="F266" s="6">
        <f>SUM(F263:F265)</f>
        <v>0</v>
      </c>
      <c r="G266" s="6">
        <f>SUM(G263:G265)</f>
        <v>0</v>
      </c>
      <c r="H266" s="6">
        <f>SUM(H263:H265)</f>
        <v>0</v>
      </c>
      <c r="L266" s="190" t="s">
        <v>232</v>
      </c>
      <c r="M266" s="29" t="s">
        <v>140</v>
      </c>
      <c r="N266" s="228" t="s">
        <v>90</v>
      </c>
    </row>
    <row r="267" spans="1:14" ht="15" customHeight="1" x14ac:dyDescent="0.25">
      <c r="B267" s="121"/>
      <c r="D267" s="167"/>
      <c r="E267" s="167"/>
      <c r="F267" s="167"/>
      <c r="G267" s="167"/>
      <c r="H267" s="6"/>
      <c r="L267" s="190" t="s">
        <v>232</v>
      </c>
      <c r="M267" s="29" t="s">
        <v>140</v>
      </c>
    </row>
    <row r="268" spans="1:14" ht="18.75" customHeight="1" x14ac:dyDescent="0.3">
      <c r="A268" s="8" t="s">
        <v>100</v>
      </c>
      <c r="B268" s="122"/>
      <c r="D268" s="2">
        <f>D251</f>
        <v>2017</v>
      </c>
      <c r="E268" s="2">
        <f>D268+1</f>
        <v>2018</v>
      </c>
      <c r="F268" s="2">
        <f>E268+1</f>
        <v>2019</v>
      </c>
      <c r="G268" s="2">
        <f>F268+1</f>
        <v>2020</v>
      </c>
      <c r="H268" s="2">
        <f>G268+1</f>
        <v>2021</v>
      </c>
      <c r="L268" s="190" t="s">
        <v>232</v>
      </c>
      <c r="M268" s="29" t="s">
        <v>140</v>
      </c>
      <c r="N268" s="228" t="s">
        <v>100</v>
      </c>
    </row>
    <row r="269" spans="1:14" ht="15" customHeight="1" x14ac:dyDescent="0.25">
      <c r="B269" s="57" t="str">
        <f>(StartYear-1) &amp; " Surplus Applied to " &amp; StartYear</f>
        <v>2016 Surplus Applied to 2017</v>
      </c>
      <c r="C269" s="29"/>
      <c r="D269" s="186">
        <v>441543.6</v>
      </c>
      <c r="E269" s="187"/>
      <c r="F269" s="187"/>
      <c r="G269" s="187"/>
      <c r="H269" s="188"/>
      <c r="L269" s="190" t="s">
        <v>232</v>
      </c>
      <c r="M269" s="29" t="s">
        <v>140</v>
      </c>
      <c r="N269" s="228" t="s">
        <v>235</v>
      </c>
    </row>
    <row r="270" spans="1:14" ht="15" customHeight="1" x14ac:dyDescent="0.25">
      <c r="B270" s="57" t="str">
        <f>StartYear &amp; " Surplus Applied to " &amp; (StartYear-1)</f>
        <v>2017 Surplus Applied to 2016</v>
      </c>
      <c r="C270" s="29"/>
      <c r="D270" s="189">
        <v>0</v>
      </c>
      <c r="E270" s="113"/>
      <c r="F270" s="113"/>
      <c r="G270" s="113"/>
      <c r="H270" s="117"/>
      <c r="L270" s="190" t="s">
        <v>232</v>
      </c>
      <c r="M270" s="29" t="s">
        <v>140</v>
      </c>
      <c r="N270" s="228" t="s">
        <v>236</v>
      </c>
    </row>
    <row r="271" spans="1:14" ht="15" customHeight="1" x14ac:dyDescent="0.25">
      <c r="B271" s="57" t="str">
        <f>( StartYear) &amp; " Surplus Applied to " &amp; ( StartYear + 1 )</f>
        <v>2017 Surplus Applied to 2018</v>
      </c>
      <c r="C271" s="29"/>
      <c r="D271" s="184">
        <f ca="1">D255+D260-D266</f>
        <v>359119.2</v>
      </c>
      <c r="E271" s="185">
        <f ca="1">D271</f>
        <v>359119.2</v>
      </c>
      <c r="F271" s="181"/>
      <c r="G271" s="181"/>
      <c r="H271" s="182"/>
      <c r="L271" s="190" t="s">
        <v>232</v>
      </c>
      <c r="M271" s="29" t="s">
        <v>140</v>
      </c>
      <c r="N271" s="228" t="s">
        <v>237</v>
      </c>
    </row>
    <row r="272" spans="1:14" ht="15" customHeight="1" x14ac:dyDescent="0.25">
      <c r="B272" s="57" t="str">
        <f xml:space="preserve"> ( StartYear + 1 ) &amp; " Surplus Applied to " &amp; ( StartYear )</f>
        <v>2018 Surplus Applied to 2017</v>
      </c>
      <c r="C272" s="29"/>
      <c r="D272" s="134">
        <v>0</v>
      </c>
      <c r="E272" s="9">
        <v>0</v>
      </c>
      <c r="F272" s="113"/>
      <c r="G272" s="113"/>
      <c r="H272" s="117"/>
      <c r="L272" s="190" t="s">
        <v>232</v>
      </c>
      <c r="M272" s="29" t="s">
        <v>140</v>
      </c>
      <c r="N272" s="228" t="s">
        <v>238</v>
      </c>
    </row>
    <row r="273" spans="1:14" ht="15" customHeight="1" x14ac:dyDescent="0.25">
      <c r="B273" s="119" t="str">
        <f xml:space="preserve"> ( StartYear + 1 ) &amp; " Surplus Applied to " &amp; ( StartYear + 2 )</f>
        <v>2018 Surplus Applied to 2019</v>
      </c>
      <c r="C273" s="29"/>
      <c r="D273" s="114"/>
      <c r="E273" s="9">
        <f ca="1">E255+E260-E266</f>
        <v>444981.6</v>
      </c>
      <c r="F273" s="51">
        <f ca="1">E273</f>
        <v>444981.6</v>
      </c>
      <c r="G273" s="113"/>
      <c r="H273" s="117"/>
      <c r="L273" s="190" t="s">
        <v>232</v>
      </c>
      <c r="M273" s="29" t="s">
        <v>140</v>
      </c>
      <c r="N273" s="228" t="s">
        <v>239</v>
      </c>
    </row>
    <row r="274" spans="1:14" ht="15" customHeight="1" x14ac:dyDescent="0.25">
      <c r="B274" s="119" t="str">
        <f xml:space="preserve"> ( StartYear + 2 ) &amp; " Surplus Applied to " &amp; ( StartYear + 1 )</f>
        <v>2019 Surplus Applied to 2018</v>
      </c>
      <c r="C274" s="29"/>
      <c r="D274" s="114"/>
      <c r="E274" s="51">
        <v>0</v>
      </c>
      <c r="F274" s="9">
        <v>0</v>
      </c>
      <c r="G274" s="113"/>
      <c r="H274" s="117"/>
      <c r="L274" s="190" t="s">
        <v>232</v>
      </c>
      <c r="M274" s="29" t="s">
        <v>140</v>
      </c>
      <c r="N274" s="228" t="s">
        <v>240</v>
      </c>
    </row>
    <row r="275" spans="1:14" ht="15" customHeight="1" x14ac:dyDescent="0.25">
      <c r="B275" s="165" t="str">
        <f xml:space="preserve"> ( StartYear + 2 ) &amp; " Surplus Applied to " &amp; ( StartYear + 3 )</f>
        <v>2019 Surplus Applied to 2020</v>
      </c>
      <c r="C275" s="29"/>
      <c r="D275" s="114"/>
      <c r="E275" s="113"/>
      <c r="F275" s="9">
        <f ca="1">F255+F260-F266</f>
        <v>358414.8</v>
      </c>
      <c r="G275" s="51">
        <f ca="1">F275</f>
        <v>358414.8</v>
      </c>
      <c r="H275" s="117"/>
      <c r="L275" s="190" t="s">
        <v>232</v>
      </c>
      <c r="M275" s="29" t="s">
        <v>140</v>
      </c>
      <c r="N275" s="228" t="s">
        <v>241</v>
      </c>
    </row>
    <row r="276" spans="1:14" ht="15" customHeight="1" x14ac:dyDescent="0.25">
      <c r="B276" s="165" t="str">
        <f xml:space="preserve"> ( StartYear + 3 ) &amp; " Surplus Applied to " &amp; ( StartYear + 2 )</f>
        <v>2020 Surplus Applied to 2019</v>
      </c>
      <c r="C276" s="29"/>
      <c r="D276" s="114"/>
      <c r="E276" s="113"/>
      <c r="F276" s="51">
        <v>0</v>
      </c>
      <c r="G276" s="9">
        <v>0</v>
      </c>
      <c r="H276" s="117"/>
      <c r="L276" s="190" t="s">
        <v>232</v>
      </c>
      <c r="M276" s="29" t="s">
        <v>140</v>
      </c>
      <c r="N276" s="228" t="s">
        <v>242</v>
      </c>
    </row>
    <row r="277" spans="1:14" ht="15" customHeight="1" x14ac:dyDescent="0.25">
      <c r="B277" s="165" t="str">
        <f xml:space="preserve"> ( StartYear + 3 ) &amp; " Surplus Applied to " &amp; ( StartYear + 4 )</f>
        <v>2020 Surplus Applied to 2021</v>
      </c>
      <c r="C277" s="29"/>
      <c r="D277" s="114"/>
      <c r="E277" s="113"/>
      <c r="F277" s="113"/>
      <c r="G277" s="9">
        <f ca="1">G255+G260-G266</f>
        <v>485209.2</v>
      </c>
      <c r="H277" s="46">
        <f ca="1">G277</f>
        <v>485209.2</v>
      </c>
      <c r="L277" s="190" t="s">
        <v>232</v>
      </c>
      <c r="M277" s="29" t="s">
        <v>140</v>
      </c>
      <c r="N277" s="228" t="s">
        <v>243</v>
      </c>
    </row>
    <row r="278" spans="1:14" ht="15" customHeight="1" x14ac:dyDescent="0.25">
      <c r="B278" s="165" t="str">
        <f xml:space="preserve"> ( StartYear + 4 ) &amp; " Surplus Applied to " &amp; ( StartYear + 3 )</f>
        <v>2021 Surplus Applied to 2020</v>
      </c>
      <c r="C278" s="29"/>
      <c r="D278" s="115"/>
      <c r="E278" s="116"/>
      <c r="F278" s="116"/>
      <c r="G278" s="47">
        <v>0</v>
      </c>
      <c r="H278" s="41">
        <v>0</v>
      </c>
      <c r="L278" s="190" t="s">
        <v>232</v>
      </c>
      <c r="M278" s="29" t="s">
        <v>140</v>
      </c>
      <c r="N278" s="228" t="s">
        <v>244</v>
      </c>
    </row>
    <row r="279" spans="1:14" ht="15" customHeight="1" x14ac:dyDescent="0.25">
      <c r="B279" s="120" t="s">
        <v>17</v>
      </c>
      <c r="D279" s="6">
        <f ca="1">D269-D270+D272-D271</f>
        <v>82424.399999999965</v>
      </c>
      <c r="E279" s="6">
        <f ca="1">E271+E274-E272-E273</f>
        <v>-85862.399999999965</v>
      </c>
      <c r="F279" s="6">
        <f ca="1">F273+F276-F274-F275</f>
        <v>86566.799999999988</v>
      </c>
      <c r="G279" s="6">
        <f ca="1">G275+G278-G276-G277</f>
        <v>-126794.40000000002</v>
      </c>
      <c r="H279" s="6">
        <f ca="1">H277 - H278</f>
        <v>485209.2</v>
      </c>
      <c r="L279" s="190" t="s">
        <v>232</v>
      </c>
      <c r="M279" s="29" t="s">
        <v>140</v>
      </c>
      <c r="N279" s="228" t="s">
        <v>17</v>
      </c>
    </row>
    <row r="280" spans="1:14" ht="15" customHeight="1" x14ac:dyDescent="0.25">
      <c r="B280" s="121"/>
      <c r="D280" s="6"/>
      <c r="E280" s="6"/>
      <c r="F280" s="6"/>
      <c r="G280" s="6"/>
      <c r="H280" s="6"/>
      <c r="L280" s="190" t="s">
        <v>232</v>
      </c>
      <c r="M280" s="29" t="s">
        <v>140</v>
      </c>
    </row>
    <row r="281" spans="1:14" ht="15" customHeight="1" x14ac:dyDescent="0.25">
      <c r="B281" s="54" t="s">
        <v>12</v>
      </c>
      <c r="C281" s="52"/>
      <c r="D281" s="75">
        <v>0</v>
      </c>
      <c r="E281" s="111">
        <v>0</v>
      </c>
      <c r="F281" s="111">
        <v>0</v>
      </c>
      <c r="G281" s="111">
        <v>0</v>
      </c>
      <c r="H281" s="76">
        <v>0</v>
      </c>
      <c r="L281" s="190" t="s">
        <v>232</v>
      </c>
      <c r="M281" s="29" t="s">
        <v>140</v>
      </c>
      <c r="N281" s="228" t="s">
        <v>12</v>
      </c>
    </row>
    <row r="282" spans="1:14" ht="15" customHeight="1" x14ac:dyDescent="0.25">
      <c r="B282" s="121"/>
      <c r="D282" s="6"/>
      <c r="E282" s="6"/>
      <c r="F282" s="6"/>
      <c r="G282" s="6"/>
      <c r="H282" s="6"/>
      <c r="L282" s="190" t="s">
        <v>232</v>
      </c>
      <c r="M282" s="29" t="s">
        <v>140</v>
      </c>
    </row>
    <row r="283" spans="1:14" ht="18.75" customHeight="1" x14ac:dyDescent="0.3">
      <c r="A283" s="38" t="s">
        <v>26</v>
      </c>
      <c r="B283" s="122"/>
      <c r="C283" s="52">
        <f>A249</f>
        <v>6</v>
      </c>
      <c r="D283" s="112">
        <f ca="1">D255+D260-D266+D279+D281</f>
        <v>441543.6</v>
      </c>
      <c r="E283" s="112">
        <f ca="1">E255+E260-E266+E279+E281</f>
        <v>359119.2</v>
      </c>
      <c r="F283" s="112">
        <f ca="1">F255+F260-F266+F279+F281</f>
        <v>444981.6</v>
      </c>
      <c r="G283" s="112">
        <f ca="1">G255+G260-G266+G279+G281</f>
        <v>358414.8</v>
      </c>
      <c r="H283" s="174">
        <f ca="1">H255+H260-H266+H279+H281</f>
        <v>910762.70543796732</v>
      </c>
      <c r="L283" s="190" t="s">
        <v>232</v>
      </c>
      <c r="M283" s="29" t="s">
        <v>140</v>
      </c>
      <c r="N283" s="228" t="s">
        <v>26</v>
      </c>
    </row>
    <row r="284" spans="1:14" ht="15" customHeight="1" x14ac:dyDescent="0.25">
      <c r="B284" s="121"/>
      <c r="C284" s="129" t="s">
        <v>158</v>
      </c>
      <c r="D284" s="6">
        <v>367953</v>
      </c>
      <c r="E284" s="28">
        <v>299266</v>
      </c>
      <c r="F284" s="28">
        <v>370818</v>
      </c>
      <c r="G284" s="28"/>
      <c r="H284" s="28"/>
      <c r="L284" s="190" t="s">
        <v>232</v>
      </c>
      <c r="M284" s="29" t="s">
        <v>140</v>
      </c>
      <c r="N284" s="228" t="s">
        <v>158</v>
      </c>
    </row>
    <row r="285" spans="1:14" ht="15" customHeight="1" x14ac:dyDescent="0.25">
      <c r="B285" s="122"/>
      <c r="C285" s="125"/>
      <c r="D285" s="6"/>
      <c r="L285" s="190" t="s">
        <v>232</v>
      </c>
      <c r="M285" s="29" t="s">
        <v>140</v>
      </c>
    </row>
    <row r="286" spans="1:14" s="29" customFormat="1" ht="15" customHeight="1" x14ac:dyDescent="0.25">
      <c r="B286" s="22"/>
      <c r="L286" s="190" t="s">
        <v>232</v>
      </c>
      <c r="M286" s="29" t="s">
        <v>140</v>
      </c>
      <c r="N286" s="228"/>
    </row>
    <row r="287" spans="1:14" ht="15" customHeight="1" x14ac:dyDescent="0.25">
      <c r="A287" s="29"/>
      <c r="B287" s="29"/>
      <c r="C287" s="29"/>
      <c r="D287" s="22"/>
      <c r="E287" s="29"/>
      <c r="F287" s="29"/>
      <c r="G287" s="29"/>
      <c r="H287" s="29"/>
      <c r="L287" s="190" t="s">
        <v>232</v>
      </c>
      <c r="M287" s="29" t="s">
        <v>204</v>
      </c>
    </row>
    <row r="288" spans="1:14" ht="21" customHeight="1" x14ac:dyDescent="0.35">
      <c r="A288" s="12">
        <f>MAX(A$1:A287)+1</f>
        <v>7</v>
      </c>
      <c r="B288" s="123"/>
      <c r="C288" s="214" t="str">
        <f ca="1">OFFSET($B$4,A288-1,0)</f>
        <v>Snoqualmie Falls Project</v>
      </c>
      <c r="D288" s="215"/>
      <c r="E288" s="216"/>
      <c r="F288" s="216"/>
      <c r="G288" s="217"/>
      <c r="H288" s="218"/>
      <c r="I288" s="23"/>
      <c r="J288" s="22"/>
      <c r="L288" s="190" t="s">
        <v>232</v>
      </c>
      <c r="M288" s="29" t="s">
        <v>142</v>
      </c>
      <c r="N288" s="228">
        <v>8</v>
      </c>
    </row>
    <row r="289" spans="1:14" ht="15" customHeight="1" x14ac:dyDescent="0.25">
      <c r="B289" s="122"/>
      <c r="C289" s="1" t="str">
        <f ca="1">VLOOKUP(C288,Facilities,3,FALSE)</f>
        <v>PSE owned</v>
      </c>
      <c r="D289" s="1"/>
      <c r="I289" s="22"/>
      <c r="J289" s="22"/>
      <c r="L289" s="190" t="s">
        <v>232</v>
      </c>
      <c r="M289" s="29" t="s">
        <v>142</v>
      </c>
      <c r="N289" s="228" t="s">
        <v>179</v>
      </c>
    </row>
    <row r="290" spans="1:14" ht="18.75" customHeight="1" x14ac:dyDescent="0.3">
      <c r="A290" s="8" t="s">
        <v>21</v>
      </c>
      <c r="B290" s="124"/>
      <c r="D290" s="2">
        <f>D366</f>
        <v>2017</v>
      </c>
      <c r="E290" s="2">
        <f>D290+1</f>
        <v>2018</v>
      </c>
      <c r="F290" s="118">
        <f>E290+1</f>
        <v>2019</v>
      </c>
      <c r="G290" s="118">
        <f>F290+1</f>
        <v>2020</v>
      </c>
      <c r="H290" s="118">
        <f>G290+1</f>
        <v>2021</v>
      </c>
      <c r="L290" s="190" t="s">
        <v>232</v>
      </c>
      <c r="M290" s="29" t="s">
        <v>142</v>
      </c>
      <c r="N290" s="228" t="s">
        <v>21</v>
      </c>
    </row>
    <row r="291" spans="1:14" ht="15" customHeight="1" x14ac:dyDescent="0.25">
      <c r="B291" s="119" t="str">
        <f ca="1">IF(C327&lt;&gt;"REC only","Total MWh ","")&amp;IF(C289="PSE owned","Produced","Purchased")&amp;" from "&amp;C288</f>
        <v>Total MWh Produced from Snoqualmie Falls Project</v>
      </c>
      <c r="C291" s="52"/>
      <c r="D291" s="178">
        <v>195400</v>
      </c>
      <c r="E291" s="178">
        <v>194398</v>
      </c>
      <c r="F291" s="178">
        <v>185294.1176470588</v>
      </c>
      <c r="G291" s="3">
        <v>232657</v>
      </c>
      <c r="H291" s="4">
        <f>19741/8.5%</f>
        <v>232247.0588235294</v>
      </c>
      <c r="J291" s="232"/>
      <c r="K291" s="30"/>
      <c r="L291" s="190" t="s">
        <v>232</v>
      </c>
      <c r="M291" s="29" t="s">
        <v>142</v>
      </c>
      <c r="N291" s="228" t="s">
        <v>250</v>
      </c>
    </row>
    <row r="292" spans="1:14" ht="15" customHeight="1" x14ac:dyDescent="0.25">
      <c r="B292" s="119" t="s">
        <v>25</v>
      </c>
      <c r="C292" s="52"/>
      <c r="D292" s="135">
        <v>8.5000000000000006E-2</v>
      </c>
      <c r="E292" s="135">
        <v>8.5000000000000006E-2</v>
      </c>
      <c r="F292" s="135">
        <v>8.5000000000000006E-2</v>
      </c>
      <c r="G292" s="135">
        <v>8.5000000000000006E-2</v>
      </c>
      <c r="H292" s="136">
        <v>8.5000000000000006E-2</v>
      </c>
      <c r="J292" s="232"/>
      <c r="K292" s="30"/>
      <c r="L292" s="190" t="s">
        <v>232</v>
      </c>
      <c r="M292" s="29" t="s">
        <v>142</v>
      </c>
      <c r="N292" s="228" t="s">
        <v>25</v>
      </c>
    </row>
    <row r="293" spans="1:14" ht="15" customHeight="1" x14ac:dyDescent="0.25">
      <c r="B293" s="119" t="s">
        <v>20</v>
      </c>
      <c r="C293" s="52"/>
      <c r="D293" s="42">
        <v>1</v>
      </c>
      <c r="E293" s="42">
        <v>1</v>
      </c>
      <c r="F293" s="42">
        <v>1</v>
      </c>
      <c r="G293" s="42">
        <v>1</v>
      </c>
      <c r="H293" s="43">
        <v>1</v>
      </c>
      <c r="J293" s="232"/>
      <c r="K293" s="30"/>
      <c r="L293" s="190" t="s">
        <v>232</v>
      </c>
      <c r="M293" s="29" t="s">
        <v>142</v>
      </c>
      <c r="N293" s="228" t="s">
        <v>20</v>
      </c>
    </row>
    <row r="294" spans="1:14" ht="15" customHeight="1" x14ac:dyDescent="0.25">
      <c r="B294" s="54" t="s">
        <v>22</v>
      </c>
      <c r="C294" s="55"/>
      <c r="D294" s="131">
        <f xml:space="preserve"> D291 * D292 * D293</f>
        <v>16609</v>
      </c>
      <c r="E294" s="131">
        <f xml:space="preserve"> ROUNDDOWN(E291 * E292 * E293,0)</f>
        <v>16523</v>
      </c>
      <c r="F294" s="131">
        <f xml:space="preserve"> ROUNDDOWN(F291 * F292 * F293,0)</f>
        <v>15750</v>
      </c>
      <c r="G294" s="131">
        <f xml:space="preserve"> ROUND(G291 * G292 * G293,0)</f>
        <v>19776</v>
      </c>
      <c r="H294" s="131">
        <f xml:space="preserve"> ROUNDDOWN(H291 * H292 * H293,0)</f>
        <v>19741</v>
      </c>
      <c r="K294" s="30"/>
      <c r="L294" s="190" t="s">
        <v>232</v>
      </c>
      <c r="M294" s="29" t="s">
        <v>142</v>
      </c>
      <c r="N294" s="228" t="s">
        <v>22</v>
      </c>
    </row>
    <row r="295" spans="1:14" ht="15" customHeight="1" x14ac:dyDescent="0.25">
      <c r="B295" s="22"/>
      <c r="C295" s="29"/>
      <c r="D295" s="168"/>
      <c r="E295" s="168"/>
      <c r="F295" s="168"/>
      <c r="G295" s="167"/>
      <c r="H295" s="36"/>
      <c r="L295" s="190" t="s">
        <v>232</v>
      </c>
      <c r="M295" s="29" t="s">
        <v>142</v>
      </c>
    </row>
    <row r="296" spans="1:14" ht="18.75" customHeight="1" x14ac:dyDescent="0.3">
      <c r="A296" s="39" t="s">
        <v>119</v>
      </c>
      <c r="B296" s="122"/>
      <c r="C296" s="29"/>
      <c r="D296" s="2">
        <f>D290</f>
        <v>2017</v>
      </c>
      <c r="E296" s="2">
        <f>D296+1</f>
        <v>2018</v>
      </c>
      <c r="F296" s="2">
        <f>E296+1</f>
        <v>2019</v>
      </c>
      <c r="G296" s="2">
        <f>F296+1</f>
        <v>2020</v>
      </c>
      <c r="H296" s="2">
        <f>G296+1</f>
        <v>2021</v>
      </c>
      <c r="L296" s="190" t="s">
        <v>232</v>
      </c>
      <c r="M296" s="29" t="s">
        <v>142</v>
      </c>
      <c r="N296" s="228" t="s">
        <v>119</v>
      </c>
    </row>
    <row r="297" spans="1:14" x14ac:dyDescent="0.25">
      <c r="B297" s="119" t="s">
        <v>10</v>
      </c>
      <c r="C297" s="52"/>
      <c r="D297" s="10">
        <f ca="1">IF(VLOOKUP($C288,Facilities,5,FALSE)="Eligible", D294*ApprenticeshipBonus, 0 )</f>
        <v>0</v>
      </c>
      <c r="E297" s="109">
        <f ca="1">IF(VLOOKUP($C288,Facilities,5,FALSE)="Eligible", E294*ApprenticeshipBonus, 0 )</f>
        <v>0</v>
      </c>
      <c r="F297" s="109">
        <f ca="1">IF(VLOOKUP($C288,Facilities,5,FALSE)="Eligible", F294*ApprenticeshipBonus, 0 )</f>
        <v>0</v>
      </c>
      <c r="G297" s="109">
        <f ca="1">IF(VLOOKUP($C288,Facilities,5,FALSE)="Eligible", G294*ApprenticeshipBonus, 0 )</f>
        <v>0</v>
      </c>
      <c r="H297" s="11">
        <f ca="1">IF(VLOOKUP($C288,Facilities,5,FALSE)="Eligible", H294*ApprenticeshipBonus, 0 )</f>
        <v>0</v>
      </c>
      <c r="L297" s="190" t="s">
        <v>232</v>
      </c>
      <c r="M297" s="29" t="s">
        <v>142</v>
      </c>
      <c r="N297" s="228" t="s">
        <v>10</v>
      </c>
    </row>
    <row r="298" spans="1:14" ht="15" customHeight="1" x14ac:dyDescent="0.25">
      <c r="B298" s="119" t="s">
        <v>6</v>
      </c>
      <c r="C298" s="52"/>
      <c r="D298" s="44">
        <f ca="1">IF(VLOOKUP($C288,Facilities,6,FALSE)="Eligible", D294, 0 )</f>
        <v>0</v>
      </c>
      <c r="E298" s="110">
        <f ca="1">IF(VLOOKUP($C288,Facilities,6,FALSE)="Eligible", E294, 0 )</f>
        <v>0</v>
      </c>
      <c r="F298" s="110">
        <f ca="1">IF(VLOOKUP($C288,Facilities,6,FALSE)="Eligible", F294, 0 )</f>
        <v>0</v>
      </c>
      <c r="G298" s="110">
        <f ca="1">IF(VLOOKUP($C288,Facilities,6,FALSE)="Eligible", G294, 0 )</f>
        <v>0</v>
      </c>
      <c r="H298" s="45">
        <f ca="1">IF(VLOOKUP($C288,Facilities,6,FALSE)="Eligible", H294, 0 )</f>
        <v>0</v>
      </c>
      <c r="L298" s="190" t="s">
        <v>232</v>
      </c>
      <c r="M298" s="29" t="s">
        <v>142</v>
      </c>
      <c r="N298" s="228" t="s">
        <v>6</v>
      </c>
    </row>
    <row r="299" spans="1:14" ht="15" customHeight="1" x14ac:dyDescent="0.25">
      <c r="B299" s="54" t="s">
        <v>121</v>
      </c>
      <c r="C299" s="55"/>
      <c r="D299" s="37">
        <f ca="1">SUM(D297:D298)</f>
        <v>0</v>
      </c>
      <c r="E299" s="37">
        <f ca="1">SUM(E297:E298)</f>
        <v>0</v>
      </c>
      <c r="F299" s="37">
        <f ca="1">SUM(F297:F298)</f>
        <v>0</v>
      </c>
      <c r="G299" s="37">
        <f ca="1">SUM(G297:G298)</f>
        <v>0</v>
      </c>
      <c r="H299" s="37">
        <f ca="1">SUM(H297:H298)</f>
        <v>0</v>
      </c>
      <c r="L299" s="190" t="s">
        <v>232</v>
      </c>
      <c r="M299" s="29" t="s">
        <v>142</v>
      </c>
      <c r="N299" s="228" t="s">
        <v>121</v>
      </c>
    </row>
    <row r="300" spans="1:14" ht="15" customHeight="1" x14ac:dyDescent="0.25">
      <c r="B300" s="22"/>
      <c r="C300" s="29"/>
      <c r="D300" s="169"/>
      <c r="E300" s="169"/>
      <c r="F300" s="169"/>
      <c r="G300" s="169"/>
      <c r="H300" s="30"/>
      <c r="L300" s="190" t="s">
        <v>232</v>
      </c>
      <c r="M300" s="29" t="s">
        <v>142</v>
      </c>
    </row>
    <row r="301" spans="1:14" ht="18.75" customHeight="1" x14ac:dyDescent="0.3">
      <c r="A301" s="38" t="s">
        <v>30</v>
      </c>
      <c r="B301" s="122"/>
      <c r="C301" s="29"/>
      <c r="D301" s="2">
        <f>D290</f>
        <v>2017</v>
      </c>
      <c r="E301" s="2">
        <f>D301+1</f>
        <v>2018</v>
      </c>
      <c r="F301" s="2">
        <f>E301+1</f>
        <v>2019</v>
      </c>
      <c r="G301" s="2">
        <f>F301+1</f>
        <v>2020</v>
      </c>
      <c r="H301" s="2">
        <f>G301+1</f>
        <v>2021</v>
      </c>
      <c r="L301" s="190" t="s">
        <v>232</v>
      </c>
      <c r="M301" s="29" t="s">
        <v>142</v>
      </c>
      <c r="N301" s="228" t="s">
        <v>30</v>
      </c>
    </row>
    <row r="302" spans="1:14" ht="15" customHeight="1" x14ac:dyDescent="0.25">
      <c r="B302" s="119" t="s">
        <v>47</v>
      </c>
      <c r="C302" s="52"/>
      <c r="D302" s="3">
        <v>0</v>
      </c>
      <c r="E302" s="3">
        <v>0</v>
      </c>
      <c r="F302" s="3">
        <v>0</v>
      </c>
      <c r="G302" s="3">
        <v>0</v>
      </c>
      <c r="H302" s="4">
        <v>0</v>
      </c>
      <c r="L302" s="190" t="s">
        <v>232</v>
      </c>
      <c r="M302" s="29" t="s">
        <v>142</v>
      </c>
      <c r="N302" s="228" t="s">
        <v>47</v>
      </c>
    </row>
    <row r="303" spans="1:14" ht="15" customHeight="1" x14ac:dyDescent="0.25">
      <c r="B303" s="68" t="s">
        <v>23</v>
      </c>
      <c r="C303" s="59"/>
      <c r="D303" s="137">
        <v>0</v>
      </c>
      <c r="E303" s="137">
        <v>0</v>
      </c>
      <c r="F303" s="137">
        <v>0</v>
      </c>
      <c r="G303" s="137">
        <v>0</v>
      </c>
      <c r="H303" s="138">
        <v>0</v>
      </c>
      <c r="L303" s="190" t="s">
        <v>232</v>
      </c>
      <c r="M303" s="29" t="s">
        <v>142</v>
      </c>
      <c r="N303" s="228" t="s">
        <v>23</v>
      </c>
    </row>
    <row r="304" spans="1:14" ht="15" customHeight="1" x14ac:dyDescent="0.25">
      <c r="B304" s="68" t="s">
        <v>89</v>
      </c>
      <c r="C304" s="67"/>
      <c r="D304" s="191">
        <v>0</v>
      </c>
      <c r="E304" s="139">
        <v>0</v>
      </c>
      <c r="F304" s="139">
        <v>0</v>
      </c>
      <c r="G304" s="139">
        <v>0</v>
      </c>
      <c r="H304" s="140">
        <v>0</v>
      </c>
      <c r="L304" s="190" t="s">
        <v>232</v>
      </c>
      <c r="M304" s="29" t="s">
        <v>142</v>
      </c>
      <c r="N304" s="228" t="s">
        <v>89</v>
      </c>
    </row>
    <row r="305" spans="1:14" ht="15" customHeight="1" x14ac:dyDescent="0.25">
      <c r="B305" s="120" t="s">
        <v>90</v>
      </c>
      <c r="D305" s="6">
        <f>SUM(D302:D304)</f>
        <v>0</v>
      </c>
      <c r="E305" s="6">
        <f>SUM(E302:E304)</f>
        <v>0</v>
      </c>
      <c r="F305" s="6">
        <f>SUM(F302:F304)</f>
        <v>0</v>
      </c>
      <c r="G305" s="6">
        <f>SUM(G302:G304)</f>
        <v>0</v>
      </c>
      <c r="H305" s="6">
        <f>SUM(H302:H304)</f>
        <v>0</v>
      </c>
      <c r="L305" s="190" t="s">
        <v>232</v>
      </c>
      <c r="M305" s="29" t="s">
        <v>142</v>
      </c>
      <c r="N305" s="228" t="s">
        <v>90</v>
      </c>
    </row>
    <row r="306" spans="1:14" ht="15" customHeight="1" x14ac:dyDescent="0.25">
      <c r="B306" s="121"/>
      <c r="D306" s="167"/>
      <c r="E306" s="167"/>
      <c r="F306" s="167"/>
      <c r="G306" s="167"/>
      <c r="H306" s="6"/>
      <c r="L306" s="190" t="s">
        <v>232</v>
      </c>
      <c r="M306" s="29" t="s">
        <v>142</v>
      </c>
    </row>
    <row r="307" spans="1:14" ht="18.75" customHeight="1" x14ac:dyDescent="0.3">
      <c r="A307" s="8" t="s">
        <v>100</v>
      </c>
      <c r="B307" s="122"/>
      <c r="D307" s="2">
        <f>D290</f>
        <v>2017</v>
      </c>
      <c r="E307" s="2">
        <f>D307+1</f>
        <v>2018</v>
      </c>
      <c r="F307" s="2">
        <f>E307+1</f>
        <v>2019</v>
      </c>
      <c r="G307" s="2">
        <f>F307+1</f>
        <v>2020</v>
      </c>
      <c r="H307" s="2">
        <f>G307+1</f>
        <v>2021</v>
      </c>
      <c r="L307" s="190" t="s">
        <v>232</v>
      </c>
      <c r="M307" s="29" t="s">
        <v>142</v>
      </c>
      <c r="N307" s="228" t="s">
        <v>100</v>
      </c>
    </row>
    <row r="308" spans="1:14" ht="15" customHeight="1" x14ac:dyDescent="0.25">
      <c r="B308" s="57" t="str">
        <f>(StartYear-1) &amp; " Surplus Applied to " &amp; StartYear</f>
        <v>2016 Surplus Applied to 2017</v>
      </c>
      <c r="C308" s="29"/>
      <c r="D308" s="186">
        <v>0</v>
      </c>
      <c r="E308" s="187"/>
      <c r="F308" s="187"/>
      <c r="G308" s="187"/>
      <c r="H308" s="188"/>
      <c r="L308" s="190" t="s">
        <v>232</v>
      </c>
      <c r="M308" s="29" t="s">
        <v>142</v>
      </c>
      <c r="N308" s="228" t="s">
        <v>235</v>
      </c>
    </row>
    <row r="309" spans="1:14" ht="15" customHeight="1" x14ac:dyDescent="0.25">
      <c r="B309" s="57" t="str">
        <f>StartYear &amp; " Surplus Applied to " &amp; (StartYear-1)</f>
        <v>2017 Surplus Applied to 2016</v>
      </c>
      <c r="C309" s="29"/>
      <c r="D309" s="189">
        <v>0</v>
      </c>
      <c r="E309" s="113"/>
      <c r="F309" s="113"/>
      <c r="G309" s="113"/>
      <c r="H309" s="117"/>
      <c r="L309" s="190" t="s">
        <v>232</v>
      </c>
      <c r="M309" s="29" t="s">
        <v>142</v>
      </c>
      <c r="N309" s="228" t="s">
        <v>236</v>
      </c>
    </row>
    <row r="310" spans="1:14" ht="15" customHeight="1" x14ac:dyDescent="0.25">
      <c r="B310" s="57" t="str">
        <f>( StartYear) &amp; " Surplus Applied to " &amp; ( StartYear + 1 )</f>
        <v>2017 Surplus Applied to 2018</v>
      </c>
      <c r="C310" s="29"/>
      <c r="D310" s="184">
        <v>0</v>
      </c>
      <c r="E310" s="185">
        <f>D310</f>
        <v>0</v>
      </c>
      <c r="F310" s="181"/>
      <c r="G310" s="181"/>
      <c r="H310" s="182"/>
      <c r="L310" s="190" t="s">
        <v>232</v>
      </c>
      <c r="M310" s="29" t="s">
        <v>142</v>
      </c>
      <c r="N310" s="228" t="s">
        <v>237</v>
      </c>
    </row>
    <row r="311" spans="1:14" ht="15" customHeight="1" x14ac:dyDescent="0.25">
      <c r="B311" s="57" t="str">
        <f xml:space="preserve"> ( StartYear + 1 ) &amp; " Surplus Applied to " &amp; ( StartYear )</f>
        <v>2018 Surplus Applied to 2017</v>
      </c>
      <c r="C311" s="29"/>
      <c r="D311" s="134">
        <v>0</v>
      </c>
      <c r="E311" s="9">
        <v>0</v>
      </c>
      <c r="F311" s="113"/>
      <c r="G311" s="113"/>
      <c r="H311" s="117"/>
      <c r="L311" s="190" t="s">
        <v>232</v>
      </c>
      <c r="M311" s="29" t="s">
        <v>142</v>
      </c>
      <c r="N311" s="228" t="s">
        <v>238</v>
      </c>
    </row>
    <row r="312" spans="1:14" ht="15" customHeight="1" x14ac:dyDescent="0.25">
      <c r="B312" s="119" t="str">
        <f xml:space="preserve"> ( StartYear + 1 ) &amp; " Surplus Applied to " &amp; ( StartYear + 2 )</f>
        <v>2018 Surplus Applied to 2019</v>
      </c>
      <c r="C312" s="29"/>
      <c r="D312" s="114"/>
      <c r="E312" s="9">
        <v>0</v>
      </c>
      <c r="F312" s="51">
        <f>E312</f>
        <v>0</v>
      </c>
      <c r="G312" s="113"/>
      <c r="H312" s="117"/>
      <c r="L312" s="190" t="s">
        <v>232</v>
      </c>
      <c r="M312" s="29" t="s">
        <v>142</v>
      </c>
      <c r="N312" s="228" t="s">
        <v>239</v>
      </c>
    </row>
    <row r="313" spans="1:14" ht="15" customHeight="1" x14ac:dyDescent="0.25">
      <c r="B313" s="119" t="str">
        <f xml:space="preserve"> ( StartYear + 2 ) &amp; " Surplus Applied to " &amp; ( StartYear + 1 )</f>
        <v>2019 Surplus Applied to 2018</v>
      </c>
      <c r="C313" s="29"/>
      <c r="D313" s="114"/>
      <c r="E313" s="51">
        <v>0</v>
      </c>
      <c r="F313" s="9">
        <v>0</v>
      </c>
      <c r="G313" s="113"/>
      <c r="H313" s="117"/>
      <c r="L313" s="190" t="s">
        <v>232</v>
      </c>
      <c r="M313" s="29" t="s">
        <v>142</v>
      </c>
      <c r="N313" s="228" t="s">
        <v>240</v>
      </c>
    </row>
    <row r="314" spans="1:14" ht="15" customHeight="1" x14ac:dyDescent="0.25">
      <c r="B314" s="165" t="str">
        <f xml:space="preserve"> ( StartYear + 2 ) &amp; " Surplus Applied to " &amp; ( StartYear + 3 )</f>
        <v>2019 Surplus Applied to 2020</v>
      </c>
      <c r="C314" s="29"/>
      <c r="D314" s="114"/>
      <c r="E314" s="113"/>
      <c r="F314" s="9">
        <v>0</v>
      </c>
      <c r="G314" s="51">
        <f>F314</f>
        <v>0</v>
      </c>
      <c r="H314" s="117"/>
      <c r="L314" s="190" t="s">
        <v>232</v>
      </c>
      <c r="M314" s="29" t="s">
        <v>142</v>
      </c>
      <c r="N314" s="228" t="s">
        <v>241</v>
      </c>
    </row>
    <row r="315" spans="1:14" ht="15" customHeight="1" x14ac:dyDescent="0.25">
      <c r="B315" s="165" t="str">
        <f xml:space="preserve"> ( StartYear + 3 ) &amp; " Surplus Applied to " &amp; ( StartYear + 2 )</f>
        <v>2020 Surplus Applied to 2019</v>
      </c>
      <c r="C315" s="29"/>
      <c r="D315" s="114"/>
      <c r="E315" s="113"/>
      <c r="F315" s="51">
        <v>0</v>
      </c>
      <c r="G315" s="9">
        <v>0</v>
      </c>
      <c r="H315" s="117"/>
      <c r="L315" s="190" t="s">
        <v>232</v>
      </c>
      <c r="M315" s="29" t="s">
        <v>142</v>
      </c>
      <c r="N315" s="228" t="s">
        <v>242</v>
      </c>
    </row>
    <row r="316" spans="1:14" ht="15" customHeight="1" x14ac:dyDescent="0.25">
      <c r="B316" s="165" t="str">
        <f xml:space="preserve"> ( StartYear + 3 ) &amp; " Surplus Applied to " &amp; ( StartYear + 4 )</f>
        <v>2020 Surplus Applied to 2021</v>
      </c>
      <c r="C316" s="29"/>
      <c r="D316" s="114"/>
      <c r="E316" s="113"/>
      <c r="F316" s="113"/>
      <c r="G316" s="9">
        <v>0</v>
      </c>
      <c r="H316" s="46">
        <f>+G316</f>
        <v>0</v>
      </c>
      <c r="L316" s="190" t="s">
        <v>232</v>
      </c>
      <c r="M316" s="29" t="s">
        <v>142</v>
      </c>
      <c r="N316" s="228" t="s">
        <v>243</v>
      </c>
    </row>
    <row r="317" spans="1:14" ht="15" customHeight="1" x14ac:dyDescent="0.25">
      <c r="B317" s="165" t="str">
        <f xml:space="preserve"> ( StartYear + 4 ) &amp; " Surplus Applied to " &amp; ( StartYear + 3 )</f>
        <v>2021 Surplus Applied to 2020</v>
      </c>
      <c r="C317" s="29"/>
      <c r="D317" s="115"/>
      <c r="E317" s="116"/>
      <c r="F317" s="116"/>
      <c r="G317" s="47">
        <v>0</v>
      </c>
      <c r="H317" s="41">
        <v>0</v>
      </c>
      <c r="L317" s="190" t="s">
        <v>232</v>
      </c>
      <c r="M317" s="29" t="s">
        <v>142</v>
      </c>
      <c r="N317" s="228" t="s">
        <v>244</v>
      </c>
    </row>
    <row r="318" spans="1:14" ht="15" customHeight="1" x14ac:dyDescent="0.25">
      <c r="B318" s="120" t="s">
        <v>17</v>
      </c>
      <c r="D318" s="6">
        <f>D308-D309+D311-D310</f>
        <v>0</v>
      </c>
      <c r="E318" s="6">
        <f>E310+E313-E311-E312</f>
        <v>0</v>
      </c>
      <c r="F318" s="6">
        <f>F312+F315-F313-F314</f>
        <v>0</v>
      </c>
      <c r="G318" s="6">
        <f>G314+G317-G315-G316</f>
        <v>0</v>
      </c>
      <c r="H318" s="6">
        <f>H316 - H317</f>
        <v>0</v>
      </c>
      <c r="L318" s="190" t="s">
        <v>232</v>
      </c>
      <c r="M318" s="29" t="s">
        <v>142</v>
      </c>
      <c r="N318" s="228" t="s">
        <v>17</v>
      </c>
    </row>
    <row r="319" spans="1:14" ht="15" customHeight="1" x14ac:dyDescent="0.25">
      <c r="B319" s="121"/>
      <c r="D319" s="6"/>
      <c r="E319" s="6"/>
      <c r="F319" s="6"/>
      <c r="G319" s="6"/>
      <c r="H319" s="6"/>
      <c r="L319" s="190" t="s">
        <v>232</v>
      </c>
      <c r="M319" s="29" t="s">
        <v>142</v>
      </c>
    </row>
    <row r="320" spans="1:14" ht="15" customHeight="1" x14ac:dyDescent="0.25">
      <c r="B320" s="54" t="s">
        <v>12</v>
      </c>
      <c r="D320" s="183">
        <v>0</v>
      </c>
      <c r="E320" s="111">
        <v>0</v>
      </c>
      <c r="F320" s="111">
        <v>0</v>
      </c>
      <c r="G320" s="111">
        <v>0</v>
      </c>
      <c r="H320" s="76">
        <v>0</v>
      </c>
      <c r="L320" s="190" t="s">
        <v>232</v>
      </c>
      <c r="M320" s="29" t="s">
        <v>142</v>
      </c>
      <c r="N320" s="228" t="s">
        <v>12</v>
      </c>
    </row>
    <row r="321" spans="1:14" ht="15" customHeight="1" x14ac:dyDescent="0.25">
      <c r="B321" s="121"/>
      <c r="D321" s="6"/>
      <c r="E321" s="6"/>
      <c r="F321" s="6"/>
      <c r="G321" s="6"/>
      <c r="H321" s="6"/>
      <c r="L321" s="190" t="s">
        <v>232</v>
      </c>
      <c r="M321" s="29" t="s">
        <v>142</v>
      </c>
    </row>
    <row r="322" spans="1:14" ht="18.75" customHeight="1" x14ac:dyDescent="0.3">
      <c r="A322" s="38" t="s">
        <v>26</v>
      </c>
      <c r="B322" s="122"/>
      <c r="C322" s="52">
        <f>A288</f>
        <v>7</v>
      </c>
      <c r="D322" s="112">
        <f ca="1" xml:space="preserve"> D294 + D299 - D305 + D318 + D320</f>
        <v>16609</v>
      </c>
      <c r="E322" s="112">
        <f ca="1" xml:space="preserve"> E294 + E299 - E305 + E318 + E320</f>
        <v>16523</v>
      </c>
      <c r="F322" s="112">
        <f ca="1" xml:space="preserve"> F294 + F299 - F305 + F318 + F320</f>
        <v>15750</v>
      </c>
      <c r="G322" s="112">
        <f ca="1" xml:space="preserve"> G294 + G299 - G305 + G318 + G320</f>
        <v>19776</v>
      </c>
      <c r="H322" s="174">
        <f ca="1" xml:space="preserve"> H294 + H299 - H305 + H318 + H320</f>
        <v>19741</v>
      </c>
      <c r="L322" s="190" t="s">
        <v>232</v>
      </c>
      <c r="M322" s="29" t="s">
        <v>142</v>
      </c>
      <c r="N322" s="228" t="s">
        <v>26</v>
      </c>
    </row>
    <row r="323" spans="1:14" ht="15" customHeight="1" x14ac:dyDescent="0.25">
      <c r="C323" s="129" t="s">
        <v>158</v>
      </c>
      <c r="D323" s="6">
        <v>16609</v>
      </c>
      <c r="E323" s="6">
        <v>16523</v>
      </c>
      <c r="F323" s="6">
        <v>15750</v>
      </c>
      <c r="G323" s="6"/>
      <c r="H323" s="6"/>
      <c r="L323" s="190" t="s">
        <v>232</v>
      </c>
      <c r="M323" s="29" t="s">
        <v>142</v>
      </c>
      <c r="N323" s="228" t="s">
        <v>158</v>
      </c>
    </row>
    <row r="324" spans="1:14" ht="15" customHeight="1" x14ac:dyDescent="0.25">
      <c r="B324" s="121"/>
      <c r="D324" s="6"/>
      <c r="E324" s="6"/>
      <c r="F324" s="28"/>
      <c r="G324" s="28"/>
      <c r="H324" s="28"/>
      <c r="L324" s="190" t="s">
        <v>232</v>
      </c>
      <c r="M324" s="29" t="s">
        <v>142</v>
      </c>
    </row>
    <row r="325" spans="1:14" ht="15" customHeight="1" x14ac:dyDescent="0.25">
      <c r="A325" s="29"/>
      <c r="B325" s="29"/>
      <c r="C325" s="29"/>
      <c r="D325" s="29"/>
      <c r="E325" s="29"/>
      <c r="F325" s="29"/>
      <c r="G325" s="29"/>
      <c r="H325" s="29"/>
      <c r="L325" s="190" t="s">
        <v>232</v>
      </c>
      <c r="M325" s="29" t="s">
        <v>142</v>
      </c>
    </row>
    <row r="326" spans="1:14" ht="21" customHeight="1" x14ac:dyDescent="0.35">
      <c r="A326" s="12">
        <f>MAX(A$1:A325)+1</f>
        <v>8</v>
      </c>
      <c r="B326" s="123"/>
      <c r="C326" s="214" t="str">
        <f ca="1">OFFSET($B$4,A326-1,0)</f>
        <v>Sierra Pacific Burlington - Sierra Pacific Burlington</v>
      </c>
      <c r="D326" s="215"/>
      <c r="E326" s="216"/>
      <c r="F326" s="216"/>
      <c r="G326" s="217"/>
      <c r="H326" s="218"/>
      <c r="L326" s="190" t="s">
        <v>232</v>
      </c>
      <c r="M326" s="29" t="s">
        <v>229</v>
      </c>
      <c r="N326" s="228">
        <v>9</v>
      </c>
    </row>
    <row r="327" spans="1:14" ht="15" customHeight="1" x14ac:dyDescent="0.25">
      <c r="B327" s="122"/>
      <c r="C327" s="1" t="str">
        <f ca="1">VLOOKUP(C326,Facilities,3,FALSE)</f>
        <v>PPA</v>
      </c>
      <c r="D327" s="1"/>
      <c r="L327" s="190" t="s">
        <v>232</v>
      </c>
      <c r="M327" s="29" t="s">
        <v>229</v>
      </c>
      <c r="N327" s="228" t="s">
        <v>180</v>
      </c>
    </row>
    <row r="328" spans="1:14" ht="18.75" customHeight="1" x14ac:dyDescent="0.3">
      <c r="A328" s="8" t="s">
        <v>21</v>
      </c>
      <c r="B328" s="124"/>
      <c r="D328" s="2">
        <f>D404</f>
        <v>2017</v>
      </c>
      <c r="E328" s="2">
        <f>D328+1</f>
        <v>2018</v>
      </c>
      <c r="F328" s="118">
        <f>E328+1</f>
        <v>2019</v>
      </c>
      <c r="G328" s="118">
        <f>F328+1</f>
        <v>2020</v>
      </c>
      <c r="H328" s="118">
        <f>G328+1</f>
        <v>2021</v>
      </c>
      <c r="L328" s="190" t="s">
        <v>232</v>
      </c>
      <c r="M328" s="29" t="s">
        <v>229</v>
      </c>
      <c r="N328" s="228" t="s">
        <v>21</v>
      </c>
    </row>
    <row r="329" spans="1:14" ht="15" customHeight="1" x14ac:dyDescent="0.25">
      <c r="B329" s="119" t="str">
        <f ca="1">IF(C365&lt;&gt;"REC only","Total MWh ","")&amp;IF(C327="PSE owned","Produced","Purchased")&amp;" from "&amp;C326</f>
        <v>Total MWh Purchased from Sierra Pacific Burlington - Sierra Pacific Burlington</v>
      </c>
      <c r="C329" s="52"/>
      <c r="D329" s="3"/>
      <c r="E329" s="3"/>
      <c r="F329" s="3"/>
      <c r="G329" s="3"/>
      <c r="H329" s="4">
        <v>120421</v>
      </c>
      <c r="L329" s="190" t="s">
        <v>232</v>
      </c>
      <c r="M329" s="29" t="s">
        <v>229</v>
      </c>
      <c r="N329" s="228" t="s">
        <v>251</v>
      </c>
    </row>
    <row r="330" spans="1:14" ht="15" customHeight="1" x14ac:dyDescent="0.25">
      <c r="B330" s="119" t="s">
        <v>25</v>
      </c>
      <c r="C330" s="52"/>
      <c r="D330" s="132"/>
      <c r="E330" s="132"/>
      <c r="F330" s="132"/>
      <c r="G330" s="132"/>
      <c r="H330" s="133">
        <v>1</v>
      </c>
      <c r="L330" s="190" t="s">
        <v>232</v>
      </c>
      <c r="M330" s="29" t="s">
        <v>229</v>
      </c>
      <c r="N330" s="228" t="s">
        <v>25</v>
      </c>
    </row>
    <row r="331" spans="1:14" ht="15" customHeight="1" x14ac:dyDescent="0.25">
      <c r="B331" s="119" t="s">
        <v>20</v>
      </c>
      <c r="C331" s="52"/>
      <c r="D331" s="42"/>
      <c r="E331" s="42"/>
      <c r="F331" s="42"/>
      <c r="G331" s="42"/>
      <c r="H331" s="43">
        <v>1</v>
      </c>
      <c r="L331" s="190" t="s">
        <v>232</v>
      </c>
      <c r="M331" s="29" t="s">
        <v>229</v>
      </c>
      <c r="N331" s="228" t="s">
        <v>20</v>
      </c>
    </row>
    <row r="332" spans="1:14" ht="15" customHeight="1" x14ac:dyDescent="0.25">
      <c r="B332" s="54" t="s">
        <v>22</v>
      </c>
      <c r="C332" s="55"/>
      <c r="D332" s="131"/>
      <c r="E332" s="131"/>
      <c r="F332" s="131">
        <f xml:space="preserve"> ROUNDDOWN(F329 * F330 * F331,0)</f>
        <v>0</v>
      </c>
      <c r="G332" s="131">
        <f xml:space="preserve"> ROUNDDOWN(G329 * G330 * G331,0)</f>
        <v>0</v>
      </c>
      <c r="H332" s="131">
        <f xml:space="preserve"> ROUNDDOWN(H329 * H330 * H331,0)</f>
        <v>120421</v>
      </c>
      <c r="L332" s="190" t="s">
        <v>232</v>
      </c>
      <c r="M332" s="29" t="s">
        <v>229</v>
      </c>
      <c r="N332" s="228" t="s">
        <v>22</v>
      </c>
    </row>
    <row r="333" spans="1:14" ht="15" customHeight="1" x14ac:dyDescent="0.25">
      <c r="B333" s="22"/>
      <c r="C333" s="29"/>
      <c r="D333" s="36"/>
      <c r="E333" s="36"/>
      <c r="F333" s="36"/>
      <c r="G333" s="167"/>
      <c r="H333" s="36"/>
      <c r="L333" s="190" t="s">
        <v>232</v>
      </c>
      <c r="M333" s="29" t="s">
        <v>229</v>
      </c>
    </row>
    <row r="334" spans="1:14" ht="18.75" customHeight="1" x14ac:dyDescent="0.3">
      <c r="A334" s="39" t="s">
        <v>119</v>
      </c>
      <c r="B334" s="122"/>
      <c r="C334" s="29"/>
      <c r="D334" s="2">
        <f>D328</f>
        <v>2017</v>
      </c>
      <c r="E334" s="2">
        <f>D334+1</f>
        <v>2018</v>
      </c>
      <c r="F334" s="2">
        <f>E334+1</f>
        <v>2019</v>
      </c>
      <c r="G334" s="2">
        <f>F334+1</f>
        <v>2020</v>
      </c>
      <c r="H334" s="2">
        <f>G334+1</f>
        <v>2021</v>
      </c>
      <c r="L334" s="190" t="s">
        <v>232</v>
      </c>
      <c r="M334" s="29" t="s">
        <v>229</v>
      </c>
      <c r="N334" s="228" t="s">
        <v>119</v>
      </c>
    </row>
    <row r="335" spans="1:14" x14ac:dyDescent="0.25">
      <c r="B335" s="119" t="s">
        <v>10</v>
      </c>
      <c r="C335" s="52"/>
      <c r="D335" s="10">
        <f ca="1">IF(VLOOKUP($C326,Facilities,5,FALSE)="Eligible", D332*ApprenticeshipBonus, 0 )</f>
        <v>0</v>
      </c>
      <c r="E335" s="109">
        <f ca="1">IF(VLOOKUP($C326,Facilities,5,FALSE)="Eligible", E332*ApprenticeshipBonus, 0 )</f>
        <v>0</v>
      </c>
      <c r="F335" s="109">
        <f ca="1">IF(VLOOKUP($C326,Facilities,5,FALSE)="Eligible", F332*ApprenticeshipBonus, 0 )</f>
        <v>0</v>
      </c>
      <c r="G335" s="109">
        <f ca="1">IF(VLOOKUP($C326,Facilities,5,FALSE)="Eligible", G332*ApprenticeshipBonus, 0 )</f>
        <v>0</v>
      </c>
      <c r="H335" s="11">
        <f ca="1">IF(VLOOKUP($C326,Facilities,5,FALSE)="Eligible", H332*ApprenticeshipBonus, 0 )</f>
        <v>0</v>
      </c>
      <c r="L335" s="190" t="s">
        <v>232</v>
      </c>
      <c r="M335" s="29" t="s">
        <v>229</v>
      </c>
      <c r="N335" s="228" t="s">
        <v>10</v>
      </c>
    </row>
    <row r="336" spans="1:14" ht="15" customHeight="1" x14ac:dyDescent="0.25">
      <c r="B336" s="119" t="s">
        <v>6</v>
      </c>
      <c r="C336" s="52"/>
      <c r="D336" s="44">
        <f ca="1">IF(VLOOKUP($C326,Facilities,6,FALSE)="Eligible", D332, 0 )</f>
        <v>0</v>
      </c>
      <c r="E336" s="110">
        <f ca="1">IF(VLOOKUP($C326,Facilities,6,FALSE)="Eligible", E332, 0 )</f>
        <v>0</v>
      </c>
      <c r="F336" s="110">
        <f ca="1">IF(VLOOKUP($C326,Facilities,6,FALSE)="Eligible", F332, 0 )</f>
        <v>0</v>
      </c>
      <c r="G336" s="110">
        <f ca="1">IF(VLOOKUP($C326,Facilities,6,FALSE)="Eligible", G332, 0 )</f>
        <v>0</v>
      </c>
      <c r="H336" s="45">
        <f ca="1">IF(VLOOKUP($C326,Facilities,6,FALSE)="Eligible", H332, 0 )</f>
        <v>0</v>
      </c>
      <c r="L336" s="190" t="s">
        <v>232</v>
      </c>
      <c r="M336" s="29" t="s">
        <v>229</v>
      </c>
      <c r="N336" s="228" t="s">
        <v>6</v>
      </c>
    </row>
    <row r="337" spans="1:14" ht="15" customHeight="1" x14ac:dyDescent="0.25">
      <c r="B337" s="54" t="s">
        <v>121</v>
      </c>
      <c r="C337" s="55"/>
      <c r="D337" s="37">
        <f ca="1">SUM(D335:D336)</f>
        <v>0</v>
      </c>
      <c r="E337" s="37">
        <f ca="1">SUM(E335:E336)</f>
        <v>0</v>
      </c>
      <c r="F337" s="37">
        <f ca="1">SUM(F335:F336)</f>
        <v>0</v>
      </c>
      <c r="G337" s="37">
        <f ca="1">SUM(G335:G336)</f>
        <v>0</v>
      </c>
      <c r="H337" s="37">
        <f ca="1">SUM(H335:H336)</f>
        <v>0</v>
      </c>
      <c r="L337" s="190" t="s">
        <v>232</v>
      </c>
      <c r="M337" s="29" t="s">
        <v>229</v>
      </c>
      <c r="N337" s="228" t="s">
        <v>121</v>
      </c>
    </row>
    <row r="338" spans="1:14" ht="15" customHeight="1" x14ac:dyDescent="0.25">
      <c r="B338" s="22"/>
      <c r="C338" s="29"/>
      <c r="D338" s="30"/>
      <c r="E338" s="30"/>
      <c r="F338" s="30"/>
      <c r="G338" s="169"/>
      <c r="H338" s="30"/>
      <c r="L338" s="190" t="s">
        <v>232</v>
      </c>
      <c r="M338" s="29" t="s">
        <v>229</v>
      </c>
    </row>
    <row r="339" spans="1:14" ht="18.75" customHeight="1" x14ac:dyDescent="0.3">
      <c r="A339" s="38" t="s">
        <v>30</v>
      </c>
      <c r="B339" s="122"/>
      <c r="C339" s="29"/>
      <c r="D339" s="2">
        <f>D328</f>
        <v>2017</v>
      </c>
      <c r="E339" s="2">
        <f>D339+1</f>
        <v>2018</v>
      </c>
      <c r="F339" s="2">
        <f>E339+1</f>
        <v>2019</v>
      </c>
      <c r="G339" s="2">
        <f>F339+1</f>
        <v>2020</v>
      </c>
      <c r="H339" s="2">
        <f>G339+1</f>
        <v>2021</v>
      </c>
      <c r="L339" s="190" t="s">
        <v>232</v>
      </c>
      <c r="M339" s="29" t="s">
        <v>229</v>
      </c>
      <c r="N339" s="228" t="s">
        <v>30</v>
      </c>
    </row>
    <row r="340" spans="1:14" ht="15" customHeight="1" x14ac:dyDescent="0.25">
      <c r="B340" s="119" t="s">
        <v>47</v>
      </c>
      <c r="C340" s="52"/>
      <c r="D340" s="3">
        <v>0</v>
      </c>
      <c r="E340" s="3">
        <v>0</v>
      </c>
      <c r="F340" s="3">
        <v>0</v>
      </c>
      <c r="G340" s="3">
        <v>0</v>
      </c>
      <c r="H340" s="4">
        <v>0</v>
      </c>
      <c r="L340" s="190" t="s">
        <v>232</v>
      </c>
      <c r="M340" s="29" t="s">
        <v>229</v>
      </c>
      <c r="N340" s="228" t="s">
        <v>47</v>
      </c>
    </row>
    <row r="341" spans="1:14" ht="15" customHeight="1" x14ac:dyDescent="0.25">
      <c r="B341" s="68" t="s">
        <v>23</v>
      </c>
      <c r="C341" s="59"/>
      <c r="D341" s="137">
        <v>0</v>
      </c>
      <c r="E341" s="137">
        <v>0</v>
      </c>
      <c r="F341" s="137">
        <v>0</v>
      </c>
      <c r="G341" s="137">
        <v>0</v>
      </c>
      <c r="H341" s="138">
        <v>0</v>
      </c>
      <c r="L341" s="190" t="s">
        <v>232</v>
      </c>
      <c r="M341" s="29" t="s">
        <v>229</v>
      </c>
      <c r="N341" s="228" t="s">
        <v>23</v>
      </c>
    </row>
    <row r="342" spans="1:14" ht="15" customHeight="1" x14ac:dyDescent="0.25">
      <c r="B342" s="68" t="s">
        <v>89</v>
      </c>
      <c r="C342" s="67"/>
      <c r="D342" s="191">
        <v>0</v>
      </c>
      <c r="E342" s="139">
        <v>0</v>
      </c>
      <c r="F342" s="139">
        <v>0</v>
      </c>
      <c r="G342" s="139">
        <v>0</v>
      </c>
      <c r="H342" s="140">
        <v>0</v>
      </c>
      <c r="L342" s="190" t="s">
        <v>232</v>
      </c>
      <c r="M342" s="29" t="s">
        <v>229</v>
      </c>
      <c r="N342" s="228" t="s">
        <v>89</v>
      </c>
    </row>
    <row r="343" spans="1:14" ht="15" customHeight="1" x14ac:dyDescent="0.25">
      <c r="B343" s="120" t="s">
        <v>90</v>
      </c>
      <c r="D343" s="6">
        <f>SUM(D340:D342)</f>
        <v>0</v>
      </c>
      <c r="E343" s="6">
        <f>SUM(E340:E342)</f>
        <v>0</v>
      </c>
      <c r="F343" s="6">
        <f>SUM(F340:F342)</f>
        <v>0</v>
      </c>
      <c r="G343" s="6">
        <f>SUM(G340:G342)</f>
        <v>0</v>
      </c>
      <c r="H343" s="6">
        <f>SUM(H340:H342)</f>
        <v>0</v>
      </c>
      <c r="L343" s="190" t="s">
        <v>232</v>
      </c>
      <c r="M343" s="29" t="s">
        <v>229</v>
      </c>
      <c r="N343" s="228" t="s">
        <v>90</v>
      </c>
    </row>
    <row r="344" spans="1:14" ht="15" customHeight="1" x14ac:dyDescent="0.25">
      <c r="B344" s="121"/>
      <c r="D344" s="6"/>
      <c r="E344" s="6"/>
      <c r="F344" s="6"/>
      <c r="G344" s="167"/>
      <c r="H344" s="6"/>
      <c r="L344" s="190" t="s">
        <v>232</v>
      </c>
      <c r="M344" s="29" t="s">
        <v>229</v>
      </c>
    </row>
    <row r="345" spans="1:14" ht="18.75" customHeight="1" x14ac:dyDescent="0.3">
      <c r="A345" s="8" t="s">
        <v>100</v>
      </c>
      <c r="B345" s="122"/>
      <c r="D345" s="2">
        <f>D328</f>
        <v>2017</v>
      </c>
      <c r="E345" s="2">
        <f>D345+1</f>
        <v>2018</v>
      </c>
      <c r="F345" s="2">
        <f>E345+1</f>
        <v>2019</v>
      </c>
      <c r="G345" s="2">
        <f>F345+1</f>
        <v>2020</v>
      </c>
      <c r="H345" s="2">
        <f>G345+1</f>
        <v>2021</v>
      </c>
      <c r="L345" s="190" t="s">
        <v>232</v>
      </c>
      <c r="M345" s="29" t="s">
        <v>229</v>
      </c>
      <c r="N345" s="228" t="s">
        <v>100</v>
      </c>
    </row>
    <row r="346" spans="1:14" ht="15" customHeight="1" x14ac:dyDescent="0.25">
      <c r="B346" s="57" t="str">
        <f>(StartYear-1) &amp; " Surplus Applied to " &amp; StartYear</f>
        <v>2016 Surplus Applied to 2017</v>
      </c>
      <c r="C346" s="29"/>
      <c r="D346" s="186">
        <v>0</v>
      </c>
      <c r="E346" s="187"/>
      <c r="F346" s="187"/>
      <c r="G346" s="187"/>
      <c r="H346" s="188"/>
      <c r="L346" s="190" t="s">
        <v>232</v>
      </c>
      <c r="M346" s="29" t="s">
        <v>229</v>
      </c>
      <c r="N346" s="228" t="s">
        <v>235</v>
      </c>
    </row>
    <row r="347" spans="1:14" ht="15" customHeight="1" x14ac:dyDescent="0.25">
      <c r="B347" s="57" t="str">
        <f>StartYear &amp; " Surplus Applied to " &amp; (StartYear-1)</f>
        <v>2017 Surplus Applied to 2016</v>
      </c>
      <c r="C347" s="29"/>
      <c r="D347" s="189">
        <v>0</v>
      </c>
      <c r="E347" s="113"/>
      <c r="F347" s="113"/>
      <c r="G347" s="113"/>
      <c r="H347" s="117"/>
      <c r="L347" s="190" t="s">
        <v>232</v>
      </c>
      <c r="M347" s="29" t="s">
        <v>229</v>
      </c>
      <c r="N347" s="228" t="s">
        <v>236</v>
      </c>
    </row>
    <row r="348" spans="1:14" ht="15" customHeight="1" x14ac:dyDescent="0.25">
      <c r="B348" s="57" t="str">
        <f>( StartYear) &amp; " Surplus Applied to " &amp; ( StartYear + 1 )</f>
        <v>2017 Surplus Applied to 2018</v>
      </c>
      <c r="C348" s="29"/>
      <c r="D348" s="184">
        <v>0</v>
      </c>
      <c r="E348" s="185">
        <f>D348</f>
        <v>0</v>
      </c>
      <c r="F348" s="181"/>
      <c r="G348" s="181"/>
      <c r="H348" s="182"/>
      <c r="L348" s="190" t="s">
        <v>232</v>
      </c>
      <c r="M348" s="29" t="s">
        <v>229</v>
      </c>
      <c r="N348" s="228" t="s">
        <v>237</v>
      </c>
    </row>
    <row r="349" spans="1:14" ht="15" customHeight="1" x14ac:dyDescent="0.25">
      <c r="B349" s="57" t="str">
        <f xml:space="preserve"> ( StartYear + 1 ) &amp; " Surplus Applied to " &amp; ( StartYear )</f>
        <v>2018 Surplus Applied to 2017</v>
      </c>
      <c r="C349" s="29"/>
      <c r="D349" s="134">
        <v>0</v>
      </c>
      <c r="E349" s="9">
        <v>0</v>
      </c>
      <c r="F349" s="113"/>
      <c r="G349" s="113"/>
      <c r="H349" s="117"/>
      <c r="L349" s="190" t="s">
        <v>232</v>
      </c>
      <c r="M349" s="29" t="s">
        <v>229</v>
      </c>
      <c r="N349" s="228" t="s">
        <v>238</v>
      </c>
    </row>
    <row r="350" spans="1:14" ht="15" customHeight="1" x14ac:dyDescent="0.25">
      <c r="B350" s="119" t="str">
        <f xml:space="preserve"> ( StartYear + 1 ) &amp; " Surplus Applied to " &amp; ( StartYear + 2 )</f>
        <v>2018 Surplus Applied to 2019</v>
      </c>
      <c r="C350" s="29"/>
      <c r="D350" s="114"/>
      <c r="E350" s="9">
        <v>0</v>
      </c>
      <c r="F350" s="51">
        <f>E350</f>
        <v>0</v>
      </c>
      <c r="G350" s="113"/>
      <c r="H350" s="117"/>
      <c r="L350" s="190" t="s">
        <v>232</v>
      </c>
      <c r="M350" s="29" t="s">
        <v>229</v>
      </c>
      <c r="N350" s="228" t="s">
        <v>239</v>
      </c>
    </row>
    <row r="351" spans="1:14" ht="15" customHeight="1" x14ac:dyDescent="0.25">
      <c r="B351" s="119" t="str">
        <f xml:space="preserve"> ( StartYear + 2 ) &amp; " Surplus Applied to " &amp; ( StartYear + 1 )</f>
        <v>2019 Surplus Applied to 2018</v>
      </c>
      <c r="C351" s="29"/>
      <c r="D351" s="114"/>
      <c r="E351" s="51">
        <v>0</v>
      </c>
      <c r="F351" s="9">
        <v>0</v>
      </c>
      <c r="G351" s="113"/>
      <c r="H351" s="117"/>
      <c r="L351" s="190" t="s">
        <v>232</v>
      </c>
      <c r="M351" s="29" t="s">
        <v>229</v>
      </c>
      <c r="N351" s="228" t="s">
        <v>240</v>
      </c>
    </row>
    <row r="352" spans="1:14" ht="15" customHeight="1" x14ac:dyDescent="0.25">
      <c r="B352" s="165" t="str">
        <f xml:space="preserve"> ( StartYear + 2 ) &amp; " Surplus Applied to " &amp; ( StartYear + 3 )</f>
        <v>2019 Surplus Applied to 2020</v>
      </c>
      <c r="C352" s="29"/>
      <c r="D352" s="114"/>
      <c r="E352" s="113"/>
      <c r="F352" s="9">
        <v>0</v>
      </c>
      <c r="G352" s="51">
        <f>F352</f>
        <v>0</v>
      </c>
      <c r="H352" s="117"/>
      <c r="L352" s="190" t="s">
        <v>232</v>
      </c>
      <c r="M352" s="29" t="s">
        <v>229</v>
      </c>
      <c r="N352" s="228" t="s">
        <v>241</v>
      </c>
    </row>
    <row r="353" spans="1:14" ht="15" customHeight="1" x14ac:dyDescent="0.25">
      <c r="B353" s="165" t="str">
        <f xml:space="preserve"> ( StartYear + 3 ) &amp; " Surplus Applied to " &amp; ( StartYear + 2 )</f>
        <v>2020 Surplus Applied to 2019</v>
      </c>
      <c r="C353" s="29"/>
      <c r="D353" s="114"/>
      <c r="E353" s="113"/>
      <c r="F353" s="51">
        <v>0</v>
      </c>
      <c r="G353" s="9">
        <v>0</v>
      </c>
      <c r="H353" s="117"/>
      <c r="L353" s="190" t="s">
        <v>232</v>
      </c>
      <c r="M353" s="29" t="s">
        <v>229</v>
      </c>
      <c r="N353" s="228" t="s">
        <v>242</v>
      </c>
    </row>
    <row r="354" spans="1:14" ht="15" customHeight="1" x14ac:dyDescent="0.25">
      <c r="B354" s="165" t="str">
        <f xml:space="preserve"> ( StartYear + 3 ) &amp; " Surplus Applied to " &amp; ( StartYear + 4 )</f>
        <v>2020 Surplus Applied to 2021</v>
      </c>
      <c r="C354" s="29"/>
      <c r="D354" s="114"/>
      <c r="E354" s="113"/>
      <c r="F354" s="113"/>
      <c r="G354" s="9">
        <v>0</v>
      </c>
      <c r="H354" s="46">
        <f>G354</f>
        <v>0</v>
      </c>
      <c r="L354" s="190" t="s">
        <v>232</v>
      </c>
      <c r="M354" s="29" t="s">
        <v>229</v>
      </c>
      <c r="N354" s="228" t="s">
        <v>243</v>
      </c>
    </row>
    <row r="355" spans="1:14" ht="15" customHeight="1" x14ac:dyDescent="0.25">
      <c r="B355" s="165" t="str">
        <f xml:space="preserve"> ( StartYear + 4 ) &amp; " Surplus Applied to " &amp; ( StartYear + 3 )</f>
        <v>2021 Surplus Applied to 2020</v>
      </c>
      <c r="C355" s="29"/>
      <c r="D355" s="115"/>
      <c r="E355" s="116"/>
      <c r="F355" s="116"/>
      <c r="G355" s="47">
        <v>0</v>
      </c>
      <c r="H355" s="41">
        <v>0</v>
      </c>
      <c r="L355" s="190" t="s">
        <v>232</v>
      </c>
      <c r="M355" s="29" t="s">
        <v>229</v>
      </c>
      <c r="N355" s="228" t="s">
        <v>244</v>
      </c>
    </row>
    <row r="356" spans="1:14" ht="15" customHeight="1" x14ac:dyDescent="0.25">
      <c r="B356" s="120" t="s">
        <v>17</v>
      </c>
      <c r="D356" s="6">
        <f>D346-D347+D349-D348</f>
        <v>0</v>
      </c>
      <c r="E356" s="6">
        <f>E348+E351-E349-E350</f>
        <v>0</v>
      </c>
      <c r="F356" s="6">
        <f>F350+F353-F351-F352</f>
        <v>0</v>
      </c>
      <c r="G356" s="6">
        <f>G352+G355-G353-G354</f>
        <v>0</v>
      </c>
      <c r="H356" s="6">
        <f>H354 - H355</f>
        <v>0</v>
      </c>
      <c r="L356" s="190" t="s">
        <v>232</v>
      </c>
      <c r="M356" s="29" t="s">
        <v>229</v>
      </c>
      <c r="N356" s="228" t="s">
        <v>17</v>
      </c>
    </row>
    <row r="357" spans="1:14" ht="15" customHeight="1" x14ac:dyDescent="0.25">
      <c r="B357" s="121"/>
      <c r="D357" s="6"/>
      <c r="E357" s="6"/>
      <c r="F357" s="6"/>
      <c r="G357" s="6"/>
      <c r="H357" s="6"/>
      <c r="L357" s="190" t="s">
        <v>232</v>
      </c>
      <c r="M357" s="29" t="s">
        <v>229</v>
      </c>
    </row>
    <row r="358" spans="1:14" ht="15" customHeight="1" x14ac:dyDescent="0.25">
      <c r="B358" s="54" t="s">
        <v>12</v>
      </c>
      <c r="C358" s="52"/>
      <c r="D358" s="75">
        <v>0</v>
      </c>
      <c r="E358" s="111">
        <v>0</v>
      </c>
      <c r="F358" s="111">
        <v>0</v>
      </c>
      <c r="G358" s="111">
        <v>0</v>
      </c>
      <c r="H358" s="76">
        <v>0</v>
      </c>
      <c r="L358" s="190" t="s">
        <v>232</v>
      </c>
      <c r="M358" s="29" t="s">
        <v>229</v>
      </c>
      <c r="N358" s="228" t="s">
        <v>12</v>
      </c>
    </row>
    <row r="359" spans="1:14" ht="15" customHeight="1" x14ac:dyDescent="0.25">
      <c r="B359" s="121"/>
      <c r="D359" s="6"/>
      <c r="E359" s="6"/>
      <c r="F359" s="6"/>
      <c r="G359" s="6"/>
      <c r="H359" s="6"/>
      <c r="L359" s="190" t="s">
        <v>232</v>
      </c>
      <c r="M359" s="29" t="s">
        <v>229</v>
      </c>
    </row>
    <row r="360" spans="1:14" ht="18.75" customHeight="1" x14ac:dyDescent="0.3">
      <c r="A360" s="38" t="s">
        <v>26</v>
      </c>
      <c r="B360" s="122"/>
      <c r="C360" s="52">
        <f>A326</f>
        <v>8</v>
      </c>
      <c r="D360" s="112">
        <f ca="1" xml:space="preserve"> D332 + D337 - D343 + D356 + D358</f>
        <v>0</v>
      </c>
      <c r="E360" s="112">
        <f ca="1" xml:space="preserve"> E332 + E337 - E343 + E356 + E358</f>
        <v>0</v>
      </c>
      <c r="F360" s="112">
        <f ca="1" xml:space="preserve"> F332 + F337 - F343 + F356 + F358</f>
        <v>0</v>
      </c>
      <c r="G360" s="112">
        <f ca="1" xml:space="preserve"> G332 + G337 - G343 + G356 + G358</f>
        <v>0</v>
      </c>
      <c r="H360" s="174">
        <f ca="1" xml:space="preserve"> H332 + H337 - H343 + H356 + H358</f>
        <v>120421</v>
      </c>
      <c r="L360" s="190" t="s">
        <v>232</v>
      </c>
      <c r="M360" s="29" t="s">
        <v>229</v>
      </c>
      <c r="N360" s="228" t="s">
        <v>26</v>
      </c>
    </row>
    <row r="361" spans="1:14" ht="15" customHeight="1" x14ac:dyDescent="0.25">
      <c r="B361" s="121"/>
      <c r="C361" s="129" t="s">
        <v>158</v>
      </c>
      <c r="D361" s="6"/>
      <c r="E361" s="6"/>
      <c r="F361" s="6" t="s">
        <v>292</v>
      </c>
      <c r="G361" s="6"/>
      <c r="H361" s="6"/>
      <c r="L361" s="190" t="s">
        <v>232</v>
      </c>
      <c r="M361" s="29" t="s">
        <v>229</v>
      </c>
      <c r="N361" s="228" t="s">
        <v>158</v>
      </c>
    </row>
    <row r="362" spans="1:14" ht="15" customHeight="1" x14ac:dyDescent="0.25">
      <c r="B362" s="121"/>
      <c r="D362" s="6"/>
      <c r="E362" s="6"/>
      <c r="F362" s="28"/>
      <c r="G362" s="28"/>
      <c r="H362" s="28"/>
      <c r="L362" s="190" t="s">
        <v>232</v>
      </c>
      <c r="M362" s="29" t="s">
        <v>229</v>
      </c>
    </row>
    <row r="363" spans="1:14" ht="15" customHeight="1" x14ac:dyDescent="0.25">
      <c r="B363" s="122"/>
      <c r="D363" s="1"/>
      <c r="L363" s="190" t="s">
        <v>232</v>
      </c>
      <c r="M363" s="29" t="s">
        <v>229</v>
      </c>
    </row>
    <row r="364" spans="1:14" ht="21" customHeight="1" x14ac:dyDescent="0.35">
      <c r="A364" s="12">
        <f>MAX(A$1:A363)+1</f>
        <v>9</v>
      </c>
      <c r="C364" s="214" t="str">
        <f ca="1">OFFSET($B$4,A364-1,0)</f>
        <v>Wild Horse</v>
      </c>
      <c r="D364" s="215"/>
      <c r="E364" s="216"/>
      <c r="F364" s="216"/>
      <c r="G364" s="217"/>
      <c r="H364" s="218"/>
      <c r="J364" s="247"/>
      <c r="K364" s="247"/>
      <c r="L364" s="190" t="s">
        <v>232</v>
      </c>
      <c r="M364" s="29" t="s">
        <v>127</v>
      </c>
      <c r="N364" s="228">
        <v>11</v>
      </c>
    </row>
    <row r="365" spans="1:14" ht="15" customHeight="1" x14ac:dyDescent="0.25">
      <c r="C365" s="1" t="str">
        <f ca="1">VLOOKUP(C364,Facilities,3,FALSE)</f>
        <v>PSE owned</v>
      </c>
      <c r="D365" s="177"/>
      <c r="H365" s="108"/>
      <c r="L365" s="190" t="s">
        <v>232</v>
      </c>
      <c r="M365" s="29" t="s">
        <v>127</v>
      </c>
      <c r="N365" s="228" t="s">
        <v>179</v>
      </c>
    </row>
    <row r="366" spans="1:14" ht="18.75" customHeight="1" x14ac:dyDescent="0.3">
      <c r="A366" s="8" t="s">
        <v>21</v>
      </c>
      <c r="D366" s="2">
        <v>2017</v>
      </c>
      <c r="E366" s="2">
        <f>D366+1</f>
        <v>2018</v>
      </c>
      <c r="F366" s="118">
        <f>E366+1</f>
        <v>2019</v>
      </c>
      <c r="G366" s="118">
        <f>F366+1</f>
        <v>2020</v>
      </c>
      <c r="H366" s="118">
        <f>G366+1</f>
        <v>2021</v>
      </c>
      <c r="L366" s="190" t="s">
        <v>232</v>
      </c>
      <c r="M366" s="29" t="s">
        <v>127</v>
      </c>
      <c r="N366" s="228" t="s">
        <v>21</v>
      </c>
    </row>
    <row r="367" spans="1:14" ht="15" customHeight="1" x14ac:dyDescent="0.25">
      <c r="B367" s="119" t="str">
        <f ca="1">IF(C403&lt;&gt;"REC only","Total MWh ","")&amp;IF(C365="PSE owned","Produced","Purchased")&amp;" from "&amp;C364</f>
        <v>Total MWh Produced from Wild Horse</v>
      </c>
      <c r="C367" s="52"/>
      <c r="D367" s="154">
        <v>516263</v>
      </c>
      <c r="E367" s="178">
        <v>537534</v>
      </c>
      <c r="F367" s="178">
        <v>516216</v>
      </c>
      <c r="G367" s="178">
        <v>643493</v>
      </c>
      <c r="H367" s="176">
        <v>543895</v>
      </c>
      <c r="J367" s="232"/>
      <c r="K367" s="30"/>
      <c r="L367" s="190" t="s">
        <v>232</v>
      </c>
      <c r="M367" s="29" t="s">
        <v>127</v>
      </c>
      <c r="N367" s="228" t="s">
        <v>252</v>
      </c>
    </row>
    <row r="368" spans="1:14" ht="15" customHeight="1" x14ac:dyDescent="0.25">
      <c r="B368" s="57" t="s">
        <v>25</v>
      </c>
      <c r="C368" s="52"/>
      <c r="D368" s="212">
        <v>1</v>
      </c>
      <c r="E368" s="132">
        <v>1</v>
      </c>
      <c r="F368" s="132">
        <v>1</v>
      </c>
      <c r="G368" s="132">
        <v>1</v>
      </c>
      <c r="H368" s="133">
        <v>1</v>
      </c>
      <c r="J368" s="232"/>
      <c r="K368" s="30"/>
      <c r="L368" s="190" t="s">
        <v>232</v>
      </c>
      <c r="M368" s="29" t="s">
        <v>127</v>
      </c>
      <c r="N368" s="228" t="s">
        <v>25</v>
      </c>
    </row>
    <row r="369" spans="1:14" ht="15" customHeight="1" x14ac:dyDescent="0.25">
      <c r="B369" s="57" t="s">
        <v>20</v>
      </c>
      <c r="C369" s="52"/>
      <c r="D369" s="213">
        <v>1</v>
      </c>
      <c r="E369" s="42">
        <v>1</v>
      </c>
      <c r="F369" s="42">
        <v>1</v>
      </c>
      <c r="G369" s="42">
        <v>1</v>
      </c>
      <c r="H369" s="43">
        <v>1</v>
      </c>
      <c r="J369" s="232"/>
      <c r="K369" s="30"/>
      <c r="L369" s="190" t="s">
        <v>232</v>
      </c>
      <c r="M369" s="29" t="s">
        <v>127</v>
      </c>
      <c r="N369" s="228" t="s">
        <v>20</v>
      </c>
    </row>
    <row r="370" spans="1:14" ht="15" customHeight="1" x14ac:dyDescent="0.25">
      <c r="B370" s="54" t="s">
        <v>22</v>
      </c>
      <c r="C370" s="55"/>
      <c r="D370" s="131">
        <f>D367*D368*D369</f>
        <v>516263</v>
      </c>
      <c r="E370" s="131">
        <f>E367*E368*E369</f>
        <v>537534</v>
      </c>
      <c r="F370" s="131">
        <f>F367*F368*F369</f>
        <v>516216</v>
      </c>
      <c r="G370" s="131">
        <f>G367*G368*G369</f>
        <v>643493</v>
      </c>
      <c r="H370" s="131">
        <f>H367*H368*H369</f>
        <v>543895</v>
      </c>
      <c r="K370" s="30"/>
      <c r="L370" s="190" t="s">
        <v>232</v>
      </c>
      <c r="M370" s="29" t="s">
        <v>127</v>
      </c>
      <c r="N370" s="228" t="s">
        <v>22</v>
      </c>
    </row>
    <row r="371" spans="1:14" ht="15" customHeight="1" x14ac:dyDescent="0.25">
      <c r="B371" s="22"/>
      <c r="C371" s="29"/>
      <c r="D371" s="167"/>
      <c r="E371" s="167"/>
      <c r="F371" s="167"/>
      <c r="G371" s="167"/>
      <c r="H371" s="166"/>
      <c r="K371" s="233"/>
      <c r="L371" s="190" t="s">
        <v>232</v>
      </c>
      <c r="M371" s="29" t="s">
        <v>127</v>
      </c>
    </row>
    <row r="372" spans="1:14" ht="18.75" customHeight="1" x14ac:dyDescent="0.3">
      <c r="A372" s="39" t="s">
        <v>119</v>
      </c>
      <c r="C372" s="29"/>
      <c r="D372" s="2">
        <f>D366</f>
        <v>2017</v>
      </c>
      <c r="E372" s="2">
        <f>E366</f>
        <v>2018</v>
      </c>
      <c r="F372" s="2">
        <f>F366</f>
        <v>2019</v>
      </c>
      <c r="G372" s="2">
        <f>G366</f>
        <v>2020</v>
      </c>
      <c r="H372" s="2">
        <f>H366</f>
        <v>2021</v>
      </c>
      <c r="K372" s="30"/>
      <c r="L372" s="190" t="s">
        <v>232</v>
      </c>
      <c r="M372" s="29" t="s">
        <v>127</v>
      </c>
      <c r="N372" s="228" t="s">
        <v>119</v>
      </c>
    </row>
    <row r="373" spans="1:14" x14ac:dyDescent="0.25">
      <c r="B373" s="57" t="s">
        <v>10</v>
      </c>
      <c r="C373" s="52"/>
      <c r="D373" s="10">
        <f ca="1">IF(VLOOKUP($C364,Facilities,5,FALSE)="Eligible", D370*ApprenticeshipBonus, 0 )</f>
        <v>0</v>
      </c>
      <c r="E373" s="109">
        <f ca="1">IF(VLOOKUP($C364,Facilities,5,FALSE)="Eligible", E370*ApprenticeshipBonus, 0 )</f>
        <v>0</v>
      </c>
      <c r="F373" s="109">
        <f ca="1">IF(VLOOKUP($C364,Facilities,5,FALSE)="Eligible", F370*ApprenticeshipBonus, 0 )</f>
        <v>0</v>
      </c>
      <c r="G373" s="109">
        <f ca="1">IF(VLOOKUP($C364,Facilities,5,FALSE)="Eligible", G370*ApprenticeshipBonus, 0 )</f>
        <v>0</v>
      </c>
      <c r="H373" s="11">
        <f ca="1">IF(VLOOKUP($C364,Facilities,5,FALSE)="Eligible", H370*ApprenticeshipBonus, 0 )</f>
        <v>0</v>
      </c>
      <c r="L373" s="190" t="s">
        <v>232</v>
      </c>
      <c r="M373" s="29" t="s">
        <v>127</v>
      </c>
      <c r="N373" s="228" t="s">
        <v>10</v>
      </c>
    </row>
    <row r="374" spans="1:14" ht="15" customHeight="1" x14ac:dyDescent="0.25">
      <c r="B374" s="57" t="s">
        <v>6</v>
      </c>
      <c r="C374" s="52"/>
      <c r="D374" s="44">
        <f ca="1">IF(VLOOKUP($C364,Facilities,6,FALSE)="Eligible", D370, 0 )</f>
        <v>0</v>
      </c>
      <c r="E374" s="110">
        <f ca="1">IF(VLOOKUP($C364,Facilities,6,FALSE)="Eligible", E370, 0 )</f>
        <v>0</v>
      </c>
      <c r="F374" s="110">
        <f ca="1">IF(VLOOKUP($C364,Facilities,6,FALSE)="Eligible", F370, 0 )</f>
        <v>0</v>
      </c>
      <c r="G374" s="110">
        <f ca="1">IF(VLOOKUP($C364,Facilities,6,FALSE)="Eligible", G370, 0 )</f>
        <v>0</v>
      </c>
      <c r="H374" s="45">
        <f ca="1">IF(VLOOKUP($C364,Facilities,6,FALSE)="Eligible", H370, 0 )</f>
        <v>0</v>
      </c>
      <c r="L374" s="190" t="s">
        <v>232</v>
      </c>
      <c r="M374" s="29" t="s">
        <v>127</v>
      </c>
      <c r="N374" s="228" t="s">
        <v>6</v>
      </c>
    </row>
    <row r="375" spans="1:14" ht="15" customHeight="1" x14ac:dyDescent="0.25">
      <c r="B375" s="56" t="s">
        <v>121</v>
      </c>
      <c r="C375" s="55"/>
      <c r="D375" s="37">
        <f ca="1">SUM(D373:D374)</f>
        <v>0</v>
      </c>
      <c r="E375" s="37">
        <f ca="1">SUM(E373:E374)</f>
        <v>0</v>
      </c>
      <c r="F375" s="37">
        <f ca="1">SUM(F373:F374)</f>
        <v>0</v>
      </c>
      <c r="G375" s="37">
        <f ca="1">SUM(G373:G374)</f>
        <v>0</v>
      </c>
      <c r="H375" s="37">
        <f ca="1">SUM(H373:H374)</f>
        <v>0</v>
      </c>
      <c r="L375" s="190" t="s">
        <v>232</v>
      </c>
      <c r="M375" s="29" t="s">
        <v>127</v>
      </c>
      <c r="N375" s="228" t="s">
        <v>121</v>
      </c>
    </row>
    <row r="376" spans="1:14" ht="15" customHeight="1" x14ac:dyDescent="0.25">
      <c r="B376" s="29"/>
      <c r="C376" s="29"/>
      <c r="D376" s="169"/>
      <c r="E376" s="169"/>
      <c r="F376" s="169"/>
      <c r="G376" s="169"/>
      <c r="H376" s="30"/>
      <c r="L376" s="190" t="s">
        <v>232</v>
      </c>
      <c r="M376" s="29" t="s">
        <v>127</v>
      </c>
    </row>
    <row r="377" spans="1:14" ht="18.75" customHeight="1" x14ac:dyDescent="0.3">
      <c r="A377" s="38" t="s">
        <v>30</v>
      </c>
      <c r="C377" s="29"/>
      <c r="D377" s="2">
        <f>D366</f>
        <v>2017</v>
      </c>
      <c r="E377" s="2">
        <f>E366</f>
        <v>2018</v>
      </c>
      <c r="F377" s="2">
        <f>F366</f>
        <v>2019</v>
      </c>
      <c r="G377" s="2">
        <f>G366</f>
        <v>2020</v>
      </c>
      <c r="H377" s="2">
        <f>H366</f>
        <v>2021</v>
      </c>
      <c r="L377" s="190" t="s">
        <v>232</v>
      </c>
      <c r="M377" s="29" t="s">
        <v>127</v>
      </c>
      <c r="N377" s="228" t="s">
        <v>30</v>
      </c>
    </row>
    <row r="378" spans="1:14" ht="15" customHeight="1" x14ac:dyDescent="0.25">
      <c r="B378" s="57" t="s">
        <v>47</v>
      </c>
      <c r="C378" s="29"/>
      <c r="D378" s="178">
        <f>0+44385</f>
        <v>44385</v>
      </c>
      <c r="E378" s="178">
        <f>158824+44385</f>
        <v>203209</v>
      </c>
      <c r="F378" s="3">
        <f>23651+282757</f>
        <v>306408</v>
      </c>
      <c r="G378" s="3">
        <f>0+51915</f>
        <v>51915</v>
      </c>
      <c r="H378" s="4">
        <v>0</v>
      </c>
      <c r="L378" s="190" t="s">
        <v>232</v>
      </c>
      <c r="M378" s="29" t="s">
        <v>127</v>
      </c>
      <c r="N378" s="228" t="s">
        <v>47</v>
      </c>
    </row>
    <row r="379" spans="1:14" ht="15" customHeight="1" x14ac:dyDescent="0.25">
      <c r="B379" s="58" t="s">
        <v>23</v>
      </c>
      <c r="C379" s="67"/>
      <c r="D379" s="137">
        <v>0</v>
      </c>
      <c r="E379" s="137">
        <v>0</v>
      </c>
      <c r="F379" s="137">
        <v>0</v>
      </c>
      <c r="G379" s="137">
        <v>0</v>
      </c>
      <c r="H379" s="138">
        <v>0</v>
      </c>
      <c r="L379" s="190" t="s">
        <v>232</v>
      </c>
      <c r="M379" s="29" t="s">
        <v>127</v>
      </c>
      <c r="N379" s="228" t="s">
        <v>23</v>
      </c>
    </row>
    <row r="380" spans="1:14" ht="15" customHeight="1" x14ac:dyDescent="0.25">
      <c r="B380" s="68" t="s">
        <v>89</v>
      </c>
      <c r="C380" s="67"/>
      <c r="D380" s="139">
        <v>0</v>
      </c>
      <c r="E380" s="139">
        <v>0</v>
      </c>
      <c r="F380" s="139">
        <v>0</v>
      </c>
      <c r="G380" s="139">
        <v>0</v>
      </c>
      <c r="H380" s="140">
        <v>0</v>
      </c>
      <c r="L380" s="190" t="s">
        <v>232</v>
      </c>
      <c r="M380" s="29" t="s">
        <v>127</v>
      </c>
      <c r="N380" s="228" t="s">
        <v>89</v>
      </c>
    </row>
    <row r="381" spans="1:14" ht="15" customHeight="1" x14ac:dyDescent="0.25">
      <c r="B381" s="32" t="s">
        <v>90</v>
      </c>
      <c r="D381" s="6">
        <f>SUM(D378:D380)</f>
        <v>44385</v>
      </c>
      <c r="E381" s="6">
        <f>SUM(E378:E380)</f>
        <v>203209</v>
      </c>
      <c r="F381" s="6">
        <f>SUM(F378:F380)</f>
        <v>306408</v>
      </c>
      <c r="G381" s="6">
        <f>SUM(G378:G380)</f>
        <v>51915</v>
      </c>
      <c r="H381" s="6">
        <f>SUM(H378:H380)</f>
        <v>0</v>
      </c>
      <c r="L381" s="190" t="s">
        <v>232</v>
      </c>
      <c r="M381" s="29" t="s">
        <v>127</v>
      </c>
      <c r="N381" s="228" t="s">
        <v>90</v>
      </c>
    </row>
    <row r="382" spans="1:14" ht="15" customHeight="1" x14ac:dyDescent="0.25">
      <c r="B382" s="5"/>
      <c r="D382" s="167"/>
      <c r="E382" s="167"/>
      <c r="F382" s="167"/>
      <c r="G382" s="167"/>
      <c r="H382" s="6"/>
      <c r="L382" s="190" t="s">
        <v>232</v>
      </c>
      <c r="M382" s="29" t="s">
        <v>127</v>
      </c>
    </row>
    <row r="383" spans="1:14" ht="18.75" customHeight="1" x14ac:dyDescent="0.3">
      <c r="A383" s="8" t="s">
        <v>100</v>
      </c>
      <c r="D383" s="2">
        <f>D366</f>
        <v>2017</v>
      </c>
      <c r="E383" s="2">
        <f>D383+1</f>
        <v>2018</v>
      </c>
      <c r="F383" s="2">
        <f>E383+1</f>
        <v>2019</v>
      </c>
      <c r="G383" s="2">
        <f>F383+1</f>
        <v>2020</v>
      </c>
      <c r="H383" s="2">
        <f>G383+1</f>
        <v>2021</v>
      </c>
      <c r="L383" s="190" t="s">
        <v>232</v>
      </c>
      <c r="M383" s="29" t="s">
        <v>127</v>
      </c>
      <c r="N383" s="228" t="s">
        <v>100</v>
      </c>
    </row>
    <row r="384" spans="1:14" ht="15" customHeight="1" x14ac:dyDescent="0.25">
      <c r="B384" s="57" t="str">
        <f>(StartYear-1) &amp; " Surplus Applied to " &amp; StartYear</f>
        <v>2016 Surplus Applied to 2017</v>
      </c>
      <c r="C384" s="29"/>
      <c r="D384" s="186">
        <v>305994</v>
      </c>
      <c r="E384" s="187"/>
      <c r="F384" s="187"/>
      <c r="G384" s="187"/>
      <c r="H384" s="188"/>
      <c r="L384" s="190" t="s">
        <v>232</v>
      </c>
      <c r="M384" s="29" t="s">
        <v>127</v>
      </c>
      <c r="N384" s="228" t="s">
        <v>235</v>
      </c>
    </row>
    <row r="385" spans="1:14" ht="15" customHeight="1" x14ac:dyDescent="0.25">
      <c r="B385" s="57" t="str">
        <f>StartYear &amp; " Surplus Applied to " &amp; (StartYear-1)</f>
        <v>2017 Surplus Applied to 2016</v>
      </c>
      <c r="C385" s="29"/>
      <c r="D385" s="189">
        <v>0</v>
      </c>
      <c r="E385" s="113"/>
      <c r="F385" s="113"/>
      <c r="G385" s="113"/>
      <c r="H385" s="117"/>
      <c r="L385" s="190" t="s">
        <v>232</v>
      </c>
      <c r="M385" s="29" t="s">
        <v>127</v>
      </c>
      <c r="N385" s="228" t="s">
        <v>236</v>
      </c>
    </row>
    <row r="386" spans="1:14" ht="15" customHeight="1" x14ac:dyDescent="0.25">
      <c r="B386" s="57" t="str">
        <f>( StartYear) &amp; " Surplus Applied to " &amp; ( StartYear + 1 )</f>
        <v>2017 Surplus Applied to 2018</v>
      </c>
      <c r="C386" s="29"/>
      <c r="D386" s="184">
        <f ca="1">D370+D375-D381</f>
        <v>471878</v>
      </c>
      <c r="E386" s="185">
        <f ca="1">D386</f>
        <v>471878</v>
      </c>
      <c r="F386" s="181"/>
      <c r="G386" s="181"/>
      <c r="H386" s="182"/>
      <c r="L386" s="190" t="s">
        <v>232</v>
      </c>
      <c r="M386" s="29" t="s">
        <v>127</v>
      </c>
      <c r="N386" s="228" t="s">
        <v>237</v>
      </c>
    </row>
    <row r="387" spans="1:14" ht="15" customHeight="1" x14ac:dyDescent="0.25">
      <c r="B387" s="57" t="str">
        <f xml:space="preserve"> ( StartYear + 1 ) &amp; " Surplus Applied to " &amp; ( StartYear )</f>
        <v>2018 Surplus Applied to 2017</v>
      </c>
      <c r="C387" s="29"/>
      <c r="D387" s="134">
        <f>E387</f>
        <v>0</v>
      </c>
      <c r="E387" s="9">
        <v>0</v>
      </c>
      <c r="F387" s="113"/>
      <c r="G387" s="113"/>
      <c r="H387" s="117"/>
      <c r="L387" s="190" t="s">
        <v>232</v>
      </c>
      <c r="M387" s="29" t="s">
        <v>127</v>
      </c>
      <c r="N387" s="228" t="s">
        <v>238</v>
      </c>
    </row>
    <row r="388" spans="1:14" ht="15" customHeight="1" x14ac:dyDescent="0.25">
      <c r="B388" s="119" t="str">
        <f xml:space="preserve"> ( StartYear + 1 ) &amp; " Surplus Applied to " &amp; ( StartYear + 2 )</f>
        <v>2018 Surplus Applied to 2019</v>
      </c>
      <c r="C388" s="29"/>
      <c r="D388" s="114"/>
      <c r="E388" s="9">
        <f ca="1">E370+E375-E381</f>
        <v>334325</v>
      </c>
      <c r="F388" s="51">
        <f ca="1">E388</f>
        <v>334325</v>
      </c>
      <c r="G388" s="113"/>
      <c r="H388" s="117"/>
      <c r="L388" s="190" t="s">
        <v>232</v>
      </c>
      <c r="M388" s="29" t="s">
        <v>127</v>
      </c>
      <c r="N388" s="228" t="s">
        <v>239</v>
      </c>
    </row>
    <row r="389" spans="1:14" ht="15" customHeight="1" x14ac:dyDescent="0.25">
      <c r="B389" s="119" t="str">
        <f xml:space="preserve"> ( StartYear + 2 ) &amp; " Surplus Applied to " &amp; ( StartYear + 1 )</f>
        <v>2019 Surplus Applied to 2018</v>
      </c>
      <c r="C389" s="29"/>
      <c r="D389" s="114"/>
      <c r="E389" s="51">
        <f>F389</f>
        <v>0</v>
      </c>
      <c r="F389" s="9">
        <v>0</v>
      </c>
      <c r="G389" s="113"/>
      <c r="H389" s="117"/>
      <c r="L389" s="190" t="s">
        <v>232</v>
      </c>
      <c r="M389" s="29" t="s">
        <v>127</v>
      </c>
      <c r="N389" s="228" t="s">
        <v>240</v>
      </c>
    </row>
    <row r="390" spans="1:14" ht="15" customHeight="1" x14ac:dyDescent="0.25">
      <c r="B390" s="165" t="str">
        <f xml:space="preserve"> ( StartYear + 2 ) &amp; " Surplus Applied to " &amp; ( StartYear + 3 )</f>
        <v>2019 Surplus Applied to 2020</v>
      </c>
      <c r="C390" s="29"/>
      <c r="D390" s="114"/>
      <c r="E390" s="113"/>
      <c r="F390" s="9">
        <f ca="1">F370+F375-F381</f>
        <v>209808</v>
      </c>
      <c r="G390" s="51">
        <f ca="1">F390</f>
        <v>209808</v>
      </c>
      <c r="H390" s="117"/>
      <c r="L390" s="190" t="s">
        <v>232</v>
      </c>
      <c r="M390" s="29" t="s">
        <v>127</v>
      </c>
      <c r="N390" s="228" t="s">
        <v>241</v>
      </c>
    </row>
    <row r="391" spans="1:14" ht="15" customHeight="1" x14ac:dyDescent="0.25">
      <c r="B391" s="165" t="str">
        <f xml:space="preserve"> ( StartYear + 3 ) &amp; " Surplus Applied to " &amp; ( StartYear + 2 )</f>
        <v>2020 Surplus Applied to 2019</v>
      </c>
      <c r="C391" s="29"/>
      <c r="D391" s="114"/>
      <c r="E391" s="113"/>
      <c r="F391" s="51">
        <f>G391</f>
        <v>0</v>
      </c>
      <c r="G391" s="9">
        <v>0</v>
      </c>
      <c r="H391" s="117"/>
      <c r="L391" s="190" t="s">
        <v>232</v>
      </c>
      <c r="M391" s="29" t="s">
        <v>127</v>
      </c>
      <c r="N391" s="228" t="s">
        <v>242</v>
      </c>
    </row>
    <row r="392" spans="1:14" ht="15" customHeight="1" x14ac:dyDescent="0.25">
      <c r="B392" s="165" t="str">
        <f xml:space="preserve"> ( StartYear + 3 ) &amp; " Surplus Applied to " &amp; ( StartYear + 4 )</f>
        <v>2020 Surplus Applied to 2021</v>
      </c>
      <c r="C392" s="29"/>
      <c r="D392" s="114"/>
      <c r="E392" s="113"/>
      <c r="F392" s="113"/>
      <c r="G392" s="9">
        <f>801386-548335-78856.5</f>
        <v>174194.5</v>
      </c>
      <c r="H392" s="46">
        <f>G392</f>
        <v>174194.5</v>
      </c>
      <c r="L392" s="190" t="s">
        <v>232</v>
      </c>
      <c r="M392" s="29" t="s">
        <v>127</v>
      </c>
      <c r="N392" s="228" t="s">
        <v>243</v>
      </c>
    </row>
    <row r="393" spans="1:14" ht="15" customHeight="1" x14ac:dyDescent="0.25">
      <c r="B393" s="165" t="str">
        <f xml:space="preserve"> ( StartYear + 4 ) &amp; " Surplus Applied to " &amp; ( StartYear + 3 )</f>
        <v>2021 Surplus Applied to 2020</v>
      </c>
      <c r="C393" s="29"/>
      <c r="D393" s="115"/>
      <c r="E393" s="116"/>
      <c r="F393" s="116"/>
      <c r="G393" s="47">
        <f>H393</f>
        <v>0</v>
      </c>
      <c r="H393" s="41">
        <v>0</v>
      </c>
      <c r="L393" s="190" t="s">
        <v>232</v>
      </c>
      <c r="M393" s="29" t="s">
        <v>127</v>
      </c>
      <c r="N393" s="228" t="s">
        <v>244</v>
      </c>
    </row>
    <row r="394" spans="1:14" ht="15" customHeight="1" x14ac:dyDescent="0.25">
      <c r="B394" s="120" t="s">
        <v>17</v>
      </c>
      <c r="D394" s="6">
        <f ca="1">D384-D385+D387-D386</f>
        <v>-165884</v>
      </c>
      <c r="E394" s="6">
        <f ca="1">E386+E389-E387-E388</f>
        <v>137553</v>
      </c>
      <c r="F394" s="6">
        <f ca="1">F388+F391-F389-F390</f>
        <v>124517</v>
      </c>
      <c r="G394" s="6">
        <f ca="1">G390+G393-G391-G392</f>
        <v>35613.5</v>
      </c>
      <c r="H394" s="6">
        <f>H392 - H393</f>
        <v>174194.5</v>
      </c>
      <c r="L394" s="190" t="s">
        <v>232</v>
      </c>
      <c r="M394" s="29" t="s">
        <v>127</v>
      </c>
      <c r="N394" s="228" t="s">
        <v>17</v>
      </c>
    </row>
    <row r="395" spans="1:14" ht="15" customHeight="1" x14ac:dyDescent="0.25">
      <c r="B395" s="121"/>
      <c r="D395" s="6"/>
      <c r="E395" s="6"/>
      <c r="F395" s="6"/>
      <c r="G395" s="6"/>
      <c r="H395" s="6"/>
      <c r="L395" s="190" t="s">
        <v>232</v>
      </c>
      <c r="M395" s="29" t="s">
        <v>127</v>
      </c>
    </row>
    <row r="396" spans="1:14" ht="15" customHeight="1" x14ac:dyDescent="0.25">
      <c r="B396" s="54" t="s">
        <v>12</v>
      </c>
      <c r="C396" s="52"/>
      <c r="D396" s="75">
        <v>0</v>
      </c>
      <c r="E396" s="111">
        <v>0</v>
      </c>
      <c r="F396" s="111">
        <v>0</v>
      </c>
      <c r="G396" s="111">
        <v>0</v>
      </c>
      <c r="H396" s="76">
        <v>0</v>
      </c>
      <c r="L396" s="190" t="s">
        <v>232</v>
      </c>
      <c r="M396" s="29" t="s">
        <v>127</v>
      </c>
      <c r="N396" s="228" t="s">
        <v>12</v>
      </c>
    </row>
    <row r="397" spans="1:14" ht="15" customHeight="1" x14ac:dyDescent="0.25">
      <c r="B397" s="121"/>
      <c r="D397" s="6"/>
      <c r="E397" s="6"/>
      <c r="F397" s="6"/>
      <c r="G397" s="6"/>
      <c r="H397" s="6"/>
      <c r="L397" s="190" t="s">
        <v>232</v>
      </c>
      <c r="M397" s="29" t="s">
        <v>127</v>
      </c>
    </row>
    <row r="398" spans="1:14" ht="18.75" customHeight="1" x14ac:dyDescent="0.3">
      <c r="A398" s="38" t="s">
        <v>26</v>
      </c>
      <c r="B398" s="122"/>
      <c r="C398" s="52">
        <f>A364</f>
        <v>9</v>
      </c>
      <c r="D398" s="112">
        <f ca="1">D370+D375-D381+D394+D396</f>
        <v>305994</v>
      </c>
      <c r="E398" s="112">
        <f ca="1">E370+E375-E381+E394+E396</f>
        <v>471878</v>
      </c>
      <c r="F398" s="112">
        <f ca="1">F370+F375-F381+F394+F396</f>
        <v>334325</v>
      </c>
      <c r="G398" s="112">
        <f ca="1">G370+G375-G381+G394+G396</f>
        <v>627191.5</v>
      </c>
      <c r="H398" s="174">
        <f ca="1">H370+H375-H381+H394+H396</f>
        <v>718089.5</v>
      </c>
      <c r="L398" s="190" t="s">
        <v>232</v>
      </c>
      <c r="M398" s="29" t="s">
        <v>127</v>
      </c>
      <c r="N398" s="228" t="s">
        <v>26</v>
      </c>
    </row>
    <row r="399" spans="1:14" s="122" customFormat="1" ht="15" customHeight="1" x14ac:dyDescent="0.25">
      <c r="B399" s="121"/>
      <c r="C399" s="129" t="s">
        <v>158</v>
      </c>
      <c r="D399" s="130">
        <v>238895</v>
      </c>
      <c r="E399" s="28">
        <v>471878</v>
      </c>
      <c r="F399" s="28">
        <v>334325</v>
      </c>
      <c r="G399" s="28"/>
      <c r="H399" s="28"/>
      <c r="J399" s="22"/>
      <c r="K399" s="22"/>
      <c r="L399" s="190" t="s">
        <v>232</v>
      </c>
      <c r="M399" s="29" t="s">
        <v>127</v>
      </c>
      <c r="N399" s="228" t="s">
        <v>158</v>
      </c>
    </row>
    <row r="400" spans="1:14" ht="15" customHeight="1" x14ac:dyDescent="0.25">
      <c r="B400" s="122"/>
      <c r="D400" s="1"/>
      <c r="L400" s="190" t="s">
        <v>232</v>
      </c>
      <c r="M400" s="29" t="s">
        <v>127</v>
      </c>
    </row>
    <row r="401" spans="1:14" ht="15" customHeight="1" x14ac:dyDescent="0.25">
      <c r="B401" s="22"/>
      <c r="C401" s="29"/>
      <c r="D401" s="29"/>
      <c r="E401" s="29"/>
      <c r="F401" s="29"/>
      <c r="G401" s="29"/>
      <c r="H401" s="29"/>
      <c r="L401" s="190" t="s">
        <v>232</v>
      </c>
      <c r="M401" s="29" t="s">
        <v>127</v>
      </c>
    </row>
    <row r="402" spans="1:14" ht="21" customHeight="1" x14ac:dyDescent="0.35">
      <c r="A402" s="12">
        <f>MAX(A$1:A401)+1</f>
        <v>10</v>
      </c>
      <c r="B402" s="123"/>
      <c r="C402" s="214" t="str">
        <f ca="1">OFFSET($B$4,A402-1,0)</f>
        <v>Wild Horse Phase II</v>
      </c>
      <c r="D402" s="215"/>
      <c r="E402" s="216"/>
      <c r="F402" s="216"/>
      <c r="G402" s="217"/>
      <c r="H402" s="218"/>
      <c r="L402" s="190" t="s">
        <v>232</v>
      </c>
      <c r="M402" s="29" t="s">
        <v>133</v>
      </c>
      <c r="N402" s="228">
        <v>12</v>
      </c>
    </row>
    <row r="403" spans="1:14" ht="15" customHeight="1" x14ac:dyDescent="0.25">
      <c r="B403" s="122"/>
      <c r="C403" s="1" t="str">
        <f ca="1">VLOOKUP(C402,Facilities,3,FALSE)</f>
        <v>PSE owned</v>
      </c>
      <c r="D403" s="1"/>
      <c r="L403" s="190" t="s">
        <v>232</v>
      </c>
      <c r="M403" s="29" t="s">
        <v>133</v>
      </c>
      <c r="N403" s="228" t="s">
        <v>179</v>
      </c>
    </row>
    <row r="404" spans="1:14" ht="18.75" customHeight="1" x14ac:dyDescent="0.3">
      <c r="A404" s="8" t="s">
        <v>21</v>
      </c>
      <c r="B404" s="124"/>
      <c r="D404" s="2">
        <f>D366</f>
        <v>2017</v>
      </c>
      <c r="E404" s="2">
        <f>D404+1</f>
        <v>2018</v>
      </c>
      <c r="F404" s="118">
        <f>E404+1</f>
        <v>2019</v>
      </c>
      <c r="G404" s="118">
        <f>F404+1</f>
        <v>2020</v>
      </c>
      <c r="H404" s="118">
        <f>G404+1</f>
        <v>2021</v>
      </c>
      <c r="L404" s="190" t="s">
        <v>232</v>
      </c>
      <c r="M404" s="29" t="s">
        <v>133</v>
      </c>
      <c r="N404" s="228" t="s">
        <v>21</v>
      </c>
    </row>
    <row r="405" spans="1:14" ht="15" customHeight="1" x14ac:dyDescent="0.25">
      <c r="B405" s="119" t="str">
        <f ca="1">IF(C441&lt;&gt;"REC only","Total MWh ","")&amp;IF(C403="PSE owned","Produced","Purchased")&amp;" from "&amp;C402</f>
        <v>Produced from Wild Horse Phase II</v>
      </c>
      <c r="C405" s="52"/>
      <c r="D405" s="3">
        <v>99368</v>
      </c>
      <c r="E405" s="3">
        <v>103462</v>
      </c>
      <c r="F405" s="3">
        <v>99359</v>
      </c>
      <c r="G405" s="3">
        <v>123857</v>
      </c>
      <c r="H405" s="4">
        <v>95353</v>
      </c>
      <c r="J405" s="232"/>
      <c r="K405" s="30"/>
      <c r="L405" s="190" t="s">
        <v>232</v>
      </c>
      <c r="M405" s="29" t="s">
        <v>133</v>
      </c>
      <c r="N405" s="228" t="s">
        <v>253</v>
      </c>
    </row>
    <row r="406" spans="1:14" ht="15" customHeight="1" x14ac:dyDescent="0.25">
      <c r="B406" s="119" t="s">
        <v>25</v>
      </c>
      <c r="C406" s="52"/>
      <c r="D406" s="132">
        <v>1</v>
      </c>
      <c r="E406" s="132">
        <v>1</v>
      </c>
      <c r="F406" s="132">
        <v>1</v>
      </c>
      <c r="G406" s="132">
        <v>1</v>
      </c>
      <c r="H406" s="133">
        <v>1</v>
      </c>
      <c r="J406" s="232"/>
      <c r="K406" s="30"/>
      <c r="L406" s="190" t="s">
        <v>232</v>
      </c>
      <c r="M406" s="29" t="s">
        <v>133</v>
      </c>
      <c r="N406" s="228" t="s">
        <v>25</v>
      </c>
    </row>
    <row r="407" spans="1:14" ht="15" customHeight="1" x14ac:dyDescent="0.25">
      <c r="B407" s="119" t="s">
        <v>20</v>
      </c>
      <c r="C407" s="52"/>
      <c r="D407" s="42">
        <v>1</v>
      </c>
      <c r="E407" s="42">
        <v>1</v>
      </c>
      <c r="F407" s="42">
        <v>1</v>
      </c>
      <c r="G407" s="42">
        <v>1</v>
      </c>
      <c r="H407" s="43">
        <v>1</v>
      </c>
      <c r="J407" s="232"/>
      <c r="K407" s="30"/>
      <c r="L407" s="190" t="s">
        <v>232</v>
      </c>
      <c r="M407" s="29" t="s">
        <v>133</v>
      </c>
      <c r="N407" s="228" t="s">
        <v>20</v>
      </c>
    </row>
    <row r="408" spans="1:14" ht="15" customHeight="1" x14ac:dyDescent="0.25">
      <c r="B408" s="54" t="s">
        <v>22</v>
      </c>
      <c r="C408" s="55"/>
      <c r="D408" s="131">
        <f xml:space="preserve"> D405 * D406 * D407</f>
        <v>99368</v>
      </c>
      <c r="E408" s="131">
        <f xml:space="preserve"> E405 * E406 * E407</f>
        <v>103462</v>
      </c>
      <c r="F408" s="131">
        <f xml:space="preserve"> F405 * F406 * F407</f>
        <v>99359</v>
      </c>
      <c r="G408" s="131">
        <f xml:space="preserve"> G405 * G406 * G407</f>
        <v>123857</v>
      </c>
      <c r="H408" s="131">
        <f xml:space="preserve"> H405 * H406 * H407</f>
        <v>95353</v>
      </c>
      <c r="K408" s="30"/>
      <c r="L408" s="190" t="s">
        <v>232</v>
      </c>
      <c r="M408" s="29" t="s">
        <v>133</v>
      </c>
      <c r="N408" s="228" t="s">
        <v>22</v>
      </c>
    </row>
    <row r="409" spans="1:14" ht="15" customHeight="1" x14ac:dyDescent="0.25">
      <c r="B409" s="22"/>
      <c r="C409" s="29"/>
      <c r="D409" s="168"/>
      <c r="E409" s="168"/>
      <c r="F409" s="168"/>
      <c r="G409" s="167"/>
      <c r="H409" s="36"/>
      <c r="K409" s="233"/>
      <c r="L409" s="190" t="s">
        <v>232</v>
      </c>
      <c r="M409" s="29" t="s">
        <v>133</v>
      </c>
    </row>
    <row r="410" spans="1:14" ht="18.75" customHeight="1" x14ac:dyDescent="0.3">
      <c r="A410" s="39" t="s">
        <v>119</v>
      </c>
      <c r="B410" s="122"/>
      <c r="C410" s="29"/>
      <c r="D410" s="2">
        <f>D404</f>
        <v>2017</v>
      </c>
      <c r="E410" s="2">
        <f>D410+1</f>
        <v>2018</v>
      </c>
      <c r="F410" s="2">
        <f>E410+1</f>
        <v>2019</v>
      </c>
      <c r="G410" s="2">
        <f>F410+1</f>
        <v>2020</v>
      </c>
      <c r="H410" s="2">
        <f>G410+1</f>
        <v>2021</v>
      </c>
      <c r="K410" s="30"/>
      <c r="L410" s="190" t="s">
        <v>232</v>
      </c>
      <c r="M410" s="29" t="s">
        <v>133</v>
      </c>
      <c r="N410" s="228" t="s">
        <v>119</v>
      </c>
    </row>
    <row r="411" spans="1:14" x14ac:dyDescent="0.25">
      <c r="B411" s="119" t="s">
        <v>10</v>
      </c>
      <c r="C411" s="52"/>
      <c r="D411" s="10">
        <f ca="1">IF(VLOOKUP($C402,Facilities,5,FALSE)="Eligible", D408*ApprenticeshipBonus, 0 )</f>
        <v>19873.600000000002</v>
      </c>
      <c r="E411" s="109">
        <f ca="1">IF(VLOOKUP($C402,Facilities,5,FALSE)="Eligible", E408*ApprenticeshipBonus, 0 )</f>
        <v>20692.400000000001</v>
      </c>
      <c r="F411" s="109">
        <f ca="1">IF(VLOOKUP($C402,Facilities,5,FALSE)="Eligible", F408*ApprenticeshipBonus, 0 )</f>
        <v>19871.800000000003</v>
      </c>
      <c r="G411" s="109">
        <f ca="1">IF(VLOOKUP($C402,Facilities,5,FALSE)="Eligible", G408*ApprenticeshipBonus, 0 )</f>
        <v>24771.4</v>
      </c>
      <c r="H411" s="11">
        <f ca="1">IF(VLOOKUP($C402,Facilities,5,FALSE)="Eligible", H408*ApprenticeshipBonus, 0 )</f>
        <v>19070.600000000002</v>
      </c>
      <c r="L411" s="190" t="s">
        <v>232</v>
      </c>
      <c r="M411" s="29" t="s">
        <v>133</v>
      </c>
      <c r="N411" s="228" t="s">
        <v>10</v>
      </c>
    </row>
    <row r="412" spans="1:14" ht="15" customHeight="1" x14ac:dyDescent="0.25">
      <c r="B412" s="119" t="s">
        <v>6</v>
      </c>
      <c r="C412" s="52"/>
      <c r="D412" s="44">
        <f ca="1">IF(VLOOKUP($C402,Facilities,6,FALSE)="Eligible", D408, 0 )</f>
        <v>0</v>
      </c>
      <c r="E412" s="110">
        <f ca="1">IF(VLOOKUP($C402,Facilities,6,FALSE)="Eligible", E408, 0 )</f>
        <v>0</v>
      </c>
      <c r="F412" s="110">
        <f ca="1">IF(VLOOKUP($C402,Facilities,6,FALSE)="Eligible", F408, 0 )</f>
        <v>0</v>
      </c>
      <c r="G412" s="110">
        <f ca="1">IF(VLOOKUP($C402,Facilities,6,FALSE)="Eligible", G408, 0 )</f>
        <v>0</v>
      </c>
      <c r="H412" s="45">
        <f ca="1">IF(VLOOKUP($C402,Facilities,6,FALSE)="Eligible", H408, 0 )</f>
        <v>0</v>
      </c>
      <c r="L412" s="190" t="s">
        <v>232</v>
      </c>
      <c r="M412" s="29" t="s">
        <v>133</v>
      </c>
      <c r="N412" s="228" t="s">
        <v>6</v>
      </c>
    </row>
    <row r="413" spans="1:14" ht="15" customHeight="1" x14ac:dyDescent="0.25">
      <c r="B413" s="54" t="s">
        <v>121</v>
      </c>
      <c r="C413" s="55"/>
      <c r="D413" s="37">
        <f ca="1">SUM(D411:D412)</f>
        <v>19873.600000000002</v>
      </c>
      <c r="E413" s="37">
        <f ca="1">SUM(E411:E412)</f>
        <v>20692.400000000001</v>
      </c>
      <c r="F413" s="37">
        <f ca="1">SUM(F411:F412)</f>
        <v>19871.800000000003</v>
      </c>
      <c r="G413" s="37">
        <f ca="1">SUM(G411:G412)</f>
        <v>24771.4</v>
      </c>
      <c r="H413" s="37">
        <f ca="1">SUM(H411:H412)</f>
        <v>19070.600000000002</v>
      </c>
      <c r="L413" s="190" t="s">
        <v>232</v>
      </c>
      <c r="M413" s="29" t="s">
        <v>133</v>
      </c>
      <c r="N413" s="228" t="s">
        <v>121</v>
      </c>
    </row>
    <row r="414" spans="1:14" ht="15" customHeight="1" x14ac:dyDescent="0.25">
      <c r="B414" s="22"/>
      <c r="C414" s="29"/>
      <c r="D414" s="169"/>
      <c r="E414" s="169"/>
      <c r="F414" s="169"/>
      <c r="G414" s="169"/>
      <c r="H414" s="30"/>
      <c r="L414" s="190" t="s">
        <v>232</v>
      </c>
      <c r="M414" s="29" t="s">
        <v>133</v>
      </c>
    </row>
    <row r="415" spans="1:14" ht="18.75" customHeight="1" x14ac:dyDescent="0.3">
      <c r="A415" s="38" t="s">
        <v>30</v>
      </c>
      <c r="B415" s="122"/>
      <c r="C415" s="29"/>
      <c r="D415" s="2">
        <f>D404</f>
        <v>2017</v>
      </c>
      <c r="E415" s="2">
        <f>D415+1</f>
        <v>2018</v>
      </c>
      <c r="F415" s="2">
        <f>E415+1</f>
        <v>2019</v>
      </c>
      <c r="G415" s="2">
        <f>F415+1</f>
        <v>2020</v>
      </c>
      <c r="H415" s="2">
        <f>G415+1</f>
        <v>2021</v>
      </c>
      <c r="L415" s="190" t="s">
        <v>232</v>
      </c>
      <c r="M415" s="29" t="s">
        <v>133</v>
      </c>
      <c r="N415" s="228" t="s">
        <v>30</v>
      </c>
    </row>
    <row r="416" spans="1:14" ht="15" customHeight="1" x14ac:dyDescent="0.25">
      <c r="B416" s="119" t="s">
        <v>47</v>
      </c>
      <c r="C416" s="52"/>
      <c r="D416" s="3">
        <v>0</v>
      </c>
      <c r="E416" s="3">
        <v>0</v>
      </c>
      <c r="F416" s="3">
        <v>0</v>
      </c>
      <c r="G416" s="3">
        <v>0</v>
      </c>
      <c r="H416" s="4">
        <v>0</v>
      </c>
      <c r="L416" s="190" t="s">
        <v>232</v>
      </c>
      <c r="M416" s="29" t="s">
        <v>133</v>
      </c>
      <c r="N416" s="228" t="s">
        <v>47</v>
      </c>
    </row>
    <row r="417" spans="1:14" ht="15" customHeight="1" x14ac:dyDescent="0.25">
      <c r="B417" s="68" t="s">
        <v>23</v>
      </c>
      <c r="C417" s="59"/>
      <c r="D417" s="137">
        <v>0</v>
      </c>
      <c r="E417" s="137">
        <v>0</v>
      </c>
      <c r="F417" s="137">
        <v>0</v>
      </c>
      <c r="G417" s="137">
        <v>0</v>
      </c>
      <c r="H417" s="138">
        <v>0</v>
      </c>
      <c r="L417" s="190" t="s">
        <v>232</v>
      </c>
      <c r="M417" s="29" t="s">
        <v>133</v>
      </c>
      <c r="N417" s="228" t="s">
        <v>23</v>
      </c>
    </row>
    <row r="418" spans="1:14" ht="15" customHeight="1" x14ac:dyDescent="0.25">
      <c r="B418" s="68" t="s">
        <v>89</v>
      </c>
      <c r="C418" s="67"/>
      <c r="D418" s="191">
        <v>0</v>
      </c>
      <c r="E418" s="139">
        <v>0</v>
      </c>
      <c r="F418" s="139">
        <v>0</v>
      </c>
      <c r="G418" s="139">
        <v>0</v>
      </c>
      <c r="H418" s="140">
        <v>0</v>
      </c>
      <c r="L418" s="190" t="s">
        <v>232</v>
      </c>
      <c r="M418" s="29" t="s">
        <v>133</v>
      </c>
      <c r="N418" s="228" t="s">
        <v>89</v>
      </c>
    </row>
    <row r="419" spans="1:14" ht="15" customHeight="1" x14ac:dyDescent="0.25">
      <c r="B419" s="120" t="s">
        <v>90</v>
      </c>
      <c r="D419" s="6">
        <f>SUM(D416:D418)</f>
        <v>0</v>
      </c>
      <c r="E419" s="6">
        <f>SUM(E416:E418)</f>
        <v>0</v>
      </c>
      <c r="F419" s="6">
        <f>SUM(F416:F418)</f>
        <v>0</v>
      </c>
      <c r="G419" s="6">
        <f>SUM(G416:G418)</f>
        <v>0</v>
      </c>
      <c r="H419" s="6">
        <f>SUM(H416:H418)</f>
        <v>0</v>
      </c>
      <c r="L419" s="190" t="s">
        <v>232</v>
      </c>
      <c r="M419" s="29" t="s">
        <v>133</v>
      </c>
      <c r="N419" s="228" t="s">
        <v>90</v>
      </c>
    </row>
    <row r="420" spans="1:14" ht="15" customHeight="1" x14ac:dyDescent="0.25">
      <c r="B420" s="121"/>
      <c r="D420" s="167"/>
      <c r="E420" s="167"/>
      <c r="F420" s="167"/>
      <c r="G420" s="167"/>
      <c r="H420" s="6"/>
      <c r="L420" s="190" t="s">
        <v>232</v>
      </c>
      <c r="M420" s="29" t="s">
        <v>133</v>
      </c>
    </row>
    <row r="421" spans="1:14" ht="18.75" customHeight="1" x14ac:dyDescent="0.3">
      <c r="A421" s="8" t="s">
        <v>100</v>
      </c>
      <c r="B421" s="122"/>
      <c r="D421" s="2">
        <f>D404</f>
        <v>2017</v>
      </c>
      <c r="E421" s="2">
        <f>D421+1</f>
        <v>2018</v>
      </c>
      <c r="F421" s="2">
        <f>E421+1</f>
        <v>2019</v>
      </c>
      <c r="G421" s="2">
        <f>F421+1</f>
        <v>2020</v>
      </c>
      <c r="H421" s="2">
        <f>G421+1</f>
        <v>2021</v>
      </c>
      <c r="L421" s="190" t="s">
        <v>232</v>
      </c>
      <c r="M421" s="29" t="s">
        <v>133</v>
      </c>
      <c r="N421" s="228" t="s">
        <v>100</v>
      </c>
    </row>
    <row r="422" spans="1:14" ht="15" customHeight="1" x14ac:dyDescent="0.25">
      <c r="B422" s="57" t="str">
        <f>(StartYear-1) &amp; " Surplus Applied to " &amp; StartYear</f>
        <v>2016 Surplus Applied to 2017</v>
      </c>
      <c r="C422" s="29"/>
      <c r="D422" s="186">
        <v>130423.2</v>
      </c>
      <c r="E422" s="187"/>
      <c r="F422" s="187"/>
      <c r="G422" s="187"/>
      <c r="H422" s="188"/>
      <c r="L422" s="190" t="s">
        <v>232</v>
      </c>
      <c r="M422" s="29" t="s">
        <v>133</v>
      </c>
      <c r="N422" s="228" t="s">
        <v>235</v>
      </c>
    </row>
    <row r="423" spans="1:14" ht="15" customHeight="1" x14ac:dyDescent="0.25">
      <c r="B423" s="57" t="str">
        <f>StartYear &amp; " Surplus Applied to " &amp; (StartYear-1)</f>
        <v>2017 Surplus Applied to 2016</v>
      </c>
      <c r="C423" s="29"/>
      <c r="D423" s="189">
        <v>0</v>
      </c>
      <c r="E423" s="113"/>
      <c r="F423" s="113"/>
      <c r="G423" s="113"/>
      <c r="H423" s="117"/>
      <c r="L423" s="190" t="s">
        <v>232</v>
      </c>
      <c r="M423" s="29" t="s">
        <v>133</v>
      </c>
      <c r="N423" s="228" t="s">
        <v>236</v>
      </c>
    </row>
    <row r="424" spans="1:14" ht="15" customHeight="1" x14ac:dyDescent="0.25">
      <c r="B424" s="57" t="str">
        <f>( StartYear) &amp; " Surplus Applied to " &amp; ( StartYear + 1 )</f>
        <v>2017 Surplus Applied to 2018</v>
      </c>
      <c r="C424" s="29"/>
      <c r="D424" s="184">
        <f ca="1">D408+D413-D419</f>
        <v>119241.60000000001</v>
      </c>
      <c r="E424" s="185">
        <f ca="1">D424</f>
        <v>119241.60000000001</v>
      </c>
      <c r="F424" s="181"/>
      <c r="G424" s="181"/>
      <c r="H424" s="182"/>
      <c r="L424" s="190" t="s">
        <v>232</v>
      </c>
      <c r="M424" s="29" t="s">
        <v>133</v>
      </c>
      <c r="N424" s="228" t="s">
        <v>237</v>
      </c>
    </row>
    <row r="425" spans="1:14" ht="15" customHeight="1" x14ac:dyDescent="0.25">
      <c r="B425" s="57" t="str">
        <f xml:space="preserve"> ( StartYear + 1 ) &amp; " Surplus Applied to " &amp; ( StartYear )</f>
        <v>2018 Surplus Applied to 2017</v>
      </c>
      <c r="C425" s="29"/>
      <c r="D425" s="134">
        <v>0</v>
      </c>
      <c r="E425" s="9">
        <v>0</v>
      </c>
      <c r="F425" s="113"/>
      <c r="G425" s="113"/>
      <c r="H425" s="117"/>
      <c r="L425" s="190" t="s">
        <v>232</v>
      </c>
      <c r="M425" s="29" t="s">
        <v>133</v>
      </c>
      <c r="N425" s="228" t="s">
        <v>238</v>
      </c>
    </row>
    <row r="426" spans="1:14" ht="15" customHeight="1" x14ac:dyDescent="0.25">
      <c r="B426" s="119" t="str">
        <f xml:space="preserve"> ( StartYear + 1 ) &amp; " Surplus Applied to " &amp; ( StartYear + 2 )</f>
        <v>2018 Surplus Applied to 2019</v>
      </c>
      <c r="C426" s="29"/>
      <c r="D426" s="114"/>
      <c r="E426" s="9">
        <f ca="1">E408+E413-E419</f>
        <v>124154.4</v>
      </c>
      <c r="F426" s="51">
        <f ca="1">E426</f>
        <v>124154.4</v>
      </c>
      <c r="G426" s="113"/>
      <c r="H426" s="117"/>
      <c r="L426" s="190" t="s">
        <v>232</v>
      </c>
      <c r="M426" s="29" t="s">
        <v>133</v>
      </c>
      <c r="N426" s="228" t="s">
        <v>239</v>
      </c>
    </row>
    <row r="427" spans="1:14" ht="15" customHeight="1" x14ac:dyDescent="0.25">
      <c r="B427" s="119" t="str">
        <f xml:space="preserve"> ( StartYear + 2 ) &amp; " Surplus Applied to " &amp; ( StartYear + 1 )</f>
        <v>2019 Surplus Applied to 2018</v>
      </c>
      <c r="C427" s="29"/>
      <c r="D427" s="114"/>
      <c r="E427" s="51">
        <v>0</v>
      </c>
      <c r="F427" s="9">
        <v>0</v>
      </c>
      <c r="G427" s="113"/>
      <c r="H427" s="117"/>
      <c r="L427" s="190" t="s">
        <v>232</v>
      </c>
      <c r="M427" s="29" t="s">
        <v>133</v>
      </c>
      <c r="N427" s="228" t="s">
        <v>240</v>
      </c>
    </row>
    <row r="428" spans="1:14" ht="15" customHeight="1" x14ac:dyDescent="0.25">
      <c r="B428" s="165" t="str">
        <f xml:space="preserve"> ( StartYear + 2 ) &amp; " Surplus Applied to " &amp; ( StartYear + 3 )</f>
        <v>2019 Surplus Applied to 2020</v>
      </c>
      <c r="C428" s="29"/>
      <c r="D428" s="114"/>
      <c r="E428" s="113"/>
      <c r="F428" s="9">
        <f ca="1">F408+F413-F419</f>
        <v>119230.8</v>
      </c>
      <c r="G428" s="51">
        <f ca="1">F428</f>
        <v>119230.8</v>
      </c>
      <c r="H428" s="117"/>
      <c r="L428" s="190" t="s">
        <v>232</v>
      </c>
      <c r="M428" s="29" t="s">
        <v>133</v>
      </c>
      <c r="N428" s="228" t="s">
        <v>241</v>
      </c>
    </row>
    <row r="429" spans="1:14" ht="15" customHeight="1" x14ac:dyDescent="0.25">
      <c r="B429" s="165" t="str">
        <f xml:space="preserve"> ( StartYear + 3 ) &amp; " Surplus Applied to " &amp; ( StartYear + 2 )</f>
        <v>2020 Surplus Applied to 2019</v>
      </c>
      <c r="C429" s="29"/>
      <c r="D429" s="114"/>
      <c r="E429" s="113"/>
      <c r="F429" s="51">
        <v>0</v>
      </c>
      <c r="G429" s="9"/>
      <c r="H429" s="117"/>
      <c r="L429" s="190" t="s">
        <v>232</v>
      </c>
      <c r="M429" s="29" t="s">
        <v>133</v>
      </c>
      <c r="N429" s="228" t="s">
        <v>242</v>
      </c>
    </row>
    <row r="430" spans="1:14" ht="15" customHeight="1" x14ac:dyDescent="0.25">
      <c r="B430" s="165" t="str">
        <f xml:space="preserve"> ( StartYear + 3 ) &amp; " Surplus Applied to " &amp; ( StartYear + 4 )</f>
        <v>2020 Surplus Applied to 2021</v>
      </c>
      <c r="C430" s="29"/>
      <c r="D430" s="114"/>
      <c r="E430" s="113"/>
      <c r="F430" s="113"/>
      <c r="G430" s="9">
        <f ca="1">G408+G413-G419</f>
        <v>148628.4</v>
      </c>
      <c r="H430" s="46">
        <f ca="1">G430</f>
        <v>148628.4</v>
      </c>
      <c r="L430" s="190" t="s">
        <v>232</v>
      </c>
      <c r="M430" s="29" t="s">
        <v>133</v>
      </c>
      <c r="N430" s="228" t="s">
        <v>243</v>
      </c>
    </row>
    <row r="431" spans="1:14" ht="15" customHeight="1" x14ac:dyDescent="0.25">
      <c r="B431" s="165" t="str">
        <f xml:space="preserve"> ( StartYear + 4 ) &amp; " Surplus Applied to " &amp; ( StartYear + 3 )</f>
        <v>2021 Surplus Applied to 2020</v>
      </c>
      <c r="C431" s="29"/>
      <c r="D431" s="115"/>
      <c r="E431" s="116"/>
      <c r="F431" s="116"/>
      <c r="G431" s="47">
        <v>0</v>
      </c>
      <c r="H431" s="41">
        <v>0</v>
      </c>
      <c r="L431" s="190" t="s">
        <v>232</v>
      </c>
      <c r="M431" s="29" t="s">
        <v>133</v>
      </c>
      <c r="N431" s="228" t="s">
        <v>244</v>
      </c>
    </row>
    <row r="432" spans="1:14" ht="15" customHeight="1" x14ac:dyDescent="0.25">
      <c r="B432" s="120" t="s">
        <v>17</v>
      </c>
      <c r="D432" s="6">
        <f ca="1">D422-D423+D425-D424</f>
        <v>11181.599999999991</v>
      </c>
      <c r="E432" s="6">
        <f ca="1">E424+E427-E425-E426</f>
        <v>-4912.7999999999884</v>
      </c>
      <c r="F432" s="6">
        <f ca="1">F426+F429-F427-F428</f>
        <v>4923.5999999999913</v>
      </c>
      <c r="G432" s="6">
        <f ca="1">G428+G431-G429-G430</f>
        <v>-29397.599999999991</v>
      </c>
      <c r="H432" s="6">
        <f ca="1">H430 - H431</f>
        <v>148628.4</v>
      </c>
      <c r="L432" s="190" t="s">
        <v>232</v>
      </c>
      <c r="M432" s="29" t="s">
        <v>133</v>
      </c>
      <c r="N432" s="228" t="s">
        <v>17</v>
      </c>
    </row>
    <row r="433" spans="1:14" ht="15" customHeight="1" x14ac:dyDescent="0.25">
      <c r="B433" s="121"/>
      <c r="D433" s="6"/>
      <c r="E433" s="6"/>
      <c r="F433" s="6"/>
      <c r="G433" s="6"/>
      <c r="H433" s="6"/>
      <c r="L433" s="190" t="s">
        <v>232</v>
      </c>
      <c r="M433" s="29" t="s">
        <v>133</v>
      </c>
    </row>
    <row r="434" spans="1:14" ht="15" customHeight="1" x14ac:dyDescent="0.25">
      <c r="B434" s="54" t="s">
        <v>12</v>
      </c>
      <c r="C434" s="52"/>
      <c r="D434" s="75">
        <v>0</v>
      </c>
      <c r="E434" s="111">
        <v>0</v>
      </c>
      <c r="F434" s="111">
        <v>0</v>
      </c>
      <c r="G434" s="111">
        <v>0</v>
      </c>
      <c r="H434" s="76">
        <v>0</v>
      </c>
      <c r="L434" s="190" t="s">
        <v>232</v>
      </c>
      <c r="M434" s="29" t="s">
        <v>133</v>
      </c>
      <c r="N434" s="228" t="s">
        <v>12</v>
      </c>
    </row>
    <row r="435" spans="1:14" ht="15" customHeight="1" x14ac:dyDescent="0.25">
      <c r="B435" s="121"/>
      <c r="D435" s="6"/>
      <c r="E435" s="6"/>
      <c r="F435" s="6"/>
      <c r="G435" s="6"/>
      <c r="H435" s="6"/>
      <c r="L435" s="190" t="s">
        <v>232</v>
      </c>
      <c r="M435" s="29" t="s">
        <v>133</v>
      </c>
    </row>
    <row r="436" spans="1:14" ht="18.75" customHeight="1" x14ac:dyDescent="0.3">
      <c r="A436" s="38" t="s">
        <v>26</v>
      </c>
      <c r="B436" s="122"/>
      <c r="C436" s="52">
        <f>A402</f>
        <v>10</v>
      </c>
      <c r="D436" s="112">
        <f ca="1">D408+D413-D419+D432+D434</f>
        <v>130423.2</v>
      </c>
      <c r="E436" s="112">
        <f ca="1">E408+E413-E419+E432+E434</f>
        <v>119241.60000000001</v>
      </c>
      <c r="F436" s="112">
        <f ca="1">F408+F413-F419+F432+F434</f>
        <v>124154.4</v>
      </c>
      <c r="G436" s="112">
        <f ca="1">G408+G413-G419+G432+G434</f>
        <v>119230.8</v>
      </c>
      <c r="H436" s="174">
        <f ca="1">H408+H413-H419+H432+H434</f>
        <v>263052</v>
      </c>
      <c r="L436" s="190" t="s">
        <v>232</v>
      </c>
      <c r="M436" s="29" t="s">
        <v>133</v>
      </c>
      <c r="N436" s="228" t="s">
        <v>26</v>
      </c>
    </row>
    <row r="437" spans="1:14" ht="15" customHeight="1" x14ac:dyDescent="0.25">
      <c r="B437" s="121"/>
      <c r="C437" s="129" t="s">
        <v>158</v>
      </c>
      <c r="D437" s="6">
        <v>108686</v>
      </c>
      <c r="E437" s="28">
        <v>99368</v>
      </c>
      <c r="F437" s="28">
        <v>103462</v>
      </c>
      <c r="G437" s="28"/>
      <c r="H437" s="28"/>
      <c r="L437" s="190" t="s">
        <v>232</v>
      </c>
      <c r="M437" s="29" t="s">
        <v>133</v>
      </c>
      <c r="N437" s="228" t="s">
        <v>158</v>
      </c>
    </row>
    <row r="438" spans="1:14" s="29" customFormat="1" ht="15" customHeight="1" x14ac:dyDescent="0.25">
      <c r="B438" s="22"/>
      <c r="L438" s="190" t="s">
        <v>232</v>
      </c>
      <c r="M438" s="29" t="s">
        <v>133</v>
      </c>
      <c r="N438" s="228"/>
    </row>
    <row r="439" spans="1:14" ht="15" customHeight="1" x14ac:dyDescent="0.25">
      <c r="A439" s="29"/>
      <c r="B439" s="22"/>
      <c r="C439" s="29"/>
      <c r="D439" s="29"/>
      <c r="E439" s="29"/>
      <c r="F439" s="29"/>
      <c r="G439" s="29"/>
      <c r="H439" s="29"/>
      <c r="L439" s="190" t="s">
        <v>232</v>
      </c>
      <c r="M439" s="29" t="s">
        <v>133</v>
      </c>
    </row>
    <row r="440" spans="1:14" ht="21" customHeight="1" x14ac:dyDescent="0.35">
      <c r="A440" s="12">
        <f>MAX(A$1:A439)+1</f>
        <v>11</v>
      </c>
      <c r="B440" s="12"/>
      <c r="C440" s="214" t="str">
        <f ca="1">OFFSET($B$4,A440-1,0)</f>
        <v>Camp Reed Wind Park - Camp Reed Wind Park</v>
      </c>
      <c r="D440" s="215"/>
      <c r="E440" s="216"/>
      <c r="F440" s="216"/>
      <c r="G440" s="217"/>
      <c r="H440" s="218"/>
      <c r="I440" s="28"/>
      <c r="L440" s="1" t="s">
        <v>233</v>
      </c>
      <c r="M440" s="29" t="s">
        <v>189</v>
      </c>
      <c r="N440" s="228">
        <v>13</v>
      </c>
    </row>
    <row r="441" spans="1:14" ht="15" customHeight="1" x14ac:dyDescent="0.25">
      <c r="C441" s="1" t="str">
        <f ca="1">VLOOKUP(C440,Facilities,3,FALSE)</f>
        <v>REC only</v>
      </c>
      <c r="I441" s="28"/>
      <c r="L441" s="1" t="s">
        <v>233</v>
      </c>
      <c r="M441" s="29" t="s">
        <v>189</v>
      </c>
      <c r="N441" s="228" t="s">
        <v>181</v>
      </c>
    </row>
    <row r="442" spans="1:14" ht="18.75" customHeight="1" x14ac:dyDescent="0.3">
      <c r="A442" s="8" t="s">
        <v>21</v>
      </c>
      <c r="B442" s="8"/>
      <c r="D442" s="118">
        <f>StartYear</f>
        <v>2017</v>
      </c>
      <c r="E442" s="2">
        <f>D442+1</f>
        <v>2018</v>
      </c>
      <c r="F442" s="2">
        <f>E442+1</f>
        <v>2019</v>
      </c>
      <c r="G442" s="2">
        <f>F442+1</f>
        <v>2020</v>
      </c>
      <c r="H442" s="2">
        <f>G442+1</f>
        <v>2021</v>
      </c>
      <c r="I442" s="29"/>
      <c r="L442" s="1" t="s">
        <v>233</v>
      </c>
      <c r="M442" s="29" t="s">
        <v>189</v>
      </c>
      <c r="N442" s="228" t="s">
        <v>21</v>
      </c>
    </row>
    <row r="443" spans="1:14" ht="15" customHeight="1" x14ac:dyDescent="0.25">
      <c r="B443" s="119" t="str">
        <f ca="1">IF(C479&lt;&gt;"REC only","Total MWh ","")&amp;IF(C441="PSE owned","Produced","Purchased")&amp;" from "&amp;C440</f>
        <v>Purchased from Camp Reed Wind Park - Camp Reed Wind Park</v>
      </c>
      <c r="C443" s="52"/>
      <c r="D443" s="3"/>
      <c r="E443" s="3"/>
      <c r="F443" s="3">
        <v>18037</v>
      </c>
      <c r="G443" s="3"/>
      <c r="H443" s="4"/>
      <c r="I443" s="29"/>
      <c r="L443" s="1" t="s">
        <v>233</v>
      </c>
      <c r="M443" s="29" t="s">
        <v>189</v>
      </c>
      <c r="N443" s="228" t="s">
        <v>254</v>
      </c>
    </row>
    <row r="444" spans="1:14" ht="15" customHeight="1" x14ac:dyDescent="0.25">
      <c r="B444" s="57" t="s">
        <v>25</v>
      </c>
      <c r="C444" s="52"/>
      <c r="D444" s="132"/>
      <c r="E444" s="132"/>
      <c r="F444" s="132">
        <v>1</v>
      </c>
      <c r="G444" s="132"/>
      <c r="H444" s="133"/>
      <c r="I444" s="29"/>
      <c r="L444" s="1" t="s">
        <v>233</v>
      </c>
      <c r="M444" s="29" t="s">
        <v>189</v>
      </c>
      <c r="N444" s="228" t="s">
        <v>25</v>
      </c>
    </row>
    <row r="445" spans="1:14" ht="15" customHeight="1" x14ac:dyDescent="0.25">
      <c r="B445" s="57" t="s">
        <v>20</v>
      </c>
      <c r="C445" s="52"/>
      <c r="D445" s="42"/>
      <c r="E445" s="42"/>
      <c r="F445" s="42">
        <v>1</v>
      </c>
      <c r="G445" s="42"/>
      <c r="H445" s="43"/>
      <c r="L445" s="1" t="s">
        <v>233</v>
      </c>
      <c r="M445" s="29" t="s">
        <v>189</v>
      </c>
      <c r="N445" s="228" t="s">
        <v>20</v>
      </c>
    </row>
    <row r="446" spans="1:14" ht="15" customHeight="1" x14ac:dyDescent="0.25">
      <c r="B446" s="54" t="s">
        <v>22</v>
      </c>
      <c r="C446" s="55"/>
      <c r="D446" s="131">
        <f xml:space="preserve"> D443 * D444 * D445</f>
        <v>0</v>
      </c>
      <c r="E446" s="131">
        <f xml:space="preserve"> E443 * E444 * E445</f>
        <v>0</v>
      </c>
      <c r="F446" s="131">
        <f xml:space="preserve"> ROUNDDOWN(F443 * F444 * F445,0)</f>
        <v>18037</v>
      </c>
      <c r="G446" s="131">
        <f xml:space="preserve"> ROUNDDOWN(G443 * G444 * G445,0)</f>
        <v>0</v>
      </c>
      <c r="H446" s="131">
        <f xml:space="preserve"> ROUNDDOWN(H443 * H444 * H445,0)</f>
        <v>0</v>
      </c>
      <c r="I446" s="24"/>
      <c r="L446" s="1" t="s">
        <v>233</v>
      </c>
      <c r="M446" s="29" t="s">
        <v>189</v>
      </c>
      <c r="N446" s="228" t="s">
        <v>22</v>
      </c>
    </row>
    <row r="447" spans="1:14" ht="15" customHeight="1" x14ac:dyDescent="0.25">
      <c r="B447" s="22"/>
      <c r="C447" s="29"/>
      <c r="D447" s="36"/>
      <c r="E447" s="36"/>
      <c r="F447" s="36"/>
      <c r="G447" s="167"/>
      <c r="H447" s="36"/>
      <c r="I447" s="23"/>
      <c r="L447" s="1" t="s">
        <v>233</v>
      </c>
      <c r="M447" s="29" t="s">
        <v>189</v>
      </c>
    </row>
    <row r="448" spans="1:14" ht="18.75" customHeight="1" x14ac:dyDescent="0.3">
      <c r="A448" s="39" t="s">
        <v>119</v>
      </c>
      <c r="C448" s="29"/>
      <c r="D448" s="2">
        <f>StartYear</f>
        <v>2017</v>
      </c>
      <c r="E448" s="2">
        <f>D448+1</f>
        <v>2018</v>
      </c>
      <c r="F448" s="2">
        <f>E448+1</f>
        <v>2019</v>
      </c>
      <c r="G448" s="2">
        <f>F448+1</f>
        <v>2020</v>
      </c>
      <c r="H448" s="2">
        <f>G448+1</f>
        <v>2021</v>
      </c>
      <c r="I448" s="23"/>
      <c r="L448" s="1" t="s">
        <v>233</v>
      </c>
      <c r="M448" s="29" t="s">
        <v>189</v>
      </c>
      <c r="N448" s="228" t="s">
        <v>119</v>
      </c>
    </row>
    <row r="449" spans="1:14" x14ac:dyDescent="0.25">
      <c r="B449" s="57" t="s">
        <v>10</v>
      </c>
      <c r="C449" s="52"/>
      <c r="D449" s="10">
        <f ca="1">IF(VLOOKUP($C440,Facilities,5,FALSE)="Eligible", D446*ApprenticeshipBonus, 0 )</f>
        <v>0</v>
      </c>
      <c r="E449" s="109">
        <f ca="1">IF(VLOOKUP($C440,Facilities,5,FALSE)="Eligible", E446*ApprenticeshipBonus, 0 )</f>
        <v>0</v>
      </c>
      <c r="F449" s="109">
        <f ca="1">IF(VLOOKUP($C440,Facilities,5,FALSE)="Eligible", F446*ApprenticeshipBonus, 0 )</f>
        <v>0</v>
      </c>
      <c r="G449" s="109">
        <f ca="1">IF(VLOOKUP($C440,Facilities,5,FALSE)="Eligible", G446*ApprenticeshipBonus, 0 )</f>
        <v>0</v>
      </c>
      <c r="H449" s="11">
        <f ca="1">IF(VLOOKUP($C440,Facilities,5,FALSE)="Eligible", H446*ApprenticeshipBonus, 0 )</f>
        <v>0</v>
      </c>
      <c r="I449" s="23"/>
      <c r="L449" s="1" t="s">
        <v>233</v>
      </c>
      <c r="M449" s="29" t="s">
        <v>189</v>
      </c>
      <c r="N449" s="228" t="s">
        <v>10</v>
      </c>
    </row>
    <row r="450" spans="1:14" ht="15" customHeight="1" x14ac:dyDescent="0.25">
      <c r="B450" s="57" t="s">
        <v>6</v>
      </c>
      <c r="C450" s="52"/>
      <c r="D450" s="44">
        <f ca="1">IF(VLOOKUP($C440,Facilities,6,FALSE)="Eligible", D446, 0 )</f>
        <v>0</v>
      </c>
      <c r="E450" s="110">
        <f ca="1">IF(VLOOKUP($C440,Facilities,6,FALSE)="Eligible", E446, 0 )</f>
        <v>0</v>
      </c>
      <c r="F450" s="110">
        <f ca="1">IF(VLOOKUP($C440,Facilities,6,FALSE)="Eligible", F446, 0 )</f>
        <v>0</v>
      </c>
      <c r="G450" s="110">
        <f ca="1">IF(VLOOKUP($C440,Facilities,6,FALSE)="Eligible", G446, 0 )</f>
        <v>0</v>
      </c>
      <c r="H450" s="45">
        <f ca="1">IF(VLOOKUP($C440,Facilities,6,FALSE)="Eligible", H446, 0 )</f>
        <v>0</v>
      </c>
      <c r="I450" s="23"/>
      <c r="L450" s="1" t="s">
        <v>233</v>
      </c>
      <c r="M450" s="29" t="s">
        <v>189</v>
      </c>
      <c r="N450" s="228" t="s">
        <v>6</v>
      </c>
    </row>
    <row r="451" spans="1:14" ht="15" customHeight="1" x14ac:dyDescent="0.25">
      <c r="B451" s="56" t="s">
        <v>121</v>
      </c>
      <c r="C451" s="55"/>
      <c r="D451" s="37">
        <f ca="1">SUM(D449:D450)</f>
        <v>0</v>
      </c>
      <c r="E451" s="37">
        <f ca="1">SUM(E449:E450)</f>
        <v>0</v>
      </c>
      <c r="F451" s="37">
        <f ca="1">SUM(F449:F450)</f>
        <v>0</v>
      </c>
      <c r="G451" s="37">
        <f ca="1">SUM(G449:G450)</f>
        <v>0</v>
      </c>
      <c r="H451" s="37">
        <f ca="1">SUM(H449:H450)</f>
        <v>0</v>
      </c>
      <c r="I451" s="23"/>
      <c r="L451" s="1" t="s">
        <v>233</v>
      </c>
      <c r="M451" s="29" t="s">
        <v>189</v>
      </c>
      <c r="N451" s="228" t="s">
        <v>121</v>
      </c>
    </row>
    <row r="452" spans="1:14" ht="15" customHeight="1" x14ac:dyDescent="0.25">
      <c r="B452" s="29"/>
      <c r="C452" s="29"/>
      <c r="D452" s="30"/>
      <c r="E452" s="30"/>
      <c r="F452" s="30"/>
      <c r="G452" s="169"/>
      <c r="H452" s="30"/>
      <c r="I452" s="23"/>
      <c r="L452" s="1" t="s">
        <v>233</v>
      </c>
      <c r="M452" s="29" t="s">
        <v>189</v>
      </c>
    </row>
    <row r="453" spans="1:14" ht="18.75" customHeight="1" x14ac:dyDescent="0.3">
      <c r="A453" s="38" t="s">
        <v>30</v>
      </c>
      <c r="C453" s="29"/>
      <c r="D453" s="2">
        <f>StartYear</f>
        <v>2017</v>
      </c>
      <c r="E453" s="2">
        <f>D453+1</f>
        <v>2018</v>
      </c>
      <c r="F453" s="2">
        <f>E453+1</f>
        <v>2019</v>
      </c>
      <c r="G453" s="2">
        <f>F453+1</f>
        <v>2020</v>
      </c>
      <c r="H453" s="2">
        <f>G453+1</f>
        <v>2021</v>
      </c>
      <c r="I453" s="28"/>
      <c r="L453" s="1" t="s">
        <v>233</v>
      </c>
      <c r="M453" s="29" t="s">
        <v>189</v>
      </c>
      <c r="N453" s="228" t="s">
        <v>30</v>
      </c>
    </row>
    <row r="454" spans="1:14" ht="15" customHeight="1" x14ac:dyDescent="0.25">
      <c r="B454" s="57" t="s">
        <v>47</v>
      </c>
      <c r="C454" s="52"/>
      <c r="D454" s="3"/>
      <c r="E454" s="3"/>
      <c r="F454" s="3"/>
      <c r="G454" s="3"/>
      <c r="H454" s="4"/>
      <c r="I454" s="28"/>
      <c r="L454" s="1" t="s">
        <v>233</v>
      </c>
      <c r="M454" s="29" t="s">
        <v>189</v>
      </c>
      <c r="N454" s="228" t="s">
        <v>47</v>
      </c>
    </row>
    <row r="455" spans="1:14" ht="15" customHeight="1" x14ac:dyDescent="0.25">
      <c r="B455" s="58" t="s">
        <v>23</v>
      </c>
      <c r="C455" s="59"/>
      <c r="D455" s="137"/>
      <c r="E455" s="137"/>
      <c r="F455" s="137"/>
      <c r="G455" s="137"/>
      <c r="H455" s="138"/>
      <c r="I455" s="28"/>
      <c r="L455" s="1" t="s">
        <v>233</v>
      </c>
      <c r="M455" s="29" t="s">
        <v>189</v>
      </c>
      <c r="N455" s="228" t="s">
        <v>23</v>
      </c>
    </row>
    <row r="456" spans="1:14" ht="15" customHeight="1" x14ac:dyDescent="0.25">
      <c r="B456" s="68" t="s">
        <v>89</v>
      </c>
      <c r="C456" s="67"/>
      <c r="D456" s="191"/>
      <c r="E456" s="139"/>
      <c r="F456" s="139"/>
      <c r="G456" s="139"/>
      <c r="H456" s="140"/>
      <c r="I456" s="28"/>
      <c r="L456" s="1" t="s">
        <v>233</v>
      </c>
      <c r="M456" s="29" t="s">
        <v>189</v>
      </c>
      <c r="N456" s="228" t="s">
        <v>89</v>
      </c>
    </row>
    <row r="457" spans="1:14" ht="15" customHeight="1" x14ac:dyDescent="0.25">
      <c r="B457" s="32" t="s">
        <v>90</v>
      </c>
      <c r="D457" s="6">
        <f>SUM(D454:D456)</f>
        <v>0</v>
      </c>
      <c r="E457" s="6">
        <f>SUM(E454:E456)</f>
        <v>0</v>
      </c>
      <c r="F457" s="6">
        <f>SUM(F454:F456)</f>
        <v>0</v>
      </c>
      <c r="G457" s="6">
        <f>SUM(G454:G456)</f>
        <v>0</v>
      </c>
      <c r="H457" s="6">
        <f>SUM(H454:H456)</f>
        <v>0</v>
      </c>
      <c r="I457" s="29"/>
      <c r="L457" s="1" t="s">
        <v>233</v>
      </c>
      <c r="M457" s="29" t="s">
        <v>189</v>
      </c>
      <c r="N457" s="228" t="s">
        <v>90</v>
      </c>
    </row>
    <row r="458" spans="1:14" ht="15" customHeight="1" x14ac:dyDescent="0.25">
      <c r="B458" s="5"/>
      <c r="D458" s="6"/>
      <c r="E458" s="6"/>
      <c r="F458" s="6"/>
      <c r="G458" s="167"/>
      <c r="H458" s="6"/>
      <c r="I458" s="29"/>
      <c r="L458" s="1" t="s">
        <v>233</v>
      </c>
      <c r="M458" s="29" t="s">
        <v>189</v>
      </c>
    </row>
    <row r="459" spans="1:14" ht="18.75" customHeight="1" x14ac:dyDescent="0.3">
      <c r="A459" s="8" t="s">
        <v>100</v>
      </c>
      <c r="D459" s="2">
        <f>StartYear</f>
        <v>2017</v>
      </c>
      <c r="E459" s="2">
        <f>D459+1</f>
        <v>2018</v>
      </c>
      <c r="F459" s="2">
        <f>E459+1</f>
        <v>2019</v>
      </c>
      <c r="G459" s="2">
        <f>F459+1</f>
        <v>2020</v>
      </c>
      <c r="H459" s="2">
        <f>G459+1</f>
        <v>2021</v>
      </c>
      <c r="I459" s="29"/>
      <c r="L459" s="1" t="s">
        <v>233</v>
      </c>
      <c r="M459" s="29" t="s">
        <v>189</v>
      </c>
      <c r="N459" s="228" t="s">
        <v>100</v>
      </c>
    </row>
    <row r="460" spans="1:14" ht="15" customHeight="1" x14ac:dyDescent="0.25">
      <c r="B460" s="57" t="str">
        <f>(StartYear-1) &amp; " Surplus Applied to " &amp; StartYear</f>
        <v>2016 Surplus Applied to 2017</v>
      </c>
      <c r="C460" s="29"/>
      <c r="D460" s="186">
        <v>0</v>
      </c>
      <c r="E460" s="187"/>
      <c r="F460" s="187"/>
      <c r="G460" s="187"/>
      <c r="H460" s="188"/>
      <c r="L460" s="1" t="s">
        <v>233</v>
      </c>
      <c r="M460" s="29" t="s">
        <v>189</v>
      </c>
      <c r="N460" s="228" t="s">
        <v>235</v>
      </c>
    </row>
    <row r="461" spans="1:14" ht="15" customHeight="1" x14ac:dyDescent="0.25">
      <c r="B461" s="57" t="str">
        <f>StartYear &amp; " Surplus Applied to " &amp; (StartYear-1)</f>
        <v>2017 Surplus Applied to 2016</v>
      </c>
      <c r="C461" s="29"/>
      <c r="D461" s="189">
        <v>0</v>
      </c>
      <c r="E461" s="113"/>
      <c r="F461" s="113"/>
      <c r="G461" s="113"/>
      <c r="H461" s="117"/>
      <c r="L461" s="1" t="s">
        <v>233</v>
      </c>
      <c r="M461" s="29" t="s">
        <v>189</v>
      </c>
      <c r="N461" s="228" t="s">
        <v>236</v>
      </c>
    </row>
    <row r="462" spans="1:14" ht="15" customHeight="1" x14ac:dyDescent="0.25">
      <c r="B462" s="57" t="str">
        <f>( StartYear) &amp; " Surplus Applied to " &amp; ( StartYear + 1 )</f>
        <v>2017 Surplus Applied to 2018</v>
      </c>
      <c r="C462" s="29"/>
      <c r="D462" s="184">
        <f ca="1">D446+D451-D457</f>
        <v>0</v>
      </c>
      <c r="E462" s="185">
        <f ca="1">D462</f>
        <v>0</v>
      </c>
      <c r="F462" s="181"/>
      <c r="G462" s="181"/>
      <c r="H462" s="182"/>
      <c r="L462" s="1" t="s">
        <v>233</v>
      </c>
      <c r="M462" s="29" t="s">
        <v>189</v>
      </c>
      <c r="N462" s="228" t="s">
        <v>237</v>
      </c>
    </row>
    <row r="463" spans="1:14" ht="15" customHeight="1" x14ac:dyDescent="0.25">
      <c r="B463" s="57" t="str">
        <f xml:space="preserve"> ( StartYear + 1 ) &amp; " Surplus Applied to " &amp; ( StartYear )</f>
        <v>2018 Surplus Applied to 2017</v>
      </c>
      <c r="C463" s="52"/>
      <c r="D463" s="134">
        <v>0</v>
      </c>
      <c r="E463" s="9">
        <v>0</v>
      </c>
      <c r="F463" s="113"/>
      <c r="G463" s="113"/>
      <c r="H463" s="117"/>
      <c r="L463" s="1" t="s">
        <v>233</v>
      </c>
      <c r="M463" s="29" t="s">
        <v>189</v>
      </c>
      <c r="N463" s="228" t="s">
        <v>238</v>
      </c>
    </row>
    <row r="464" spans="1:14" ht="15" customHeight="1" x14ac:dyDescent="0.25">
      <c r="B464" s="119" t="str">
        <f xml:space="preserve"> ( StartYear + 1 ) &amp; " Surplus Applied to " &amp; ( StartYear + 2 )</f>
        <v>2018 Surplus Applied to 2019</v>
      </c>
      <c r="C464" s="52"/>
      <c r="D464" s="114"/>
      <c r="E464" s="9">
        <v>0</v>
      </c>
      <c r="F464" s="51">
        <f>E464</f>
        <v>0</v>
      </c>
      <c r="G464" s="113"/>
      <c r="H464" s="117"/>
      <c r="L464" s="1" t="s">
        <v>233</v>
      </c>
      <c r="M464" s="29" t="s">
        <v>189</v>
      </c>
      <c r="N464" s="228" t="s">
        <v>239</v>
      </c>
    </row>
    <row r="465" spans="1:14" ht="15" customHeight="1" x14ac:dyDescent="0.25">
      <c r="B465" s="119" t="str">
        <f xml:space="preserve"> ( StartYear + 2 ) &amp; " Surplus Applied to " &amp; ( StartYear + 1 )</f>
        <v>2019 Surplus Applied to 2018</v>
      </c>
      <c r="C465" s="52"/>
      <c r="D465" s="114"/>
      <c r="E465" s="51">
        <v>0</v>
      </c>
      <c r="F465" s="9">
        <v>0</v>
      </c>
      <c r="G465" s="113"/>
      <c r="H465" s="117"/>
      <c r="L465" s="1" t="s">
        <v>233</v>
      </c>
      <c r="M465" s="29" t="s">
        <v>189</v>
      </c>
      <c r="N465" s="228" t="s">
        <v>240</v>
      </c>
    </row>
    <row r="466" spans="1:14" ht="15" customHeight="1" x14ac:dyDescent="0.25">
      <c r="B466" s="165" t="str">
        <f xml:space="preserve"> ( StartYear + 2 ) &amp; " Surplus Applied to " &amp; ( StartYear + 3 )</f>
        <v>2019 Surplus Applied to 2020</v>
      </c>
      <c r="C466" s="29"/>
      <c r="D466" s="114"/>
      <c r="E466" s="113"/>
      <c r="F466" s="9">
        <f>18037-602.4</f>
        <v>17434.599999999999</v>
      </c>
      <c r="G466" s="51">
        <f>F466</f>
        <v>17434.599999999999</v>
      </c>
      <c r="H466" s="117"/>
      <c r="L466" s="1" t="s">
        <v>233</v>
      </c>
      <c r="M466" s="29" t="s">
        <v>189</v>
      </c>
      <c r="N466" s="228" t="s">
        <v>241</v>
      </c>
    </row>
    <row r="467" spans="1:14" ht="15" customHeight="1" x14ac:dyDescent="0.25">
      <c r="B467" s="165" t="str">
        <f xml:space="preserve"> ( StartYear + 3 ) &amp; " Surplus Applied to " &amp; ( StartYear + 2 )</f>
        <v>2020 Surplus Applied to 2019</v>
      </c>
      <c r="C467" s="29"/>
      <c r="D467" s="114"/>
      <c r="E467" s="113"/>
      <c r="F467" s="51">
        <v>0</v>
      </c>
      <c r="G467" s="9">
        <v>0</v>
      </c>
      <c r="H467" s="117"/>
      <c r="L467" s="1" t="s">
        <v>233</v>
      </c>
      <c r="M467" s="29" t="s">
        <v>189</v>
      </c>
      <c r="N467" s="228" t="s">
        <v>242</v>
      </c>
    </row>
    <row r="468" spans="1:14" ht="15" customHeight="1" x14ac:dyDescent="0.25">
      <c r="B468" s="165" t="str">
        <f xml:space="preserve"> ( StartYear + 3 ) &amp; " Surplus Applied to " &amp; ( StartYear + 4 )</f>
        <v>2020 Surplus Applied to 2021</v>
      </c>
      <c r="C468" s="29"/>
      <c r="D468" s="114"/>
      <c r="E468" s="113"/>
      <c r="F468" s="113"/>
      <c r="G468" s="9">
        <f ca="1">G446+G451-G457</f>
        <v>0</v>
      </c>
      <c r="H468" s="46">
        <f ca="1">G468</f>
        <v>0</v>
      </c>
      <c r="L468" s="1" t="s">
        <v>233</v>
      </c>
      <c r="M468" s="29" t="s">
        <v>189</v>
      </c>
      <c r="N468" s="228" t="s">
        <v>243</v>
      </c>
    </row>
    <row r="469" spans="1:14" ht="15" customHeight="1" x14ac:dyDescent="0.25">
      <c r="B469" s="165" t="str">
        <f xml:space="preserve"> ( StartYear + 4 ) &amp; " Surplus Applied to " &amp; ( StartYear + 3 )</f>
        <v>2021 Surplus Applied to 2020</v>
      </c>
      <c r="C469" s="29"/>
      <c r="D469" s="115"/>
      <c r="E469" s="116"/>
      <c r="F469" s="116"/>
      <c r="G469" s="47">
        <v>0</v>
      </c>
      <c r="H469" s="41">
        <v>0</v>
      </c>
      <c r="L469" s="1" t="s">
        <v>233</v>
      </c>
      <c r="M469" s="29" t="s">
        <v>189</v>
      </c>
      <c r="N469" s="228" t="s">
        <v>244</v>
      </c>
    </row>
    <row r="470" spans="1:14" ht="15" customHeight="1" x14ac:dyDescent="0.25">
      <c r="B470" s="32" t="s">
        <v>17</v>
      </c>
      <c r="D470" s="6">
        <f ca="1">D460-D461+D463-D462</f>
        <v>0</v>
      </c>
      <c r="E470" s="6">
        <f ca="1">E462+E465-E463-E464</f>
        <v>0</v>
      </c>
      <c r="F470" s="6">
        <f>F464+F467-F465-F466</f>
        <v>-17434.599999999999</v>
      </c>
      <c r="G470" s="6">
        <f ca="1">G466+G469-G467-G468</f>
        <v>17434.599999999999</v>
      </c>
      <c r="H470" s="6">
        <f ca="1">H468 - H469</f>
        <v>0</v>
      </c>
      <c r="L470" s="1" t="s">
        <v>233</v>
      </c>
      <c r="M470" s="29" t="s">
        <v>189</v>
      </c>
      <c r="N470" s="228" t="s">
        <v>17</v>
      </c>
    </row>
    <row r="471" spans="1:14" ht="15" customHeight="1" x14ac:dyDescent="0.25">
      <c r="B471" s="5"/>
      <c r="D471" s="6"/>
      <c r="E471" s="6"/>
      <c r="F471" s="6"/>
      <c r="G471" s="6"/>
      <c r="H471" s="6"/>
      <c r="I471" s="29"/>
      <c r="L471" s="1" t="s">
        <v>233</v>
      </c>
      <c r="M471" s="29" t="s">
        <v>189</v>
      </c>
    </row>
    <row r="472" spans="1:14" ht="15" customHeight="1" x14ac:dyDescent="0.25">
      <c r="B472" s="54" t="s">
        <v>12</v>
      </c>
      <c r="C472" s="52"/>
      <c r="D472" s="75"/>
      <c r="E472" s="111"/>
      <c r="F472" s="111"/>
      <c r="G472" s="111"/>
      <c r="H472" s="76"/>
      <c r="I472" s="29"/>
      <c r="L472" s="1" t="s">
        <v>233</v>
      </c>
      <c r="M472" s="29" t="s">
        <v>189</v>
      </c>
      <c r="N472" s="228" t="s">
        <v>12</v>
      </c>
    </row>
    <row r="473" spans="1:14" ht="15" customHeight="1" x14ac:dyDescent="0.25">
      <c r="B473" s="5"/>
      <c r="D473" s="6"/>
      <c r="E473" s="6"/>
      <c r="F473" s="6"/>
      <c r="G473" s="6"/>
      <c r="H473" s="6"/>
      <c r="I473" s="29"/>
      <c r="L473" s="1" t="s">
        <v>233</v>
      </c>
      <c r="M473" s="29" t="s">
        <v>189</v>
      </c>
    </row>
    <row r="474" spans="1:14" ht="18.75" customHeight="1" x14ac:dyDescent="0.3">
      <c r="A474" s="38" t="s">
        <v>26</v>
      </c>
      <c r="C474" s="52">
        <f>A440</f>
        <v>11</v>
      </c>
      <c r="D474" s="112">
        <f ca="1" xml:space="preserve"> D446 + D451 - D457 + D470 + D472</f>
        <v>0</v>
      </c>
      <c r="E474" s="112">
        <f ca="1" xml:space="preserve"> E446 + E451 - E457 + E470 + E472</f>
        <v>0</v>
      </c>
      <c r="F474" s="112">
        <f ca="1" xml:space="preserve"> F446 + F451 - F457 + F470 + F472</f>
        <v>602.40000000000146</v>
      </c>
      <c r="G474" s="112">
        <f ca="1" xml:space="preserve"> G446 + G451 - G457 + G470 + G472</f>
        <v>17434.599999999999</v>
      </c>
      <c r="H474" s="174">
        <f ca="1" xml:space="preserve"> H446 + H451 - H457 + H470 + H472</f>
        <v>0</v>
      </c>
      <c r="L474" s="1" t="s">
        <v>233</v>
      </c>
      <c r="M474" s="29" t="s">
        <v>189</v>
      </c>
      <c r="N474" s="228" t="s">
        <v>26</v>
      </c>
    </row>
    <row r="475" spans="1:14" ht="15" customHeight="1" x14ac:dyDescent="0.25">
      <c r="B475" s="5"/>
      <c r="C475" s="108" t="s">
        <v>158</v>
      </c>
      <c r="D475" s="6"/>
      <c r="E475" s="6"/>
      <c r="F475" s="28">
        <v>602</v>
      </c>
      <c r="G475" s="28"/>
      <c r="H475" s="28"/>
      <c r="I475" s="24"/>
      <c r="L475" s="1" t="s">
        <v>233</v>
      </c>
      <c r="M475" s="29" t="s">
        <v>189</v>
      </c>
      <c r="N475" s="228" t="s">
        <v>158</v>
      </c>
    </row>
    <row r="476" spans="1:14" ht="15.75" customHeight="1" thickBot="1" x14ac:dyDescent="0.3">
      <c r="I476" s="23"/>
      <c r="L476" s="1" t="s">
        <v>233</v>
      </c>
      <c r="M476" s="29" t="s">
        <v>189</v>
      </c>
    </row>
    <row r="477" spans="1:14" ht="15" customHeight="1" x14ac:dyDescent="0.25">
      <c r="A477" s="7"/>
      <c r="B477" s="7"/>
      <c r="C477" s="7"/>
      <c r="D477" s="170"/>
      <c r="E477" s="7"/>
      <c r="F477" s="7"/>
      <c r="G477" s="7"/>
      <c r="H477" s="7"/>
      <c r="I477" s="23"/>
      <c r="L477" s="1" t="s">
        <v>233</v>
      </c>
      <c r="M477" s="29" t="s">
        <v>189</v>
      </c>
    </row>
    <row r="478" spans="1:14" ht="21" customHeight="1" x14ac:dyDescent="0.35">
      <c r="A478" s="12">
        <f>MAX(A$1:A477)+1</f>
        <v>12</v>
      </c>
      <c r="B478" s="12"/>
      <c r="C478" s="214" t="str">
        <f ca="1">OFFSET($B$4,A478-1,0)</f>
        <v>Condon Wind Power</v>
      </c>
      <c r="D478" s="215"/>
      <c r="E478" s="216"/>
      <c r="F478" s="216"/>
      <c r="G478" s="217"/>
      <c r="H478" s="218"/>
      <c r="L478" s="1" t="s">
        <v>233</v>
      </c>
      <c r="M478" s="29" t="s">
        <v>187</v>
      </c>
      <c r="N478" s="228">
        <v>14</v>
      </c>
    </row>
    <row r="479" spans="1:14" ht="15" customHeight="1" x14ac:dyDescent="0.25">
      <c r="C479" s="1" t="str">
        <f ca="1">VLOOKUP(C478,Facilities,3,FALSE)</f>
        <v>REC only</v>
      </c>
      <c r="D479" s="1"/>
      <c r="L479" s="1" t="s">
        <v>233</v>
      </c>
      <c r="M479" s="29" t="s">
        <v>187</v>
      </c>
      <c r="N479" s="228" t="s">
        <v>181</v>
      </c>
    </row>
    <row r="480" spans="1:14" ht="18.75" customHeight="1" x14ac:dyDescent="0.3">
      <c r="A480" s="8" t="s">
        <v>21</v>
      </c>
      <c r="B480" s="8"/>
      <c r="D480" s="2">
        <f>D366</f>
        <v>2017</v>
      </c>
      <c r="E480" s="2">
        <f>D480+1</f>
        <v>2018</v>
      </c>
      <c r="F480" s="2">
        <f>E480+1</f>
        <v>2019</v>
      </c>
      <c r="G480" s="2">
        <f>F480+1</f>
        <v>2020</v>
      </c>
      <c r="H480" s="2">
        <f>G480+1</f>
        <v>2021</v>
      </c>
      <c r="L480" s="1" t="s">
        <v>233</v>
      </c>
      <c r="M480" s="29" t="s">
        <v>187</v>
      </c>
      <c r="N480" s="228" t="s">
        <v>21</v>
      </c>
    </row>
    <row r="481" spans="1:14" ht="15" customHeight="1" x14ac:dyDescent="0.25">
      <c r="B481" s="119" t="str">
        <f ca="1">IF(C517&lt;&gt;"REC only","Total MWh ","")&amp;IF(C479="PSE owned","Produced","Purchased")&amp;" from "&amp;C478</f>
        <v>Purchased from Condon Wind Power</v>
      </c>
      <c r="C481" s="52"/>
      <c r="D481" s="3">
        <v>1046</v>
      </c>
      <c r="E481" s="3"/>
      <c r="F481" s="3">
        <v>591</v>
      </c>
      <c r="G481" s="3"/>
      <c r="H481" s="4"/>
      <c r="L481" s="1" t="s">
        <v>233</v>
      </c>
      <c r="M481" s="29" t="s">
        <v>187</v>
      </c>
      <c r="N481" s="228" t="s">
        <v>255</v>
      </c>
    </row>
    <row r="482" spans="1:14" ht="15" customHeight="1" x14ac:dyDescent="0.25">
      <c r="B482" s="57" t="s">
        <v>25</v>
      </c>
      <c r="C482" s="52"/>
      <c r="D482" s="132">
        <v>1</v>
      </c>
      <c r="E482" s="132"/>
      <c r="F482" s="132">
        <v>1</v>
      </c>
      <c r="G482" s="132"/>
      <c r="H482" s="133"/>
      <c r="L482" s="1" t="s">
        <v>233</v>
      </c>
      <c r="M482" s="29" t="s">
        <v>187</v>
      </c>
      <c r="N482" s="228" t="s">
        <v>25</v>
      </c>
    </row>
    <row r="483" spans="1:14" ht="15" customHeight="1" x14ac:dyDescent="0.25">
      <c r="B483" s="57" t="s">
        <v>20</v>
      </c>
      <c r="C483" s="52"/>
      <c r="D483" s="42">
        <v>1</v>
      </c>
      <c r="E483" s="42"/>
      <c r="F483" s="42">
        <v>1</v>
      </c>
      <c r="G483" s="42"/>
      <c r="H483" s="43"/>
      <c r="L483" s="1" t="s">
        <v>233</v>
      </c>
      <c r="M483" s="29" t="s">
        <v>187</v>
      </c>
      <c r="N483" s="228" t="s">
        <v>20</v>
      </c>
    </row>
    <row r="484" spans="1:14" ht="15" customHeight="1" x14ac:dyDescent="0.25">
      <c r="B484" s="54" t="s">
        <v>22</v>
      </c>
      <c r="C484" s="55"/>
      <c r="D484" s="131">
        <f xml:space="preserve"> D481 * D482 * D483</f>
        <v>1046</v>
      </c>
      <c r="E484" s="131">
        <f xml:space="preserve"> E481 * E482 * E483</f>
        <v>0</v>
      </c>
      <c r="F484" s="131">
        <f xml:space="preserve"> ROUNDDOWN(F481 * F482 * F483,0)</f>
        <v>591</v>
      </c>
      <c r="G484" s="131">
        <f xml:space="preserve"> ROUNDDOWN(G481 * G482 * G483,0)</f>
        <v>0</v>
      </c>
      <c r="H484" s="131">
        <f xml:space="preserve"> ROUNDDOWN(H481 * H482 * H483,0)</f>
        <v>0</v>
      </c>
      <c r="L484" s="1" t="s">
        <v>233</v>
      </c>
      <c r="M484" s="29" t="s">
        <v>187</v>
      </c>
      <c r="N484" s="228" t="s">
        <v>22</v>
      </c>
    </row>
    <row r="485" spans="1:14" ht="15" customHeight="1" x14ac:dyDescent="0.25">
      <c r="B485" s="22"/>
      <c r="C485" s="29"/>
      <c r="D485" s="36"/>
      <c r="E485" s="36"/>
      <c r="F485" s="36"/>
      <c r="G485" s="167"/>
      <c r="H485" s="36"/>
      <c r="L485" s="1" t="s">
        <v>233</v>
      </c>
      <c r="M485" s="29" t="s">
        <v>187</v>
      </c>
    </row>
    <row r="486" spans="1:14" ht="18.75" customHeight="1" x14ac:dyDescent="0.3">
      <c r="A486" s="39" t="s">
        <v>119</v>
      </c>
      <c r="C486" s="29"/>
      <c r="D486" s="2">
        <f>D480</f>
        <v>2017</v>
      </c>
      <c r="E486" s="2">
        <f>D486+1</f>
        <v>2018</v>
      </c>
      <c r="F486" s="2">
        <f>E486+1</f>
        <v>2019</v>
      </c>
      <c r="G486" s="2">
        <f>F486+1</f>
        <v>2020</v>
      </c>
      <c r="H486" s="2">
        <f>G486+1</f>
        <v>2021</v>
      </c>
      <c r="L486" s="1" t="s">
        <v>233</v>
      </c>
      <c r="M486" s="29" t="s">
        <v>187</v>
      </c>
      <c r="N486" s="228" t="s">
        <v>119</v>
      </c>
    </row>
    <row r="487" spans="1:14" x14ac:dyDescent="0.25">
      <c r="B487" s="57" t="s">
        <v>10</v>
      </c>
      <c r="C487" s="52"/>
      <c r="D487" s="10">
        <f ca="1">IF(VLOOKUP($C478,Facilities,5,FALSE)="Eligible", D484*ApprenticeshipBonus, 0 )</f>
        <v>0</v>
      </c>
      <c r="E487" s="109">
        <f ca="1">IF(VLOOKUP($C478,Facilities,5,FALSE)="Eligible", E484*ApprenticeshipBonus, 0 )</f>
        <v>0</v>
      </c>
      <c r="F487" s="109">
        <f ca="1">IF(VLOOKUP($C478,Facilities,5,FALSE)="Eligible", F484*ApprenticeshipBonus, 0 )</f>
        <v>0</v>
      </c>
      <c r="G487" s="109">
        <f ca="1">IF(VLOOKUP($C478,Facilities,5,FALSE)="Eligible", G484*ApprenticeshipBonus, 0 )</f>
        <v>0</v>
      </c>
      <c r="H487" s="11">
        <f ca="1">IF(VLOOKUP($C478,Facilities,5,FALSE)="Eligible", H484*ApprenticeshipBonus, 0 )</f>
        <v>0</v>
      </c>
      <c r="L487" s="1" t="s">
        <v>233</v>
      </c>
      <c r="M487" s="29" t="s">
        <v>187</v>
      </c>
      <c r="N487" s="228" t="s">
        <v>10</v>
      </c>
    </row>
    <row r="488" spans="1:14" ht="15" customHeight="1" x14ac:dyDescent="0.25">
      <c r="B488" s="57" t="s">
        <v>6</v>
      </c>
      <c r="C488" s="52"/>
      <c r="D488" s="44">
        <f ca="1">IF(VLOOKUP($C478,Facilities,6,FALSE)="Eligible", D484, 0 )</f>
        <v>0</v>
      </c>
      <c r="E488" s="110">
        <f ca="1">IF(VLOOKUP($C478,Facilities,6,FALSE)="Eligible", E484, 0 )</f>
        <v>0</v>
      </c>
      <c r="F488" s="110">
        <f ca="1">IF(VLOOKUP($C478,Facilities,6,FALSE)="Eligible", F484, 0 )</f>
        <v>0</v>
      </c>
      <c r="G488" s="110">
        <f ca="1">IF(VLOOKUP($C478,Facilities,6,FALSE)="Eligible", G484, 0 )</f>
        <v>0</v>
      </c>
      <c r="H488" s="45">
        <f ca="1">IF(VLOOKUP($C478,Facilities,6,FALSE)="Eligible", H484, 0 )</f>
        <v>0</v>
      </c>
      <c r="L488" s="1" t="s">
        <v>233</v>
      </c>
      <c r="M488" s="29" t="s">
        <v>187</v>
      </c>
      <c r="N488" s="228" t="s">
        <v>6</v>
      </c>
    </row>
    <row r="489" spans="1:14" ht="15" customHeight="1" x14ac:dyDescent="0.25">
      <c r="B489" s="56" t="s">
        <v>121</v>
      </c>
      <c r="C489" s="55"/>
      <c r="D489" s="37">
        <f ca="1">SUM(D487:D488)</f>
        <v>0</v>
      </c>
      <c r="E489" s="37">
        <f ca="1">SUM(E487:E488)</f>
        <v>0</v>
      </c>
      <c r="F489" s="37">
        <f ca="1">SUM(F487:F488)</f>
        <v>0</v>
      </c>
      <c r="G489" s="37">
        <f ca="1">SUM(G487:G488)</f>
        <v>0</v>
      </c>
      <c r="H489" s="37">
        <f ca="1">SUM(H487:H488)</f>
        <v>0</v>
      </c>
      <c r="L489" s="1" t="s">
        <v>233</v>
      </c>
      <c r="M489" s="29" t="s">
        <v>187</v>
      </c>
      <c r="N489" s="228" t="s">
        <v>121</v>
      </c>
    </row>
    <row r="490" spans="1:14" ht="15" customHeight="1" x14ac:dyDescent="0.25">
      <c r="B490" s="29"/>
      <c r="C490" s="29"/>
      <c r="D490" s="30"/>
      <c r="E490" s="30"/>
      <c r="F490" s="30"/>
      <c r="G490" s="169"/>
      <c r="H490" s="30"/>
      <c r="L490" s="1" t="s">
        <v>233</v>
      </c>
      <c r="M490" s="29" t="s">
        <v>187</v>
      </c>
    </row>
    <row r="491" spans="1:14" ht="18.75" customHeight="1" x14ac:dyDescent="0.3">
      <c r="A491" s="38" t="s">
        <v>30</v>
      </c>
      <c r="C491" s="29"/>
      <c r="D491" s="2">
        <f>D480</f>
        <v>2017</v>
      </c>
      <c r="E491" s="2">
        <f>D491+1</f>
        <v>2018</v>
      </c>
      <c r="F491" s="2">
        <f>E491+1</f>
        <v>2019</v>
      </c>
      <c r="G491" s="2">
        <f>F491+1</f>
        <v>2020</v>
      </c>
      <c r="H491" s="2">
        <f>G491+1</f>
        <v>2021</v>
      </c>
      <c r="L491" s="1" t="s">
        <v>233</v>
      </c>
      <c r="M491" s="29" t="s">
        <v>187</v>
      </c>
      <c r="N491" s="228" t="s">
        <v>30</v>
      </c>
    </row>
    <row r="492" spans="1:14" ht="15" customHeight="1" x14ac:dyDescent="0.25">
      <c r="B492" s="57" t="s">
        <v>47</v>
      </c>
      <c r="C492" s="52"/>
      <c r="D492" s="3">
        <v>0</v>
      </c>
      <c r="E492" s="3">
        <v>0</v>
      </c>
      <c r="F492" s="3">
        <v>0</v>
      </c>
      <c r="G492" s="3">
        <v>0</v>
      </c>
      <c r="H492" s="4">
        <v>0</v>
      </c>
      <c r="L492" s="1" t="s">
        <v>233</v>
      </c>
      <c r="M492" s="29" t="s">
        <v>187</v>
      </c>
      <c r="N492" s="228" t="s">
        <v>47</v>
      </c>
    </row>
    <row r="493" spans="1:14" ht="15" customHeight="1" x14ac:dyDescent="0.25">
      <c r="B493" s="58" t="s">
        <v>23</v>
      </c>
      <c r="C493" s="59"/>
      <c r="D493" s="137">
        <v>0</v>
      </c>
      <c r="E493" s="137">
        <v>0</v>
      </c>
      <c r="F493" s="137">
        <v>0</v>
      </c>
      <c r="G493" s="137">
        <v>0</v>
      </c>
      <c r="H493" s="138">
        <v>0</v>
      </c>
      <c r="L493" s="1" t="s">
        <v>233</v>
      </c>
      <c r="M493" s="29" t="s">
        <v>187</v>
      </c>
      <c r="N493" s="228" t="s">
        <v>23</v>
      </c>
    </row>
    <row r="494" spans="1:14" ht="15" customHeight="1" x14ac:dyDescent="0.25">
      <c r="B494" s="68" t="s">
        <v>89</v>
      </c>
      <c r="C494" s="67"/>
      <c r="D494" s="191">
        <v>0</v>
      </c>
      <c r="E494" s="139">
        <v>0</v>
      </c>
      <c r="F494" s="139">
        <v>0</v>
      </c>
      <c r="G494" s="139">
        <v>0</v>
      </c>
      <c r="H494" s="140">
        <v>0</v>
      </c>
      <c r="L494" s="1" t="s">
        <v>233</v>
      </c>
      <c r="M494" s="29" t="s">
        <v>187</v>
      </c>
      <c r="N494" s="228" t="s">
        <v>89</v>
      </c>
    </row>
    <row r="495" spans="1:14" ht="15" customHeight="1" x14ac:dyDescent="0.25">
      <c r="B495" s="32" t="s">
        <v>90</v>
      </c>
      <c r="D495" s="6">
        <f>SUM(D492:D494)</f>
        <v>0</v>
      </c>
      <c r="E495" s="6">
        <f>SUM(E492:E494)</f>
        <v>0</v>
      </c>
      <c r="F495" s="6">
        <f>SUM(F492:F494)</f>
        <v>0</v>
      </c>
      <c r="G495" s="6">
        <f>SUM(G492:G494)</f>
        <v>0</v>
      </c>
      <c r="H495" s="6">
        <f>SUM(H492:H494)</f>
        <v>0</v>
      </c>
      <c r="L495" s="1" t="s">
        <v>233</v>
      </c>
      <c r="M495" s="29" t="s">
        <v>187</v>
      </c>
      <c r="N495" s="228" t="s">
        <v>90</v>
      </c>
    </row>
    <row r="496" spans="1:14" ht="15" customHeight="1" x14ac:dyDescent="0.25">
      <c r="B496" s="5"/>
      <c r="D496" s="6"/>
      <c r="E496" s="6"/>
      <c r="F496" s="6"/>
      <c r="G496" s="167"/>
      <c r="H496" s="6"/>
      <c r="L496" s="1" t="s">
        <v>233</v>
      </c>
      <c r="M496" s="29" t="s">
        <v>187</v>
      </c>
    </row>
    <row r="497" spans="1:14" ht="18.75" customHeight="1" x14ac:dyDescent="0.3">
      <c r="A497" s="8" t="s">
        <v>100</v>
      </c>
      <c r="D497" s="2">
        <f>D480</f>
        <v>2017</v>
      </c>
      <c r="E497" s="2">
        <f>D497+1</f>
        <v>2018</v>
      </c>
      <c r="F497" s="2">
        <f>E497+1</f>
        <v>2019</v>
      </c>
      <c r="G497" s="2">
        <f>F497+1</f>
        <v>2020</v>
      </c>
      <c r="H497" s="2">
        <f>G497+1</f>
        <v>2021</v>
      </c>
      <c r="L497" s="1" t="s">
        <v>233</v>
      </c>
      <c r="M497" s="29" t="s">
        <v>187</v>
      </c>
      <c r="N497" s="228" t="s">
        <v>100</v>
      </c>
    </row>
    <row r="498" spans="1:14" ht="15" customHeight="1" x14ac:dyDescent="0.25">
      <c r="B498" s="57" t="str">
        <f>(StartYear-1) &amp; " Surplus Applied to " &amp; StartYear</f>
        <v>2016 Surplus Applied to 2017</v>
      </c>
      <c r="C498" s="29"/>
      <c r="D498" s="186">
        <v>0</v>
      </c>
      <c r="E498" s="187"/>
      <c r="F498" s="187"/>
      <c r="G498" s="187"/>
      <c r="H498" s="188"/>
      <c r="L498" s="1" t="s">
        <v>233</v>
      </c>
      <c r="M498" s="29" t="s">
        <v>187</v>
      </c>
      <c r="N498" s="228" t="s">
        <v>235</v>
      </c>
    </row>
    <row r="499" spans="1:14" ht="15" customHeight="1" x14ac:dyDescent="0.25">
      <c r="B499" s="57" t="str">
        <f>StartYear &amp; " Surplus Applied to " &amp; (StartYear-1)</f>
        <v>2017 Surplus Applied to 2016</v>
      </c>
      <c r="C499" s="29"/>
      <c r="D499" s="189">
        <v>0</v>
      </c>
      <c r="E499" s="113"/>
      <c r="F499" s="113"/>
      <c r="G499" s="113"/>
      <c r="H499" s="117"/>
      <c r="L499" s="1" t="s">
        <v>233</v>
      </c>
      <c r="M499" s="29" t="s">
        <v>187</v>
      </c>
      <c r="N499" s="228" t="s">
        <v>236</v>
      </c>
    </row>
    <row r="500" spans="1:14" ht="15" customHeight="1" x14ac:dyDescent="0.25">
      <c r="B500" s="57" t="str">
        <f>( StartYear) &amp; " Surplus Applied to " &amp; ( StartYear + 1 )</f>
        <v>2017 Surplus Applied to 2018</v>
      </c>
      <c r="C500" s="29"/>
      <c r="D500" s="184">
        <v>0</v>
      </c>
      <c r="E500" s="185">
        <f>D500</f>
        <v>0</v>
      </c>
      <c r="F500" s="181"/>
      <c r="G500" s="181"/>
      <c r="H500" s="182"/>
      <c r="L500" s="1" t="s">
        <v>233</v>
      </c>
      <c r="M500" s="29" t="s">
        <v>187</v>
      </c>
      <c r="N500" s="228" t="s">
        <v>237</v>
      </c>
    </row>
    <row r="501" spans="1:14" ht="15" customHeight="1" x14ac:dyDescent="0.25">
      <c r="B501" s="57" t="str">
        <f xml:space="preserve"> ( StartYear + 1 ) &amp; " Surplus Applied to " &amp; ( StartYear )</f>
        <v>2018 Surplus Applied to 2017</v>
      </c>
      <c r="C501" s="52"/>
      <c r="D501" s="134">
        <v>0</v>
      </c>
      <c r="E501" s="9">
        <v>0</v>
      </c>
      <c r="F501" s="113"/>
      <c r="G501" s="113"/>
      <c r="H501" s="117"/>
      <c r="L501" s="1" t="s">
        <v>233</v>
      </c>
      <c r="M501" s="29" t="s">
        <v>187</v>
      </c>
      <c r="N501" s="228" t="s">
        <v>238</v>
      </c>
    </row>
    <row r="502" spans="1:14" ht="15" customHeight="1" x14ac:dyDescent="0.25">
      <c r="B502" s="119" t="str">
        <f xml:space="preserve"> ( StartYear + 1 ) &amp; " Surplus Applied to " &amp; ( StartYear + 2 )</f>
        <v>2018 Surplus Applied to 2019</v>
      </c>
      <c r="C502" s="52"/>
      <c r="D502" s="114"/>
      <c r="E502" s="9">
        <v>0</v>
      </c>
      <c r="F502" s="51">
        <f>E502</f>
        <v>0</v>
      </c>
      <c r="G502" s="113"/>
      <c r="H502" s="117"/>
      <c r="L502" s="1" t="s">
        <v>233</v>
      </c>
      <c r="M502" s="29" t="s">
        <v>187</v>
      </c>
      <c r="N502" s="228" t="s">
        <v>239</v>
      </c>
    </row>
    <row r="503" spans="1:14" ht="15" customHeight="1" x14ac:dyDescent="0.25">
      <c r="B503" s="119" t="str">
        <f xml:space="preserve"> ( StartYear + 2 ) &amp; " Surplus Applied to " &amp; ( StartYear + 1 )</f>
        <v>2019 Surplus Applied to 2018</v>
      </c>
      <c r="C503" s="52"/>
      <c r="D503" s="114"/>
      <c r="E503" s="51">
        <v>0</v>
      </c>
      <c r="F503" s="9">
        <v>0</v>
      </c>
      <c r="G503" s="113"/>
      <c r="H503" s="117"/>
      <c r="L503" s="1" t="s">
        <v>233</v>
      </c>
      <c r="M503" s="29" t="s">
        <v>187</v>
      </c>
      <c r="N503" s="228" t="s">
        <v>240</v>
      </c>
    </row>
    <row r="504" spans="1:14" ht="15" customHeight="1" x14ac:dyDescent="0.25">
      <c r="B504" s="165" t="str">
        <f xml:space="preserve"> ( StartYear + 2 ) &amp; " Surplus Applied to " &amp; ( StartYear + 3 )</f>
        <v>2019 Surplus Applied to 2020</v>
      </c>
      <c r="C504" s="29"/>
      <c r="D504" s="114"/>
      <c r="E504" s="113"/>
      <c r="F504" s="9">
        <v>591</v>
      </c>
      <c r="G504" s="51">
        <f>F504</f>
        <v>591</v>
      </c>
      <c r="H504" s="117"/>
      <c r="L504" s="1" t="s">
        <v>233</v>
      </c>
      <c r="M504" s="29" t="s">
        <v>187</v>
      </c>
      <c r="N504" s="228" t="s">
        <v>241</v>
      </c>
    </row>
    <row r="505" spans="1:14" ht="15" customHeight="1" x14ac:dyDescent="0.25">
      <c r="B505" s="165" t="str">
        <f xml:space="preserve"> ( StartYear + 3 ) &amp; " Surplus Applied to " &amp; ( StartYear + 2 )</f>
        <v>2020 Surplus Applied to 2019</v>
      </c>
      <c r="C505" s="29"/>
      <c r="D505" s="114"/>
      <c r="E505" s="113"/>
      <c r="F505" s="51">
        <v>0</v>
      </c>
      <c r="G505" s="9">
        <v>0</v>
      </c>
      <c r="H505" s="117"/>
      <c r="L505" s="1" t="s">
        <v>233</v>
      </c>
      <c r="M505" s="29" t="s">
        <v>187</v>
      </c>
      <c r="N505" s="228" t="s">
        <v>242</v>
      </c>
    </row>
    <row r="506" spans="1:14" ht="15" customHeight="1" x14ac:dyDescent="0.25">
      <c r="B506" s="165" t="str">
        <f xml:space="preserve"> ( StartYear + 3 ) &amp; " Surplus Applied to " &amp; ( StartYear + 4 )</f>
        <v>2020 Surplus Applied to 2021</v>
      </c>
      <c r="C506" s="29"/>
      <c r="D506" s="114"/>
      <c r="E506" s="113"/>
      <c r="F506" s="113"/>
      <c r="G506" s="9">
        <f ca="1">G484+G489-G495</f>
        <v>0</v>
      </c>
      <c r="H506" s="46">
        <f ca="1">G506</f>
        <v>0</v>
      </c>
      <c r="L506" s="1" t="s">
        <v>233</v>
      </c>
      <c r="M506" s="29" t="s">
        <v>187</v>
      </c>
      <c r="N506" s="228" t="s">
        <v>243</v>
      </c>
    </row>
    <row r="507" spans="1:14" ht="15" customHeight="1" x14ac:dyDescent="0.25">
      <c r="B507" s="165" t="str">
        <f xml:space="preserve"> ( StartYear + 4 ) &amp; " Surplus Applied to " &amp; ( StartYear + 3 )</f>
        <v>2021 Surplus Applied to 2020</v>
      </c>
      <c r="C507" s="29"/>
      <c r="D507" s="115"/>
      <c r="E507" s="116"/>
      <c r="F507" s="116"/>
      <c r="G507" s="47">
        <v>0</v>
      </c>
      <c r="H507" s="41">
        <v>0</v>
      </c>
      <c r="L507" s="1" t="s">
        <v>233</v>
      </c>
      <c r="M507" s="29" t="s">
        <v>187</v>
      </c>
      <c r="N507" s="228" t="s">
        <v>244</v>
      </c>
    </row>
    <row r="508" spans="1:14" ht="15" customHeight="1" x14ac:dyDescent="0.25">
      <c r="B508" s="32" t="s">
        <v>17</v>
      </c>
      <c r="D508" s="6">
        <f>D498-D499+D501-D500</f>
        <v>0</v>
      </c>
      <c r="E508" s="6">
        <f>E500+E503-E501-E502</f>
        <v>0</v>
      </c>
      <c r="F508" s="6">
        <f>F502+F505-F503-F504</f>
        <v>-591</v>
      </c>
      <c r="G508" s="6">
        <f ca="1">G504+G507-G505-G506</f>
        <v>591</v>
      </c>
      <c r="H508" s="6">
        <f ca="1">H506 - H507</f>
        <v>0</v>
      </c>
      <c r="L508" s="1" t="s">
        <v>233</v>
      </c>
      <c r="M508" s="29" t="s">
        <v>187</v>
      </c>
      <c r="N508" s="228" t="s">
        <v>17</v>
      </c>
    </row>
    <row r="509" spans="1:14" ht="15" customHeight="1" x14ac:dyDescent="0.25">
      <c r="B509" s="5"/>
      <c r="D509" s="6"/>
      <c r="E509" s="6"/>
      <c r="F509" s="6"/>
      <c r="G509" s="6"/>
      <c r="H509" s="6"/>
      <c r="L509" s="1" t="s">
        <v>233</v>
      </c>
      <c r="M509" s="29" t="s">
        <v>187</v>
      </c>
    </row>
    <row r="510" spans="1:14" ht="15" customHeight="1" x14ac:dyDescent="0.25">
      <c r="B510" s="54" t="s">
        <v>12</v>
      </c>
      <c r="C510" s="52"/>
      <c r="D510" s="75">
        <v>0</v>
      </c>
      <c r="E510" s="111">
        <v>0</v>
      </c>
      <c r="F510" s="111">
        <v>0</v>
      </c>
      <c r="G510" s="111">
        <v>0</v>
      </c>
      <c r="H510" s="76">
        <v>0</v>
      </c>
      <c r="L510" s="1" t="s">
        <v>233</v>
      </c>
      <c r="M510" s="29" t="s">
        <v>187</v>
      </c>
      <c r="N510" s="228" t="s">
        <v>12</v>
      </c>
    </row>
    <row r="511" spans="1:14" ht="15" customHeight="1" x14ac:dyDescent="0.25">
      <c r="B511" s="5"/>
      <c r="D511" s="6"/>
      <c r="E511" s="6"/>
      <c r="F511" s="6"/>
      <c r="G511" s="6"/>
      <c r="H511" s="6"/>
      <c r="L511" s="1" t="s">
        <v>233</v>
      </c>
      <c r="M511" s="29" t="s">
        <v>187</v>
      </c>
    </row>
    <row r="512" spans="1:14" ht="18.75" customHeight="1" x14ac:dyDescent="0.3">
      <c r="A512" s="38" t="s">
        <v>26</v>
      </c>
      <c r="C512" s="52">
        <f>A478</f>
        <v>12</v>
      </c>
      <c r="D512" s="112">
        <f ca="1" xml:space="preserve"> D484 + D489 - D495 + D508 + D510</f>
        <v>1046</v>
      </c>
      <c r="E512" s="112">
        <f ca="1" xml:space="preserve"> E484 + E489 - E495 + E508 + E510</f>
        <v>0</v>
      </c>
      <c r="F512" s="112">
        <f ca="1" xml:space="preserve"> F484 + F489 - F495 + F508 + F510</f>
        <v>0</v>
      </c>
      <c r="G512" s="112">
        <f ca="1" xml:space="preserve"> G484 + G489 - G495 + G508 + G510</f>
        <v>591</v>
      </c>
      <c r="H512" s="174">
        <f ca="1" xml:space="preserve"> H484 + H489 - H495 + H508 + H510</f>
        <v>0</v>
      </c>
      <c r="L512" s="1" t="s">
        <v>233</v>
      </c>
      <c r="M512" s="29" t="s">
        <v>187</v>
      </c>
      <c r="N512" s="228" t="s">
        <v>26</v>
      </c>
    </row>
    <row r="513" spans="1:14" ht="13.9" customHeight="1" x14ac:dyDescent="0.25">
      <c r="C513" s="108" t="s">
        <v>158</v>
      </c>
      <c r="D513" s="6">
        <v>1046</v>
      </c>
      <c r="E513" s="28"/>
      <c r="F513" s="28"/>
      <c r="G513" s="28"/>
      <c r="H513" s="28"/>
      <c r="L513" s="1" t="s">
        <v>233</v>
      </c>
      <c r="M513" s="29" t="s">
        <v>187</v>
      </c>
      <c r="N513" s="228" t="s">
        <v>158</v>
      </c>
    </row>
    <row r="514" spans="1:14" ht="15" customHeight="1" x14ac:dyDescent="0.25">
      <c r="D514" s="1"/>
      <c r="L514" s="1" t="s">
        <v>233</v>
      </c>
      <c r="M514" s="29" t="s">
        <v>187</v>
      </c>
    </row>
    <row r="515" spans="1:14" ht="15" customHeight="1" x14ac:dyDescent="0.25">
      <c r="A515" s="29"/>
      <c r="B515" s="29"/>
      <c r="C515" s="29"/>
      <c r="D515" s="29"/>
      <c r="E515" s="29"/>
      <c r="F515" s="29"/>
      <c r="G515" s="29"/>
      <c r="H515" s="29"/>
      <c r="L515" s="1" t="s">
        <v>233</v>
      </c>
      <c r="M515" s="29" t="s">
        <v>187</v>
      </c>
    </row>
    <row r="516" spans="1:14" ht="21" customHeight="1" x14ac:dyDescent="0.35">
      <c r="A516" s="12">
        <f>MAX(A$1:A515)+1</f>
        <v>13</v>
      </c>
      <c r="B516" s="12"/>
      <c r="C516" s="214" t="str">
        <f ca="1">OFFSET($B$4,A516-1,0)</f>
        <v>Condon Wind Power Phase II</v>
      </c>
      <c r="D516" s="215"/>
      <c r="E516" s="216"/>
      <c r="F516" s="216"/>
      <c r="G516" s="217"/>
      <c r="H516" s="218"/>
      <c r="L516" s="1" t="s">
        <v>233</v>
      </c>
      <c r="M516" s="29" t="s">
        <v>188</v>
      </c>
      <c r="N516" s="228">
        <v>15</v>
      </c>
    </row>
    <row r="517" spans="1:14" ht="15" customHeight="1" x14ac:dyDescent="0.25">
      <c r="C517" s="1" t="str">
        <f ca="1">VLOOKUP(C516,Facilities,3,FALSE)</f>
        <v>REC only</v>
      </c>
      <c r="D517" s="1"/>
      <c r="L517" s="1" t="s">
        <v>233</v>
      </c>
      <c r="M517" s="29" t="s">
        <v>188</v>
      </c>
      <c r="N517" s="228" t="s">
        <v>181</v>
      </c>
    </row>
    <row r="518" spans="1:14" ht="18.75" customHeight="1" x14ac:dyDescent="0.3">
      <c r="A518" s="8" t="s">
        <v>21</v>
      </c>
      <c r="B518" s="8"/>
      <c r="D518" s="2">
        <f>D366</f>
        <v>2017</v>
      </c>
      <c r="E518" s="2">
        <f>D518+1</f>
        <v>2018</v>
      </c>
      <c r="F518" s="2">
        <f>E518+1</f>
        <v>2019</v>
      </c>
      <c r="G518" s="2">
        <f>F518+1</f>
        <v>2020</v>
      </c>
      <c r="H518" s="2">
        <f>G518+1</f>
        <v>2021</v>
      </c>
      <c r="L518" s="1" t="s">
        <v>233</v>
      </c>
      <c r="M518" s="29" t="s">
        <v>188</v>
      </c>
      <c r="N518" s="228" t="s">
        <v>21</v>
      </c>
    </row>
    <row r="519" spans="1:14" ht="15" customHeight="1" x14ac:dyDescent="0.25">
      <c r="B519" s="119" t="str">
        <f ca="1">IF(C555&lt;&gt;"REC only","Total MWh ","")&amp;IF(C517="PSE owned","Produced","Purchased")&amp;" from "&amp;C516</f>
        <v>Purchased from Condon Wind Power Phase II</v>
      </c>
      <c r="C519" s="52"/>
      <c r="D519" s="3">
        <v>1069</v>
      </c>
      <c r="E519" s="3"/>
      <c r="F519" s="3">
        <v>604</v>
      </c>
      <c r="G519" s="3"/>
      <c r="H519" s="4"/>
      <c r="L519" s="1" t="s">
        <v>233</v>
      </c>
      <c r="M519" s="29" t="s">
        <v>188</v>
      </c>
      <c r="N519" s="228" t="s">
        <v>256</v>
      </c>
    </row>
    <row r="520" spans="1:14" ht="15" customHeight="1" x14ac:dyDescent="0.25">
      <c r="B520" s="57" t="s">
        <v>25</v>
      </c>
      <c r="C520" s="52"/>
      <c r="D520" s="132">
        <v>1</v>
      </c>
      <c r="E520" s="132"/>
      <c r="F520" s="132">
        <v>1</v>
      </c>
      <c r="G520" s="132"/>
      <c r="H520" s="133"/>
      <c r="L520" s="1" t="s">
        <v>233</v>
      </c>
      <c r="M520" s="29" t="s">
        <v>188</v>
      </c>
      <c r="N520" s="228" t="s">
        <v>25</v>
      </c>
    </row>
    <row r="521" spans="1:14" ht="15" customHeight="1" x14ac:dyDescent="0.25">
      <c r="B521" s="57" t="s">
        <v>20</v>
      </c>
      <c r="C521" s="52"/>
      <c r="D521" s="42">
        <v>1</v>
      </c>
      <c r="E521" s="42"/>
      <c r="F521" s="42">
        <v>1</v>
      </c>
      <c r="G521" s="42"/>
      <c r="H521" s="43"/>
      <c r="L521" s="1" t="s">
        <v>233</v>
      </c>
      <c r="M521" s="29" t="s">
        <v>188</v>
      </c>
      <c r="N521" s="228" t="s">
        <v>20</v>
      </c>
    </row>
    <row r="522" spans="1:14" ht="15" customHeight="1" x14ac:dyDescent="0.25">
      <c r="B522" s="54" t="s">
        <v>22</v>
      </c>
      <c r="C522" s="55"/>
      <c r="D522" s="131">
        <f xml:space="preserve"> D519 * D520 * D521</f>
        <v>1069</v>
      </c>
      <c r="E522" s="131">
        <f xml:space="preserve"> E519 * E520 * E521</f>
        <v>0</v>
      </c>
      <c r="F522" s="131">
        <f xml:space="preserve"> ROUNDDOWN(F519 * F520 * F521,0)</f>
        <v>604</v>
      </c>
      <c r="G522" s="131">
        <f xml:space="preserve"> ROUNDDOWN(G519 * G520 * G521,0)</f>
        <v>0</v>
      </c>
      <c r="H522" s="131">
        <f xml:space="preserve"> ROUNDDOWN(H519 * H520 * H521,0)</f>
        <v>0</v>
      </c>
      <c r="L522" s="1" t="s">
        <v>233</v>
      </c>
      <c r="M522" s="29" t="s">
        <v>188</v>
      </c>
      <c r="N522" s="228" t="s">
        <v>22</v>
      </c>
    </row>
    <row r="523" spans="1:14" ht="15" customHeight="1" x14ac:dyDescent="0.25">
      <c r="B523" s="22"/>
      <c r="C523" s="29"/>
      <c r="D523" s="36"/>
      <c r="E523" s="36"/>
      <c r="F523" s="36"/>
      <c r="G523" s="167"/>
      <c r="H523" s="36"/>
      <c r="L523" s="1" t="s">
        <v>233</v>
      </c>
      <c r="M523" s="29" t="s">
        <v>188</v>
      </c>
    </row>
    <row r="524" spans="1:14" ht="18.75" customHeight="1" x14ac:dyDescent="0.3">
      <c r="A524" s="39" t="s">
        <v>119</v>
      </c>
      <c r="C524" s="29"/>
      <c r="D524" s="2">
        <f>D518</f>
        <v>2017</v>
      </c>
      <c r="E524" s="2">
        <f>D524+1</f>
        <v>2018</v>
      </c>
      <c r="F524" s="2">
        <f>E524+1</f>
        <v>2019</v>
      </c>
      <c r="G524" s="2">
        <f>F524+1</f>
        <v>2020</v>
      </c>
      <c r="H524" s="2">
        <f>G524+1</f>
        <v>2021</v>
      </c>
      <c r="L524" s="1" t="s">
        <v>233</v>
      </c>
      <c r="M524" s="29" t="s">
        <v>188</v>
      </c>
      <c r="N524" s="228" t="s">
        <v>119</v>
      </c>
    </row>
    <row r="525" spans="1:14" x14ac:dyDescent="0.25">
      <c r="B525" s="57" t="s">
        <v>10</v>
      </c>
      <c r="C525" s="52"/>
      <c r="D525" s="10">
        <f ca="1">IF(VLOOKUP($C516,Facilities,5,FALSE)="Eligible", D522*ApprenticeshipBonus, 0 )</f>
        <v>0</v>
      </c>
      <c r="E525" s="109">
        <f ca="1">IF(VLOOKUP($C516,Facilities,5,FALSE)="Eligible", E522*ApprenticeshipBonus, 0 )</f>
        <v>0</v>
      </c>
      <c r="F525" s="109">
        <f ca="1">IF(VLOOKUP($C516,Facilities,5,FALSE)="Eligible", F522*ApprenticeshipBonus, 0 )</f>
        <v>0</v>
      </c>
      <c r="G525" s="109">
        <f ca="1">IF(VLOOKUP($C516,Facilities,5,FALSE)="Eligible", G522*ApprenticeshipBonus, 0 )</f>
        <v>0</v>
      </c>
      <c r="H525" s="11">
        <f ca="1">IF(VLOOKUP($C516,Facilities,5,FALSE)="Eligible", H522*ApprenticeshipBonus, 0 )</f>
        <v>0</v>
      </c>
      <c r="L525" s="1" t="s">
        <v>233</v>
      </c>
      <c r="M525" s="29" t="s">
        <v>188</v>
      </c>
      <c r="N525" s="228" t="s">
        <v>10</v>
      </c>
    </row>
    <row r="526" spans="1:14" ht="15" customHeight="1" x14ac:dyDescent="0.25">
      <c r="B526" s="57" t="s">
        <v>6</v>
      </c>
      <c r="C526" s="52"/>
      <c r="D526" s="44">
        <f ca="1">IF(VLOOKUP($C516,Facilities,6,FALSE)="Eligible", D522, 0 )</f>
        <v>0</v>
      </c>
      <c r="E526" s="110">
        <f ca="1">IF(VLOOKUP($C516,Facilities,6,FALSE)="Eligible", E522, 0 )</f>
        <v>0</v>
      </c>
      <c r="F526" s="110">
        <f ca="1">IF(VLOOKUP($C516,Facilities,6,FALSE)="Eligible", F522, 0 )</f>
        <v>0</v>
      </c>
      <c r="G526" s="110">
        <f ca="1">IF(VLOOKUP($C516,Facilities,6,FALSE)="Eligible", G522, 0 )</f>
        <v>0</v>
      </c>
      <c r="H526" s="45">
        <f ca="1">IF(VLOOKUP($C516,Facilities,6,FALSE)="Eligible", H522, 0 )</f>
        <v>0</v>
      </c>
      <c r="L526" s="1" t="s">
        <v>233</v>
      </c>
      <c r="M526" s="29" t="s">
        <v>188</v>
      </c>
      <c r="N526" s="228" t="s">
        <v>6</v>
      </c>
    </row>
    <row r="527" spans="1:14" ht="15" customHeight="1" x14ac:dyDescent="0.25">
      <c r="B527" s="56" t="s">
        <v>121</v>
      </c>
      <c r="C527" s="55"/>
      <c r="D527" s="37">
        <f ca="1">SUM(D525:D526)</f>
        <v>0</v>
      </c>
      <c r="E527" s="37">
        <f ca="1">SUM(E525:E526)</f>
        <v>0</v>
      </c>
      <c r="F527" s="37">
        <f ca="1">SUM(F525:F526)</f>
        <v>0</v>
      </c>
      <c r="G527" s="37">
        <f ca="1">SUM(G525:G526)</f>
        <v>0</v>
      </c>
      <c r="H527" s="37">
        <f ca="1">SUM(H525:H526)</f>
        <v>0</v>
      </c>
      <c r="L527" s="1" t="s">
        <v>233</v>
      </c>
      <c r="M527" s="29" t="s">
        <v>188</v>
      </c>
      <c r="N527" s="228" t="s">
        <v>121</v>
      </c>
    </row>
    <row r="528" spans="1:14" ht="15" customHeight="1" x14ac:dyDescent="0.25">
      <c r="B528" s="29"/>
      <c r="C528" s="29"/>
      <c r="D528" s="30"/>
      <c r="E528" s="30"/>
      <c r="F528" s="30"/>
      <c r="G528" s="169"/>
      <c r="H528" s="30"/>
      <c r="L528" s="1" t="s">
        <v>233</v>
      </c>
      <c r="M528" s="29" t="s">
        <v>188</v>
      </c>
    </row>
    <row r="529" spans="1:14" ht="18.75" customHeight="1" x14ac:dyDescent="0.3">
      <c r="A529" s="38" t="s">
        <v>30</v>
      </c>
      <c r="C529" s="29"/>
      <c r="D529" s="2">
        <f>D518</f>
        <v>2017</v>
      </c>
      <c r="E529" s="2">
        <f>D529+1</f>
        <v>2018</v>
      </c>
      <c r="F529" s="2">
        <f>E529+1</f>
        <v>2019</v>
      </c>
      <c r="G529" s="2">
        <f>F529+1</f>
        <v>2020</v>
      </c>
      <c r="H529" s="2">
        <f>G529+1</f>
        <v>2021</v>
      </c>
      <c r="L529" s="1" t="s">
        <v>233</v>
      </c>
      <c r="M529" s="29" t="s">
        <v>188</v>
      </c>
      <c r="N529" s="228" t="s">
        <v>30</v>
      </c>
    </row>
    <row r="530" spans="1:14" ht="15" customHeight="1" x14ac:dyDescent="0.25">
      <c r="B530" s="57" t="s">
        <v>47</v>
      </c>
      <c r="C530" s="52"/>
      <c r="D530" s="3">
        <v>0</v>
      </c>
      <c r="E530" s="3">
        <v>0</v>
      </c>
      <c r="F530" s="3">
        <v>0</v>
      </c>
      <c r="G530" s="3">
        <v>0</v>
      </c>
      <c r="H530" s="4">
        <v>0</v>
      </c>
      <c r="L530" s="1" t="s">
        <v>233</v>
      </c>
      <c r="M530" s="29" t="s">
        <v>188</v>
      </c>
      <c r="N530" s="228" t="s">
        <v>47</v>
      </c>
    </row>
    <row r="531" spans="1:14" ht="15" customHeight="1" x14ac:dyDescent="0.25">
      <c r="B531" s="58" t="s">
        <v>23</v>
      </c>
      <c r="C531" s="59"/>
      <c r="D531" s="137">
        <v>0</v>
      </c>
      <c r="E531" s="137">
        <v>0</v>
      </c>
      <c r="F531" s="137">
        <v>0</v>
      </c>
      <c r="G531" s="137">
        <v>0</v>
      </c>
      <c r="H531" s="138">
        <v>0</v>
      </c>
      <c r="L531" s="1" t="s">
        <v>233</v>
      </c>
      <c r="M531" s="29" t="s">
        <v>188</v>
      </c>
      <c r="N531" s="228" t="s">
        <v>23</v>
      </c>
    </row>
    <row r="532" spans="1:14" ht="15" customHeight="1" x14ac:dyDescent="0.25">
      <c r="B532" s="68" t="s">
        <v>89</v>
      </c>
      <c r="C532" s="67"/>
      <c r="D532" s="191">
        <v>0</v>
      </c>
      <c r="E532" s="139">
        <v>0</v>
      </c>
      <c r="F532" s="139">
        <v>0</v>
      </c>
      <c r="G532" s="139">
        <v>0</v>
      </c>
      <c r="H532" s="140">
        <v>0</v>
      </c>
      <c r="L532" s="1" t="s">
        <v>233</v>
      </c>
      <c r="M532" s="29" t="s">
        <v>188</v>
      </c>
      <c r="N532" s="228" t="s">
        <v>89</v>
      </c>
    </row>
    <row r="533" spans="1:14" ht="15" customHeight="1" x14ac:dyDescent="0.25">
      <c r="B533" s="32" t="s">
        <v>90</v>
      </c>
      <c r="D533" s="6">
        <f>SUM(D530:D532)</f>
        <v>0</v>
      </c>
      <c r="E533" s="6">
        <f>SUM(E530:E532)</f>
        <v>0</v>
      </c>
      <c r="F533" s="6">
        <f>SUM(F530:F532)</f>
        <v>0</v>
      </c>
      <c r="G533" s="6">
        <f>SUM(G530:G532)</f>
        <v>0</v>
      </c>
      <c r="H533" s="6">
        <f>SUM(H530:H532)</f>
        <v>0</v>
      </c>
      <c r="L533" s="1" t="s">
        <v>233</v>
      </c>
      <c r="M533" s="29" t="s">
        <v>188</v>
      </c>
      <c r="N533" s="228" t="s">
        <v>90</v>
      </c>
    </row>
    <row r="534" spans="1:14" ht="15" customHeight="1" x14ac:dyDescent="0.25">
      <c r="B534" s="5"/>
      <c r="D534" s="6"/>
      <c r="E534" s="6"/>
      <c r="F534" s="6"/>
      <c r="G534" s="167"/>
      <c r="H534" s="6"/>
      <c r="L534" s="1" t="s">
        <v>233</v>
      </c>
      <c r="M534" s="29" t="s">
        <v>188</v>
      </c>
    </row>
    <row r="535" spans="1:14" ht="18.75" customHeight="1" x14ac:dyDescent="0.3">
      <c r="A535" s="8" t="s">
        <v>100</v>
      </c>
      <c r="D535" s="2">
        <f>D518</f>
        <v>2017</v>
      </c>
      <c r="E535" s="2">
        <f>D535+1</f>
        <v>2018</v>
      </c>
      <c r="F535" s="2">
        <f>E535+1</f>
        <v>2019</v>
      </c>
      <c r="G535" s="2">
        <f>F535+1</f>
        <v>2020</v>
      </c>
      <c r="H535" s="2">
        <f>G535+1</f>
        <v>2021</v>
      </c>
      <c r="L535" s="1" t="s">
        <v>233</v>
      </c>
      <c r="M535" s="29" t="s">
        <v>188</v>
      </c>
      <c r="N535" s="228" t="s">
        <v>100</v>
      </c>
    </row>
    <row r="536" spans="1:14" ht="15" customHeight="1" x14ac:dyDescent="0.25">
      <c r="B536" s="57" t="str">
        <f>(StartYear-1) &amp; " Surplus Applied to " &amp; StartYear</f>
        <v>2016 Surplus Applied to 2017</v>
      </c>
      <c r="C536" s="29"/>
      <c r="D536" s="186">
        <v>0</v>
      </c>
      <c r="E536" s="187"/>
      <c r="F536" s="187"/>
      <c r="G536" s="187"/>
      <c r="H536" s="188"/>
      <c r="L536" s="1" t="s">
        <v>233</v>
      </c>
      <c r="M536" s="29" t="s">
        <v>188</v>
      </c>
      <c r="N536" s="228" t="s">
        <v>235</v>
      </c>
    </row>
    <row r="537" spans="1:14" ht="15" customHeight="1" x14ac:dyDescent="0.25">
      <c r="B537" s="57" t="str">
        <f>StartYear &amp; " Surplus Applied to " &amp; (StartYear-1)</f>
        <v>2017 Surplus Applied to 2016</v>
      </c>
      <c r="C537" s="29"/>
      <c r="D537" s="189">
        <v>0</v>
      </c>
      <c r="E537" s="113"/>
      <c r="F537" s="113"/>
      <c r="G537" s="113"/>
      <c r="H537" s="117"/>
      <c r="L537" s="1" t="s">
        <v>233</v>
      </c>
      <c r="M537" s="29" t="s">
        <v>188</v>
      </c>
      <c r="N537" s="228" t="s">
        <v>236</v>
      </c>
    </row>
    <row r="538" spans="1:14" ht="15" customHeight="1" x14ac:dyDescent="0.25">
      <c r="B538" s="57" t="str">
        <f>( StartYear) &amp; " Surplus Applied to " &amp; ( StartYear + 1 )</f>
        <v>2017 Surplus Applied to 2018</v>
      </c>
      <c r="C538" s="29"/>
      <c r="D538" s="184">
        <v>0</v>
      </c>
      <c r="E538" s="185">
        <f>D538</f>
        <v>0</v>
      </c>
      <c r="F538" s="181"/>
      <c r="G538" s="181"/>
      <c r="H538" s="182"/>
      <c r="L538" s="1" t="s">
        <v>233</v>
      </c>
      <c r="M538" s="29" t="s">
        <v>188</v>
      </c>
      <c r="N538" s="228" t="s">
        <v>237</v>
      </c>
    </row>
    <row r="539" spans="1:14" ht="15" customHeight="1" x14ac:dyDescent="0.25">
      <c r="B539" s="57" t="str">
        <f xml:space="preserve"> ( StartYear + 1 ) &amp; " Surplus Applied to " &amp; ( StartYear )</f>
        <v>2018 Surplus Applied to 2017</v>
      </c>
      <c r="C539" s="52"/>
      <c r="D539" s="134">
        <v>0</v>
      </c>
      <c r="E539" s="9">
        <v>0</v>
      </c>
      <c r="F539" s="113"/>
      <c r="G539" s="113"/>
      <c r="H539" s="117"/>
      <c r="L539" s="1" t="s">
        <v>233</v>
      </c>
      <c r="M539" s="29" t="s">
        <v>188</v>
      </c>
      <c r="N539" s="228" t="s">
        <v>238</v>
      </c>
    </row>
    <row r="540" spans="1:14" ht="15" customHeight="1" x14ac:dyDescent="0.25">
      <c r="B540" s="119" t="str">
        <f xml:space="preserve"> ( StartYear + 1 ) &amp; " Surplus Applied to " &amp; ( StartYear + 2 )</f>
        <v>2018 Surplus Applied to 2019</v>
      </c>
      <c r="C540" s="52"/>
      <c r="D540" s="114"/>
      <c r="E540" s="9">
        <v>0</v>
      </c>
      <c r="F540" s="51">
        <f>E540</f>
        <v>0</v>
      </c>
      <c r="G540" s="113"/>
      <c r="H540" s="117"/>
      <c r="L540" s="1" t="s">
        <v>233</v>
      </c>
      <c r="M540" s="29" t="s">
        <v>188</v>
      </c>
      <c r="N540" s="228" t="s">
        <v>239</v>
      </c>
    </row>
    <row r="541" spans="1:14" ht="15" customHeight="1" x14ac:dyDescent="0.25">
      <c r="B541" s="119" t="str">
        <f xml:space="preserve"> ( StartYear + 2 ) &amp; " Surplus Applied to " &amp; ( StartYear + 1 )</f>
        <v>2019 Surplus Applied to 2018</v>
      </c>
      <c r="C541" s="52"/>
      <c r="D541" s="114"/>
      <c r="E541" s="51">
        <v>0</v>
      </c>
      <c r="F541" s="9">
        <v>0</v>
      </c>
      <c r="G541" s="113"/>
      <c r="H541" s="117"/>
      <c r="L541" s="1" t="s">
        <v>233</v>
      </c>
      <c r="M541" s="29" t="s">
        <v>188</v>
      </c>
      <c r="N541" s="228" t="s">
        <v>240</v>
      </c>
    </row>
    <row r="542" spans="1:14" ht="15" customHeight="1" x14ac:dyDescent="0.25">
      <c r="B542" s="165" t="str">
        <f xml:space="preserve"> ( StartYear + 2 ) &amp; " Surplus Applied to " &amp; ( StartYear + 3 )</f>
        <v>2019 Surplus Applied to 2020</v>
      </c>
      <c r="C542" s="29"/>
      <c r="D542" s="114"/>
      <c r="E542" s="113"/>
      <c r="F542" s="9">
        <v>604</v>
      </c>
      <c r="G542" s="51">
        <f>F542</f>
        <v>604</v>
      </c>
      <c r="H542" s="117"/>
      <c r="L542" s="1" t="s">
        <v>233</v>
      </c>
      <c r="M542" s="29" t="s">
        <v>188</v>
      </c>
      <c r="N542" s="228" t="s">
        <v>241</v>
      </c>
    </row>
    <row r="543" spans="1:14" ht="15" customHeight="1" x14ac:dyDescent="0.25">
      <c r="B543" s="165" t="str">
        <f xml:space="preserve"> ( StartYear + 3 ) &amp; " Surplus Applied to " &amp; ( StartYear + 2 )</f>
        <v>2020 Surplus Applied to 2019</v>
      </c>
      <c r="C543" s="29"/>
      <c r="D543" s="114"/>
      <c r="E543" s="113"/>
      <c r="F543" s="51">
        <v>0</v>
      </c>
      <c r="G543" s="9">
        <v>0</v>
      </c>
      <c r="H543" s="117"/>
      <c r="L543" s="1" t="s">
        <v>233</v>
      </c>
      <c r="M543" s="29" t="s">
        <v>188</v>
      </c>
      <c r="N543" s="228" t="s">
        <v>242</v>
      </c>
    </row>
    <row r="544" spans="1:14" ht="15" customHeight="1" x14ac:dyDescent="0.25">
      <c r="B544" s="165" t="str">
        <f xml:space="preserve"> ( StartYear + 3 ) &amp; " Surplus Applied to " &amp; ( StartYear + 4 )</f>
        <v>2020 Surplus Applied to 2021</v>
      </c>
      <c r="C544" s="29"/>
      <c r="D544" s="114"/>
      <c r="E544" s="113"/>
      <c r="F544" s="113"/>
      <c r="G544" s="9">
        <f ca="1">G522+G527-G533</f>
        <v>0</v>
      </c>
      <c r="H544" s="46">
        <f ca="1">G544</f>
        <v>0</v>
      </c>
      <c r="L544" s="1" t="s">
        <v>233</v>
      </c>
      <c r="M544" s="29" t="s">
        <v>188</v>
      </c>
      <c r="N544" s="228" t="s">
        <v>243</v>
      </c>
    </row>
    <row r="545" spans="1:14" ht="15" customHeight="1" x14ac:dyDescent="0.25">
      <c r="B545" s="165" t="str">
        <f xml:space="preserve"> ( StartYear + 4 ) &amp; " Surplus Applied to " &amp; ( StartYear + 3 )</f>
        <v>2021 Surplus Applied to 2020</v>
      </c>
      <c r="C545" s="29"/>
      <c r="D545" s="115"/>
      <c r="E545" s="116"/>
      <c r="F545" s="116"/>
      <c r="G545" s="47">
        <v>0</v>
      </c>
      <c r="H545" s="41">
        <v>0</v>
      </c>
      <c r="L545" s="1" t="s">
        <v>233</v>
      </c>
      <c r="M545" s="29" t="s">
        <v>188</v>
      </c>
      <c r="N545" s="228" t="s">
        <v>244</v>
      </c>
    </row>
    <row r="546" spans="1:14" ht="15" customHeight="1" x14ac:dyDescent="0.25">
      <c r="B546" s="32" t="s">
        <v>17</v>
      </c>
      <c r="D546" s="6">
        <f>D536-D537+D539-D538</f>
        <v>0</v>
      </c>
      <c r="E546" s="6">
        <f>E538+E541-E539-E540</f>
        <v>0</v>
      </c>
      <c r="F546" s="6">
        <f>F540+F543-F541-F542</f>
        <v>-604</v>
      </c>
      <c r="G546" s="6">
        <f ca="1">G542+G545-G543-G544</f>
        <v>604</v>
      </c>
      <c r="H546" s="6">
        <f ca="1">H544 - H545</f>
        <v>0</v>
      </c>
      <c r="L546" s="1" t="s">
        <v>233</v>
      </c>
      <c r="M546" s="29" t="s">
        <v>188</v>
      </c>
      <c r="N546" s="228" t="s">
        <v>17</v>
      </c>
    </row>
    <row r="547" spans="1:14" ht="15" customHeight="1" x14ac:dyDescent="0.25">
      <c r="B547" s="5"/>
      <c r="D547" s="6"/>
      <c r="E547" s="6"/>
      <c r="F547" s="6"/>
      <c r="G547" s="6"/>
      <c r="H547" s="6"/>
      <c r="L547" s="1" t="s">
        <v>233</v>
      </c>
      <c r="M547" s="29" t="s">
        <v>188</v>
      </c>
    </row>
    <row r="548" spans="1:14" ht="15" customHeight="1" x14ac:dyDescent="0.25">
      <c r="B548" s="54" t="s">
        <v>12</v>
      </c>
      <c r="C548" s="52"/>
      <c r="D548" s="75">
        <v>0</v>
      </c>
      <c r="E548" s="111">
        <v>0</v>
      </c>
      <c r="F548" s="111">
        <v>0</v>
      </c>
      <c r="G548" s="111">
        <v>0</v>
      </c>
      <c r="H548" s="76">
        <v>0</v>
      </c>
      <c r="L548" s="1" t="s">
        <v>233</v>
      </c>
      <c r="M548" s="29" t="s">
        <v>188</v>
      </c>
      <c r="N548" s="228" t="s">
        <v>12</v>
      </c>
    </row>
    <row r="549" spans="1:14" ht="15" customHeight="1" x14ac:dyDescent="0.25">
      <c r="B549" s="5"/>
      <c r="D549" s="6"/>
      <c r="E549" s="6"/>
      <c r="F549" s="6"/>
      <c r="G549" s="6"/>
      <c r="H549" s="6"/>
      <c r="L549" s="1" t="s">
        <v>233</v>
      </c>
      <c r="M549" s="29" t="s">
        <v>188</v>
      </c>
    </row>
    <row r="550" spans="1:14" ht="18.75" customHeight="1" x14ac:dyDescent="0.3">
      <c r="A550" s="38" t="s">
        <v>26</v>
      </c>
      <c r="C550" s="52">
        <f>A516</f>
        <v>13</v>
      </c>
      <c r="D550" s="112">
        <f ca="1" xml:space="preserve"> D522 + D527 - D533 + D546 + D548</f>
        <v>1069</v>
      </c>
      <c r="E550" s="112">
        <f ca="1" xml:space="preserve"> E522 + E527 - E533 + E546 + E548</f>
        <v>0</v>
      </c>
      <c r="F550" s="112">
        <f ca="1" xml:space="preserve"> F522 + F527 - F533 + F546 + F548</f>
        <v>0</v>
      </c>
      <c r="G550" s="112">
        <f ca="1" xml:space="preserve"> G522 + G527 - G533 + G546 + G548</f>
        <v>604</v>
      </c>
      <c r="H550" s="174">
        <f ca="1" xml:space="preserve"> H522 + H527 - H533 + H546 + H548</f>
        <v>0</v>
      </c>
      <c r="L550" s="1" t="s">
        <v>233</v>
      </c>
      <c r="M550" s="29" t="s">
        <v>188</v>
      </c>
      <c r="N550" s="228" t="s">
        <v>26</v>
      </c>
    </row>
    <row r="551" spans="1:14" ht="15" customHeight="1" x14ac:dyDescent="0.25">
      <c r="C551" s="108" t="s">
        <v>158</v>
      </c>
      <c r="D551" s="6">
        <v>1069</v>
      </c>
      <c r="E551" s="28"/>
      <c r="F551" s="28"/>
      <c r="G551" s="28"/>
      <c r="H551" s="28"/>
      <c r="I551" s="23"/>
      <c r="L551" s="1" t="s">
        <v>233</v>
      </c>
      <c r="M551" s="29" t="s">
        <v>188</v>
      </c>
      <c r="N551" s="228" t="s">
        <v>158</v>
      </c>
    </row>
    <row r="552" spans="1:14" ht="15.75" customHeight="1" thickBot="1" x14ac:dyDescent="0.3">
      <c r="I552" s="23"/>
      <c r="L552" s="1" t="s">
        <v>233</v>
      </c>
      <c r="M552" s="29" t="s">
        <v>188</v>
      </c>
    </row>
    <row r="553" spans="1:14" ht="15" customHeight="1" x14ac:dyDescent="0.25">
      <c r="A553" s="7"/>
      <c r="B553" s="7"/>
      <c r="C553" s="7"/>
      <c r="D553" s="170"/>
      <c r="E553" s="7"/>
      <c r="F553" s="7"/>
      <c r="G553" s="7"/>
      <c r="H553" s="7"/>
      <c r="I553" s="23"/>
      <c r="L553" s="1" t="s">
        <v>233</v>
      </c>
      <c r="M553" s="29" t="s">
        <v>188</v>
      </c>
    </row>
    <row r="554" spans="1:14" ht="21" customHeight="1" x14ac:dyDescent="0.35">
      <c r="A554" s="12">
        <f>MAX(A$1:A553)+1</f>
        <v>14</v>
      </c>
      <c r="B554" s="12"/>
      <c r="C554" s="214" t="str">
        <f ca="1">OFFSET($B$4,A554-1,0)</f>
        <v>Cosmo Specialty Fibers - Cos1</v>
      </c>
      <c r="D554" s="215"/>
      <c r="E554" s="216"/>
      <c r="F554" s="216"/>
      <c r="G554" s="217"/>
      <c r="H554" s="218"/>
      <c r="L554" s="1" t="s">
        <v>233</v>
      </c>
      <c r="M554" s="29" t="s">
        <v>205</v>
      </c>
      <c r="N554" s="228">
        <v>16</v>
      </c>
    </row>
    <row r="555" spans="1:14" ht="15" customHeight="1" x14ac:dyDescent="0.25">
      <c r="C555" s="1" t="str">
        <f ca="1">VLOOKUP(C554,Facilities,3,FALSE)</f>
        <v>REC only</v>
      </c>
      <c r="D555" s="1"/>
      <c r="L555" s="1" t="s">
        <v>233</v>
      </c>
      <c r="M555" s="29" t="s">
        <v>205</v>
      </c>
      <c r="N555" s="228" t="s">
        <v>181</v>
      </c>
    </row>
    <row r="556" spans="1:14" ht="18.75" customHeight="1" x14ac:dyDescent="0.3">
      <c r="A556" s="8" t="s">
        <v>21</v>
      </c>
      <c r="B556" s="8"/>
      <c r="D556" s="2">
        <f>D366</f>
        <v>2017</v>
      </c>
      <c r="E556" s="2">
        <f>D556+1</f>
        <v>2018</v>
      </c>
      <c r="F556" s="2">
        <f>E556+1</f>
        <v>2019</v>
      </c>
      <c r="G556" s="2">
        <f>F556+1</f>
        <v>2020</v>
      </c>
      <c r="H556" s="2">
        <f>G556+1</f>
        <v>2021</v>
      </c>
      <c r="L556" s="1" t="s">
        <v>233</v>
      </c>
      <c r="M556" s="29" t="s">
        <v>205</v>
      </c>
      <c r="N556" s="228" t="s">
        <v>21</v>
      </c>
    </row>
    <row r="557" spans="1:14" ht="15" customHeight="1" x14ac:dyDescent="0.25">
      <c r="B557" s="119" t="str">
        <f ca="1">IF(C593&lt;&gt;"REC only","Total MWh ","")&amp;IF(C555="PSE owned","Produced","Purchased")&amp;" from "&amp;C554</f>
        <v>Purchased from Cosmo Specialty Fibers - Cos1</v>
      </c>
      <c r="C557" s="52"/>
      <c r="D557" s="3"/>
      <c r="E557" s="3"/>
      <c r="F557" s="3">
        <v>25871</v>
      </c>
      <c r="G557" s="3"/>
      <c r="H557" s="4"/>
      <c r="L557" s="1" t="s">
        <v>233</v>
      </c>
      <c r="M557" s="29" t="s">
        <v>205</v>
      </c>
      <c r="N557" s="228" t="s">
        <v>257</v>
      </c>
    </row>
    <row r="558" spans="1:14" ht="15" customHeight="1" x14ac:dyDescent="0.25">
      <c r="B558" s="57" t="s">
        <v>25</v>
      </c>
      <c r="C558" s="52"/>
      <c r="D558" s="132"/>
      <c r="E558" s="132"/>
      <c r="F558" s="132">
        <v>1</v>
      </c>
      <c r="G558" s="132"/>
      <c r="H558" s="133"/>
      <c r="L558" s="1" t="s">
        <v>233</v>
      </c>
      <c r="M558" s="29" t="s">
        <v>205</v>
      </c>
      <c r="N558" s="228" t="s">
        <v>25</v>
      </c>
    </row>
    <row r="559" spans="1:14" ht="15" customHeight="1" x14ac:dyDescent="0.25">
      <c r="B559" s="57" t="s">
        <v>20</v>
      </c>
      <c r="C559" s="52"/>
      <c r="D559" s="42"/>
      <c r="E559" s="42"/>
      <c r="F559" s="42">
        <v>1</v>
      </c>
      <c r="G559" s="42"/>
      <c r="H559" s="43"/>
      <c r="L559" s="1" t="s">
        <v>233</v>
      </c>
      <c r="M559" s="29" t="s">
        <v>205</v>
      </c>
      <c r="N559" s="228" t="s">
        <v>20</v>
      </c>
    </row>
    <row r="560" spans="1:14" ht="15" customHeight="1" x14ac:dyDescent="0.25">
      <c r="B560" s="54" t="s">
        <v>22</v>
      </c>
      <c r="C560" s="55"/>
      <c r="D560" s="131">
        <f xml:space="preserve"> D557 * D558 * D559</f>
        <v>0</v>
      </c>
      <c r="E560" s="131">
        <f xml:space="preserve"> E557 * E558 * E559</f>
        <v>0</v>
      </c>
      <c r="F560" s="131">
        <f xml:space="preserve"> ROUNDDOWN(F557 * F558 * F559,0)</f>
        <v>25871</v>
      </c>
      <c r="G560" s="131">
        <f xml:space="preserve"> ROUNDDOWN(G557 * G558 * G559,0)</f>
        <v>0</v>
      </c>
      <c r="H560" s="131">
        <f xml:space="preserve"> ROUNDDOWN(H557 * H558 * H559,0)</f>
        <v>0</v>
      </c>
      <c r="L560" s="1" t="s">
        <v>233</v>
      </c>
      <c r="M560" s="29" t="s">
        <v>205</v>
      </c>
      <c r="N560" s="228" t="s">
        <v>22</v>
      </c>
    </row>
    <row r="561" spans="1:14" ht="15" customHeight="1" x14ac:dyDescent="0.25">
      <c r="B561" s="22"/>
      <c r="C561" s="29"/>
      <c r="D561" s="36"/>
      <c r="E561" s="36"/>
      <c r="F561" s="36"/>
      <c r="G561" s="167"/>
      <c r="H561" s="36"/>
      <c r="L561" s="1" t="s">
        <v>233</v>
      </c>
      <c r="M561" s="29" t="s">
        <v>205</v>
      </c>
    </row>
    <row r="562" spans="1:14" ht="18.75" customHeight="1" x14ac:dyDescent="0.3">
      <c r="A562" s="39" t="s">
        <v>119</v>
      </c>
      <c r="C562" s="29"/>
      <c r="D562" s="2">
        <f>D556</f>
        <v>2017</v>
      </c>
      <c r="E562" s="2">
        <f>D562+1</f>
        <v>2018</v>
      </c>
      <c r="F562" s="2">
        <f>E562+1</f>
        <v>2019</v>
      </c>
      <c r="G562" s="2">
        <f>F562+1</f>
        <v>2020</v>
      </c>
      <c r="H562" s="2">
        <f>G562+1</f>
        <v>2021</v>
      </c>
      <c r="L562" s="1" t="s">
        <v>233</v>
      </c>
      <c r="M562" s="29" t="s">
        <v>205</v>
      </c>
      <c r="N562" s="228" t="s">
        <v>119</v>
      </c>
    </row>
    <row r="563" spans="1:14" x14ac:dyDescent="0.25">
      <c r="B563" s="57" t="s">
        <v>10</v>
      </c>
      <c r="C563" s="52"/>
      <c r="D563" s="10">
        <f ca="1">IF(VLOOKUP($C554,Facilities,5,FALSE)="Eligible", D560*ApprenticeshipBonus, 0 )</f>
        <v>0</v>
      </c>
      <c r="E563" s="109">
        <f ca="1">IF(VLOOKUP($C554,Facilities,5,FALSE)="Eligible", E560*ApprenticeshipBonus, 0 )</f>
        <v>0</v>
      </c>
      <c r="F563" s="109">
        <f ca="1">IF(VLOOKUP($C554,Facilities,5,FALSE)="Eligible", F560*ApprenticeshipBonus, 0 )</f>
        <v>0</v>
      </c>
      <c r="G563" s="109">
        <f ca="1">IF(VLOOKUP($C554,Facilities,5,FALSE)="Eligible", G560*ApprenticeshipBonus, 0 )</f>
        <v>0</v>
      </c>
      <c r="H563" s="11">
        <f ca="1">IF(VLOOKUP($C554,Facilities,5,FALSE)="Eligible", H560*ApprenticeshipBonus, 0 )</f>
        <v>0</v>
      </c>
      <c r="L563" s="1" t="s">
        <v>233</v>
      </c>
      <c r="M563" s="29" t="s">
        <v>205</v>
      </c>
      <c r="N563" s="228" t="s">
        <v>10</v>
      </c>
    </row>
    <row r="564" spans="1:14" ht="15" customHeight="1" x14ac:dyDescent="0.25">
      <c r="B564" s="57" t="s">
        <v>6</v>
      </c>
      <c r="C564" s="52"/>
      <c r="D564" s="44">
        <f ca="1">IF(VLOOKUP($C554,Facilities,6,FALSE)="Eligible", D560, 0 )</f>
        <v>0</v>
      </c>
      <c r="E564" s="110">
        <f ca="1">IF(VLOOKUP($C554,Facilities,6,FALSE)="Eligible", E560, 0 )</f>
        <v>0</v>
      </c>
      <c r="F564" s="110">
        <f ca="1">IF(VLOOKUP($C554,Facilities,6,FALSE)="Eligible", F560, 0 )</f>
        <v>0</v>
      </c>
      <c r="G564" s="110">
        <f ca="1">IF(VLOOKUP($C554,Facilities,6,FALSE)="Eligible", G560, 0 )</f>
        <v>0</v>
      </c>
      <c r="H564" s="45">
        <f ca="1">IF(VLOOKUP($C554,Facilities,6,FALSE)="Eligible", H560, 0 )</f>
        <v>0</v>
      </c>
      <c r="L564" s="1" t="s">
        <v>233</v>
      </c>
      <c r="M564" s="29" t="s">
        <v>205</v>
      </c>
      <c r="N564" s="228" t="s">
        <v>6</v>
      </c>
    </row>
    <row r="565" spans="1:14" ht="15" customHeight="1" x14ac:dyDescent="0.25">
      <c r="B565" s="56" t="s">
        <v>121</v>
      </c>
      <c r="C565" s="55"/>
      <c r="D565" s="37">
        <f ca="1">SUM(D563:D564)</f>
        <v>0</v>
      </c>
      <c r="E565" s="37">
        <f ca="1">SUM(E563:E564)</f>
        <v>0</v>
      </c>
      <c r="F565" s="37">
        <f ca="1">SUM(F563:F564)</f>
        <v>0</v>
      </c>
      <c r="G565" s="37">
        <f ca="1">SUM(G563:G564)</f>
        <v>0</v>
      </c>
      <c r="H565" s="37">
        <f ca="1">SUM(H563:H564)</f>
        <v>0</v>
      </c>
      <c r="L565" s="1" t="s">
        <v>233</v>
      </c>
      <c r="M565" s="29" t="s">
        <v>205</v>
      </c>
      <c r="N565" s="228" t="s">
        <v>121</v>
      </c>
    </row>
    <row r="566" spans="1:14" ht="15" customHeight="1" x14ac:dyDescent="0.25">
      <c r="B566" s="29"/>
      <c r="C566" s="29"/>
      <c r="D566" s="30"/>
      <c r="E566" s="30"/>
      <c r="F566" s="30"/>
      <c r="G566" s="169"/>
      <c r="H566" s="30"/>
      <c r="L566" s="1" t="s">
        <v>233</v>
      </c>
      <c r="M566" s="29" t="s">
        <v>205</v>
      </c>
    </row>
    <row r="567" spans="1:14" ht="18.75" customHeight="1" x14ac:dyDescent="0.3">
      <c r="A567" s="38" t="s">
        <v>30</v>
      </c>
      <c r="C567" s="29"/>
      <c r="D567" s="2">
        <f>D556</f>
        <v>2017</v>
      </c>
      <c r="E567" s="2">
        <f>D567+1</f>
        <v>2018</v>
      </c>
      <c r="F567" s="2">
        <f>E567+1</f>
        <v>2019</v>
      </c>
      <c r="G567" s="2">
        <f>F567+1</f>
        <v>2020</v>
      </c>
      <c r="H567" s="2">
        <f>G567+1</f>
        <v>2021</v>
      </c>
      <c r="L567" s="1" t="s">
        <v>233</v>
      </c>
      <c r="M567" s="29" t="s">
        <v>205</v>
      </c>
      <c r="N567" s="228" t="s">
        <v>30</v>
      </c>
    </row>
    <row r="568" spans="1:14" ht="15" customHeight="1" x14ac:dyDescent="0.25">
      <c r="B568" s="57" t="s">
        <v>47</v>
      </c>
      <c r="C568" s="52"/>
      <c r="D568" s="3">
        <v>0</v>
      </c>
      <c r="E568" s="3">
        <v>0</v>
      </c>
      <c r="F568" s="3">
        <v>0</v>
      </c>
      <c r="G568" s="3">
        <v>0</v>
      </c>
      <c r="H568" s="4">
        <v>0</v>
      </c>
      <c r="L568" s="1" t="s">
        <v>233</v>
      </c>
      <c r="M568" s="29" t="s">
        <v>205</v>
      </c>
      <c r="N568" s="228" t="s">
        <v>47</v>
      </c>
    </row>
    <row r="569" spans="1:14" ht="15" customHeight="1" x14ac:dyDescent="0.25">
      <c r="B569" s="58" t="s">
        <v>23</v>
      </c>
      <c r="C569" s="59"/>
      <c r="D569" s="137">
        <v>0</v>
      </c>
      <c r="E569" s="137">
        <v>0</v>
      </c>
      <c r="F569" s="137">
        <v>0</v>
      </c>
      <c r="G569" s="137">
        <v>0</v>
      </c>
      <c r="H569" s="138">
        <v>0</v>
      </c>
      <c r="L569" s="1" t="s">
        <v>233</v>
      </c>
      <c r="M569" s="29" t="s">
        <v>205</v>
      </c>
      <c r="N569" s="228" t="s">
        <v>23</v>
      </c>
    </row>
    <row r="570" spans="1:14" ht="15" customHeight="1" x14ac:dyDescent="0.25">
      <c r="B570" s="68" t="s">
        <v>89</v>
      </c>
      <c r="C570" s="67"/>
      <c r="D570" s="191">
        <v>0</v>
      </c>
      <c r="E570" s="139">
        <v>0</v>
      </c>
      <c r="F570" s="139">
        <v>0</v>
      </c>
      <c r="G570" s="139">
        <v>0</v>
      </c>
      <c r="H570" s="140">
        <v>0</v>
      </c>
      <c r="L570" s="1" t="s">
        <v>233</v>
      </c>
      <c r="M570" s="29" t="s">
        <v>205</v>
      </c>
      <c r="N570" s="228" t="s">
        <v>89</v>
      </c>
    </row>
    <row r="571" spans="1:14" ht="15" customHeight="1" x14ac:dyDescent="0.25">
      <c r="B571" s="32" t="s">
        <v>90</v>
      </c>
      <c r="D571" s="6">
        <f>SUM(D568:D570)</f>
        <v>0</v>
      </c>
      <c r="E571" s="6">
        <f>SUM(E568:E570)</f>
        <v>0</v>
      </c>
      <c r="F571" s="6">
        <f>SUM(F568:F570)</f>
        <v>0</v>
      </c>
      <c r="G571" s="6">
        <f>SUM(G568:G570)</f>
        <v>0</v>
      </c>
      <c r="H571" s="6">
        <f>SUM(H568:H570)</f>
        <v>0</v>
      </c>
      <c r="L571" s="1" t="s">
        <v>233</v>
      </c>
      <c r="M571" s="29" t="s">
        <v>205</v>
      </c>
      <c r="N571" s="228" t="s">
        <v>90</v>
      </c>
    </row>
    <row r="572" spans="1:14" ht="15" customHeight="1" x14ac:dyDescent="0.25">
      <c r="B572" s="5"/>
      <c r="D572" s="6"/>
      <c r="E572" s="6"/>
      <c r="F572" s="6"/>
      <c r="G572" s="167"/>
      <c r="H572" s="6"/>
      <c r="L572" s="1" t="s">
        <v>233</v>
      </c>
      <c r="M572" s="29" t="s">
        <v>205</v>
      </c>
    </row>
    <row r="573" spans="1:14" ht="18.75" customHeight="1" x14ac:dyDescent="0.3">
      <c r="A573" s="8" t="s">
        <v>100</v>
      </c>
      <c r="D573" s="2">
        <f>D556</f>
        <v>2017</v>
      </c>
      <c r="E573" s="2">
        <f>D573+1</f>
        <v>2018</v>
      </c>
      <c r="F573" s="2">
        <f>E573+1</f>
        <v>2019</v>
      </c>
      <c r="G573" s="2">
        <f>F573+1</f>
        <v>2020</v>
      </c>
      <c r="H573" s="2">
        <f>G573+1</f>
        <v>2021</v>
      </c>
      <c r="L573" s="1" t="s">
        <v>233</v>
      </c>
      <c r="M573" s="29" t="s">
        <v>205</v>
      </c>
      <c r="N573" s="228" t="s">
        <v>100</v>
      </c>
    </row>
    <row r="574" spans="1:14" ht="15" customHeight="1" x14ac:dyDescent="0.25">
      <c r="B574" s="57" t="str">
        <f>(StartYear-1) &amp; " Surplus Applied to " &amp; StartYear</f>
        <v>2016 Surplus Applied to 2017</v>
      </c>
      <c r="C574" s="29"/>
      <c r="D574" s="186">
        <v>0</v>
      </c>
      <c r="E574" s="187"/>
      <c r="F574" s="187"/>
      <c r="G574" s="187"/>
      <c r="H574" s="188"/>
      <c r="L574" s="1" t="s">
        <v>233</v>
      </c>
      <c r="M574" s="29" t="s">
        <v>205</v>
      </c>
      <c r="N574" s="228" t="s">
        <v>235</v>
      </c>
    </row>
    <row r="575" spans="1:14" ht="15" customHeight="1" x14ac:dyDescent="0.25">
      <c r="B575" s="57" t="str">
        <f>StartYear &amp; " Surplus Applied to " &amp; (StartYear-1)</f>
        <v>2017 Surplus Applied to 2016</v>
      </c>
      <c r="C575" s="29"/>
      <c r="D575" s="189">
        <v>0</v>
      </c>
      <c r="E575" s="113"/>
      <c r="F575" s="113"/>
      <c r="G575" s="113"/>
      <c r="H575" s="117"/>
      <c r="L575" s="1" t="s">
        <v>233</v>
      </c>
      <c r="M575" s="29" t="s">
        <v>205</v>
      </c>
      <c r="N575" s="228" t="s">
        <v>236</v>
      </c>
    </row>
    <row r="576" spans="1:14" ht="15" customHeight="1" x14ac:dyDescent="0.25">
      <c r="B576" s="57" t="str">
        <f>( StartYear) &amp; " Surplus Applied to " &amp; ( StartYear + 1 )</f>
        <v>2017 Surplus Applied to 2018</v>
      </c>
      <c r="C576" s="29"/>
      <c r="D576" s="184">
        <v>0</v>
      </c>
      <c r="E576" s="185">
        <f>D576</f>
        <v>0</v>
      </c>
      <c r="F576" s="181"/>
      <c r="G576" s="181"/>
      <c r="H576" s="182"/>
      <c r="L576" s="1" t="s">
        <v>233</v>
      </c>
      <c r="M576" s="29" t="s">
        <v>205</v>
      </c>
      <c r="N576" s="228" t="s">
        <v>237</v>
      </c>
    </row>
    <row r="577" spans="1:14" ht="15" customHeight="1" x14ac:dyDescent="0.25">
      <c r="B577" s="57" t="str">
        <f xml:space="preserve"> ( StartYear + 1 ) &amp; " Surplus Applied to " &amp; ( StartYear )</f>
        <v>2018 Surplus Applied to 2017</v>
      </c>
      <c r="C577" s="52"/>
      <c r="D577" s="134">
        <v>0</v>
      </c>
      <c r="E577" s="9">
        <v>0</v>
      </c>
      <c r="F577" s="113"/>
      <c r="G577" s="113"/>
      <c r="H577" s="117"/>
      <c r="L577" s="1" t="s">
        <v>233</v>
      </c>
      <c r="M577" s="29" t="s">
        <v>205</v>
      </c>
      <c r="N577" s="228" t="s">
        <v>238</v>
      </c>
    </row>
    <row r="578" spans="1:14" ht="15" customHeight="1" x14ac:dyDescent="0.25">
      <c r="B578" s="119" t="str">
        <f xml:space="preserve"> ( StartYear + 1 ) &amp; " Surplus Applied to " &amp; ( StartYear + 2 )</f>
        <v>2018 Surplus Applied to 2019</v>
      </c>
      <c r="C578" s="52"/>
      <c r="D578" s="114"/>
      <c r="E578" s="9">
        <v>0</v>
      </c>
      <c r="F578" s="51">
        <f>E578</f>
        <v>0</v>
      </c>
      <c r="G578" s="113"/>
      <c r="H578" s="117"/>
      <c r="L578" s="1" t="s">
        <v>233</v>
      </c>
      <c r="M578" s="29" t="s">
        <v>205</v>
      </c>
      <c r="N578" s="228" t="s">
        <v>239</v>
      </c>
    </row>
    <row r="579" spans="1:14" ht="15" customHeight="1" x14ac:dyDescent="0.25">
      <c r="B579" s="119" t="str">
        <f xml:space="preserve"> ( StartYear + 2 ) &amp; " Surplus Applied to " &amp; ( StartYear + 1 )</f>
        <v>2019 Surplus Applied to 2018</v>
      </c>
      <c r="C579" s="52"/>
      <c r="D579" s="114"/>
      <c r="E579" s="51">
        <v>0</v>
      </c>
      <c r="F579" s="9">
        <v>0</v>
      </c>
      <c r="G579" s="113"/>
      <c r="H579" s="117"/>
      <c r="L579" s="1" t="s">
        <v>233</v>
      </c>
      <c r="M579" s="29" t="s">
        <v>205</v>
      </c>
      <c r="N579" s="228" t="s">
        <v>240</v>
      </c>
    </row>
    <row r="580" spans="1:14" ht="15" customHeight="1" x14ac:dyDescent="0.25">
      <c r="B580" s="165" t="str">
        <f xml:space="preserve"> ( StartYear + 2 ) &amp; " Surplus Applied to " &amp; ( StartYear + 3 )</f>
        <v>2019 Surplus Applied to 2020</v>
      </c>
      <c r="C580" s="29"/>
      <c r="D580" s="114"/>
      <c r="E580" s="113"/>
      <c r="F580" s="9">
        <v>25871</v>
      </c>
      <c r="G580" s="51">
        <f>F580</f>
        <v>25871</v>
      </c>
      <c r="H580" s="117"/>
      <c r="L580" s="1" t="s">
        <v>233</v>
      </c>
      <c r="M580" s="29" t="s">
        <v>205</v>
      </c>
      <c r="N580" s="228" t="s">
        <v>241</v>
      </c>
    </row>
    <row r="581" spans="1:14" ht="15" customHeight="1" x14ac:dyDescent="0.25">
      <c r="B581" s="165" t="str">
        <f xml:space="preserve"> ( StartYear + 3 ) &amp; " Surplus Applied to " &amp; ( StartYear + 2 )</f>
        <v>2020 Surplus Applied to 2019</v>
      </c>
      <c r="C581" s="29"/>
      <c r="D581" s="114"/>
      <c r="E581" s="113"/>
      <c r="F581" s="51">
        <v>0</v>
      </c>
      <c r="G581" s="9">
        <v>0</v>
      </c>
      <c r="H581" s="117"/>
      <c r="L581" s="1" t="s">
        <v>233</v>
      </c>
      <c r="M581" s="29" t="s">
        <v>205</v>
      </c>
      <c r="N581" s="228" t="s">
        <v>242</v>
      </c>
    </row>
    <row r="582" spans="1:14" ht="15" customHeight="1" x14ac:dyDescent="0.25">
      <c r="B582" s="165" t="str">
        <f xml:space="preserve"> ( StartYear + 3 ) &amp; " Surplus Applied to " &amp; ( StartYear + 4 )</f>
        <v>2020 Surplus Applied to 2021</v>
      </c>
      <c r="C582" s="29"/>
      <c r="D582" s="114"/>
      <c r="E582" s="113"/>
      <c r="F582" s="113"/>
      <c r="G582" s="9">
        <f ca="1">G560+G565-G571</f>
        <v>0</v>
      </c>
      <c r="H582" s="46">
        <f ca="1">G582</f>
        <v>0</v>
      </c>
      <c r="L582" s="1" t="s">
        <v>233</v>
      </c>
      <c r="M582" s="29" t="s">
        <v>205</v>
      </c>
      <c r="N582" s="228" t="s">
        <v>243</v>
      </c>
    </row>
    <row r="583" spans="1:14" ht="15" customHeight="1" x14ac:dyDescent="0.25">
      <c r="B583" s="165" t="str">
        <f xml:space="preserve"> ( StartYear + 4 ) &amp; " Surplus Applied to " &amp; ( StartYear + 3 )</f>
        <v>2021 Surplus Applied to 2020</v>
      </c>
      <c r="C583" s="29"/>
      <c r="D583" s="115"/>
      <c r="E583" s="116"/>
      <c r="F583" s="116"/>
      <c r="G583" s="47">
        <v>0</v>
      </c>
      <c r="H583" s="41">
        <v>0</v>
      </c>
      <c r="L583" s="1" t="s">
        <v>233</v>
      </c>
      <c r="M583" s="29" t="s">
        <v>205</v>
      </c>
      <c r="N583" s="228" t="s">
        <v>244</v>
      </c>
    </row>
    <row r="584" spans="1:14" ht="15" customHeight="1" x14ac:dyDescent="0.25">
      <c r="B584" s="32" t="s">
        <v>17</v>
      </c>
      <c r="D584" s="6">
        <f>D574-D575+D577-D576</f>
        <v>0</v>
      </c>
      <c r="E584" s="6">
        <f>E576+E579-E577-E578</f>
        <v>0</v>
      </c>
      <c r="F584" s="6">
        <f>F578+F581-F579-F580</f>
        <v>-25871</v>
      </c>
      <c r="G584" s="6">
        <f ca="1">G580+G583-G581-G582</f>
        <v>25871</v>
      </c>
      <c r="H584" s="6">
        <f ca="1">H582 - H583</f>
        <v>0</v>
      </c>
      <c r="L584" s="1" t="s">
        <v>233</v>
      </c>
      <c r="M584" s="29" t="s">
        <v>205</v>
      </c>
      <c r="N584" s="228" t="s">
        <v>17</v>
      </c>
    </row>
    <row r="585" spans="1:14" ht="15" customHeight="1" x14ac:dyDescent="0.25">
      <c r="B585" s="5"/>
      <c r="D585" s="6"/>
      <c r="E585" s="6"/>
      <c r="F585" s="6"/>
      <c r="G585" s="6"/>
      <c r="H585" s="6"/>
      <c r="L585" s="1" t="s">
        <v>233</v>
      </c>
      <c r="M585" s="29" t="s">
        <v>205</v>
      </c>
    </row>
    <row r="586" spans="1:14" ht="15" customHeight="1" x14ac:dyDescent="0.25">
      <c r="B586" s="54" t="s">
        <v>12</v>
      </c>
      <c r="C586" s="52"/>
      <c r="D586" s="75">
        <v>0</v>
      </c>
      <c r="E586" s="111">
        <v>0</v>
      </c>
      <c r="F586" s="111">
        <v>0</v>
      </c>
      <c r="G586" s="111">
        <v>0</v>
      </c>
      <c r="H586" s="76">
        <v>0</v>
      </c>
      <c r="L586" s="1" t="s">
        <v>233</v>
      </c>
      <c r="M586" s="29" t="s">
        <v>205</v>
      </c>
      <c r="N586" s="228" t="s">
        <v>12</v>
      </c>
    </row>
    <row r="587" spans="1:14" ht="15" customHeight="1" x14ac:dyDescent="0.25">
      <c r="B587" s="5"/>
      <c r="D587" s="6"/>
      <c r="E587" s="6"/>
      <c r="F587" s="6"/>
      <c r="G587" s="6"/>
      <c r="H587" s="6"/>
      <c r="L587" s="1" t="s">
        <v>233</v>
      </c>
      <c r="M587" s="29" t="s">
        <v>205</v>
      </c>
    </row>
    <row r="588" spans="1:14" ht="18.75" customHeight="1" x14ac:dyDescent="0.3">
      <c r="A588" s="38" t="s">
        <v>26</v>
      </c>
      <c r="C588" s="52">
        <f>A554</f>
        <v>14</v>
      </c>
      <c r="D588" s="112">
        <f ca="1" xml:space="preserve"> D560 + D565 - D571 + D584 + D586</f>
        <v>0</v>
      </c>
      <c r="E588" s="112">
        <f ca="1" xml:space="preserve"> E560 + E565 - E571 + E584 + E586</f>
        <v>0</v>
      </c>
      <c r="F588" s="112">
        <f ca="1" xml:space="preserve"> F560 + F565 - F571 + F584 + F586</f>
        <v>0</v>
      </c>
      <c r="G588" s="112">
        <f ca="1" xml:space="preserve"> G560 + G565 - G571 + G584 + G586</f>
        <v>25871</v>
      </c>
      <c r="H588" s="174">
        <f ca="1" xml:space="preserve"> H560 + H565 - H571 + H584 + H586</f>
        <v>0</v>
      </c>
      <c r="L588" s="1" t="s">
        <v>233</v>
      </c>
      <c r="M588" s="29" t="s">
        <v>205</v>
      </c>
      <c r="N588" s="228" t="s">
        <v>26</v>
      </c>
    </row>
    <row r="589" spans="1:14" ht="15" customHeight="1" x14ac:dyDescent="0.25">
      <c r="C589" s="108" t="s">
        <v>158</v>
      </c>
      <c r="D589" s="6"/>
      <c r="E589" s="28"/>
      <c r="F589" s="28"/>
      <c r="G589" s="28"/>
      <c r="H589" s="28"/>
      <c r="I589" s="23"/>
      <c r="L589" s="1" t="s">
        <v>233</v>
      </c>
      <c r="M589" s="29" t="s">
        <v>205</v>
      </c>
      <c r="N589" s="228" t="s">
        <v>158</v>
      </c>
    </row>
    <row r="590" spans="1:14" ht="15.75" customHeight="1" thickBot="1" x14ac:dyDescent="0.3">
      <c r="I590" s="23"/>
      <c r="L590" s="1" t="s">
        <v>233</v>
      </c>
      <c r="M590" s="29" t="s">
        <v>205</v>
      </c>
    </row>
    <row r="591" spans="1:14" ht="15" customHeight="1" x14ac:dyDescent="0.25">
      <c r="A591" s="7"/>
      <c r="B591" s="7"/>
      <c r="C591" s="7"/>
      <c r="D591" s="170"/>
      <c r="E591" s="7"/>
      <c r="F591" s="7"/>
      <c r="G591" s="7"/>
      <c r="H591" s="7"/>
      <c r="I591" s="23"/>
      <c r="L591" s="1" t="s">
        <v>233</v>
      </c>
      <c r="M591" s="29" t="s">
        <v>205</v>
      </c>
    </row>
    <row r="592" spans="1:14" ht="21" customHeight="1" x14ac:dyDescent="0.35">
      <c r="A592" s="12">
        <f>MAX(A$1:A591)+1</f>
        <v>15</v>
      </c>
      <c r="B592" s="12"/>
      <c r="C592" s="214" t="str">
        <f ca="1">OFFSET($B$4,A592-1,0)</f>
        <v>Cosmo Specialty Fibers Inc. - COS2</v>
      </c>
      <c r="D592" s="215"/>
      <c r="E592" s="216"/>
      <c r="F592" s="216"/>
      <c r="G592" s="217"/>
      <c r="H592" s="218"/>
      <c r="L592" s="1" t="s">
        <v>233</v>
      </c>
      <c r="M592" s="29" t="s">
        <v>206</v>
      </c>
      <c r="N592" s="228">
        <v>17</v>
      </c>
    </row>
    <row r="593" spans="1:14" ht="15" customHeight="1" x14ac:dyDescent="0.25">
      <c r="C593" s="1" t="str">
        <f ca="1">VLOOKUP(C592,Facilities,3,FALSE)</f>
        <v>REC only</v>
      </c>
      <c r="D593" s="1"/>
      <c r="L593" s="1" t="s">
        <v>233</v>
      </c>
      <c r="M593" s="29" t="s">
        <v>206</v>
      </c>
      <c r="N593" s="228" t="s">
        <v>181</v>
      </c>
    </row>
    <row r="594" spans="1:14" ht="18.75" customHeight="1" x14ac:dyDescent="0.3">
      <c r="A594" s="8" t="s">
        <v>21</v>
      </c>
      <c r="B594" s="8"/>
      <c r="D594" s="2">
        <f>D404</f>
        <v>2017</v>
      </c>
      <c r="E594" s="2">
        <f>D594+1</f>
        <v>2018</v>
      </c>
      <c r="F594" s="2">
        <f>E594+1</f>
        <v>2019</v>
      </c>
      <c r="G594" s="2">
        <f>F594+1</f>
        <v>2020</v>
      </c>
      <c r="H594" s="2">
        <f>G594+1</f>
        <v>2021</v>
      </c>
      <c r="L594" s="1" t="s">
        <v>233</v>
      </c>
      <c r="M594" s="29" t="s">
        <v>206</v>
      </c>
      <c r="N594" s="228" t="s">
        <v>21</v>
      </c>
    </row>
    <row r="595" spans="1:14" ht="15" customHeight="1" x14ac:dyDescent="0.25">
      <c r="B595" s="119" t="str">
        <f ca="1">IF(C631&lt;&gt;"REC only","Total MWh ","")&amp;IF(C593="PSE owned","Produced","Purchased")&amp;" from "&amp;C592</f>
        <v>Purchased from Cosmo Specialty Fibers Inc. - COS2</v>
      </c>
      <c r="C595" s="52"/>
      <c r="D595" s="3"/>
      <c r="E595" s="3"/>
      <c r="F595" s="3">
        <v>26987</v>
      </c>
      <c r="G595" s="3"/>
      <c r="H595" s="4"/>
      <c r="L595" s="1" t="s">
        <v>233</v>
      </c>
      <c r="M595" s="29" t="s">
        <v>206</v>
      </c>
      <c r="N595" s="228" t="s">
        <v>258</v>
      </c>
    </row>
    <row r="596" spans="1:14" ht="15" customHeight="1" x14ac:dyDescent="0.25">
      <c r="B596" s="57" t="s">
        <v>25</v>
      </c>
      <c r="C596" s="52"/>
      <c r="D596" s="132"/>
      <c r="E596" s="132"/>
      <c r="F596" s="132">
        <v>1</v>
      </c>
      <c r="G596" s="132"/>
      <c r="H596" s="133"/>
      <c r="L596" s="1" t="s">
        <v>233</v>
      </c>
      <c r="M596" s="29" t="s">
        <v>206</v>
      </c>
      <c r="N596" s="228" t="s">
        <v>25</v>
      </c>
    </row>
    <row r="597" spans="1:14" ht="15" customHeight="1" x14ac:dyDescent="0.25">
      <c r="B597" s="57" t="s">
        <v>20</v>
      </c>
      <c r="C597" s="52"/>
      <c r="D597" s="42"/>
      <c r="E597" s="42"/>
      <c r="F597" s="42">
        <v>1</v>
      </c>
      <c r="G597" s="42"/>
      <c r="H597" s="43"/>
      <c r="L597" s="1" t="s">
        <v>233</v>
      </c>
      <c r="M597" s="29" t="s">
        <v>206</v>
      </c>
      <c r="N597" s="228" t="s">
        <v>20</v>
      </c>
    </row>
    <row r="598" spans="1:14" ht="15" customHeight="1" x14ac:dyDescent="0.25">
      <c r="B598" s="54" t="s">
        <v>22</v>
      </c>
      <c r="C598" s="55"/>
      <c r="D598" s="131">
        <f xml:space="preserve"> D595 * D596 * D597</f>
        <v>0</v>
      </c>
      <c r="E598" s="131">
        <f xml:space="preserve"> E595 * E596 * E597</f>
        <v>0</v>
      </c>
      <c r="F598" s="131">
        <f xml:space="preserve"> ROUNDDOWN(F595 * F596 * F597,0)</f>
        <v>26987</v>
      </c>
      <c r="G598" s="131">
        <f xml:space="preserve"> ROUNDDOWN(G595 * G596 * G597,0)</f>
        <v>0</v>
      </c>
      <c r="H598" s="131">
        <f xml:space="preserve"> ROUNDDOWN(H595 * H596 * H597,0)</f>
        <v>0</v>
      </c>
      <c r="L598" s="1" t="s">
        <v>233</v>
      </c>
      <c r="M598" s="29" t="s">
        <v>206</v>
      </c>
      <c r="N598" s="228" t="s">
        <v>22</v>
      </c>
    </row>
    <row r="599" spans="1:14" ht="15" customHeight="1" x14ac:dyDescent="0.25">
      <c r="B599" s="22"/>
      <c r="C599" s="29"/>
      <c r="D599" s="36"/>
      <c r="E599" s="36"/>
      <c r="F599" s="36"/>
      <c r="G599" s="167"/>
      <c r="H599" s="36"/>
      <c r="L599" s="1" t="s">
        <v>233</v>
      </c>
      <c r="M599" s="29" t="s">
        <v>206</v>
      </c>
    </row>
    <row r="600" spans="1:14" ht="18.75" customHeight="1" x14ac:dyDescent="0.3">
      <c r="A600" s="39" t="s">
        <v>119</v>
      </c>
      <c r="C600" s="29"/>
      <c r="D600" s="2">
        <f>D594</f>
        <v>2017</v>
      </c>
      <c r="E600" s="2">
        <f>D600+1</f>
        <v>2018</v>
      </c>
      <c r="F600" s="2">
        <f>E600+1</f>
        <v>2019</v>
      </c>
      <c r="G600" s="2">
        <f>F600+1</f>
        <v>2020</v>
      </c>
      <c r="H600" s="2">
        <f>G600+1</f>
        <v>2021</v>
      </c>
      <c r="L600" s="1" t="s">
        <v>233</v>
      </c>
      <c r="M600" s="29" t="s">
        <v>206</v>
      </c>
      <c r="N600" s="228" t="s">
        <v>119</v>
      </c>
    </row>
    <row r="601" spans="1:14" x14ac:dyDescent="0.25">
      <c r="B601" s="57" t="s">
        <v>10</v>
      </c>
      <c r="C601" s="52"/>
      <c r="D601" s="10">
        <f ca="1">IF(VLOOKUP($C592,Facilities,5,FALSE)="Eligible", D598*ApprenticeshipBonus, 0 )</f>
        <v>0</v>
      </c>
      <c r="E601" s="109">
        <f ca="1">IF(VLOOKUP($C592,Facilities,5,FALSE)="Eligible", E598*ApprenticeshipBonus, 0 )</f>
        <v>0</v>
      </c>
      <c r="F601" s="109">
        <f ca="1">IF(VLOOKUP($C592,Facilities,5,FALSE)="Eligible", F598*ApprenticeshipBonus, 0 )</f>
        <v>0</v>
      </c>
      <c r="G601" s="109">
        <f ca="1">IF(VLOOKUP($C592,Facilities,5,FALSE)="Eligible", G598*ApprenticeshipBonus, 0 )</f>
        <v>0</v>
      </c>
      <c r="H601" s="11">
        <f ca="1">IF(VLOOKUP($C592,Facilities,5,FALSE)="Eligible", H598*ApprenticeshipBonus, 0 )</f>
        <v>0</v>
      </c>
      <c r="L601" s="1" t="s">
        <v>233</v>
      </c>
      <c r="M601" s="29" t="s">
        <v>206</v>
      </c>
      <c r="N601" s="228" t="s">
        <v>10</v>
      </c>
    </row>
    <row r="602" spans="1:14" ht="15" customHeight="1" x14ac:dyDescent="0.25">
      <c r="B602" s="57" t="s">
        <v>6</v>
      </c>
      <c r="C602" s="52"/>
      <c r="D602" s="44">
        <f ca="1">IF(VLOOKUP($C592,Facilities,6,FALSE)="Eligible", D598, 0 )</f>
        <v>0</v>
      </c>
      <c r="E602" s="110">
        <f ca="1">IF(VLOOKUP($C592,Facilities,6,FALSE)="Eligible", E598, 0 )</f>
        <v>0</v>
      </c>
      <c r="F602" s="110">
        <f ca="1">IF(VLOOKUP($C592,Facilities,6,FALSE)="Eligible", F598, 0 )</f>
        <v>0</v>
      </c>
      <c r="G602" s="110">
        <f ca="1">IF(VLOOKUP($C592,Facilities,6,FALSE)="Eligible", G598, 0 )</f>
        <v>0</v>
      </c>
      <c r="H602" s="45">
        <f ca="1">IF(VLOOKUP($C592,Facilities,6,FALSE)="Eligible", H598, 0 )</f>
        <v>0</v>
      </c>
      <c r="L602" s="1" t="s">
        <v>233</v>
      </c>
      <c r="M602" s="29" t="s">
        <v>206</v>
      </c>
      <c r="N602" s="228" t="s">
        <v>6</v>
      </c>
    </row>
    <row r="603" spans="1:14" ht="15" customHeight="1" x14ac:dyDescent="0.25">
      <c r="B603" s="56" t="s">
        <v>121</v>
      </c>
      <c r="C603" s="55"/>
      <c r="D603" s="37">
        <f ca="1">SUM(D601:D602)</f>
        <v>0</v>
      </c>
      <c r="E603" s="37">
        <f ca="1">SUM(E601:E602)</f>
        <v>0</v>
      </c>
      <c r="F603" s="37">
        <f ca="1">SUM(F601:F602)</f>
        <v>0</v>
      </c>
      <c r="G603" s="37">
        <f ca="1">SUM(G601:G602)</f>
        <v>0</v>
      </c>
      <c r="H603" s="37">
        <f ca="1">SUM(H601:H602)</f>
        <v>0</v>
      </c>
      <c r="L603" s="1" t="s">
        <v>233</v>
      </c>
      <c r="M603" s="29" t="s">
        <v>206</v>
      </c>
      <c r="N603" s="228" t="s">
        <v>121</v>
      </c>
    </row>
    <row r="604" spans="1:14" ht="15" customHeight="1" x14ac:dyDescent="0.25">
      <c r="B604" s="29"/>
      <c r="C604" s="29"/>
      <c r="D604" s="30"/>
      <c r="E604" s="30"/>
      <c r="F604" s="30"/>
      <c r="G604" s="169"/>
      <c r="H604" s="30"/>
      <c r="L604" s="1" t="s">
        <v>233</v>
      </c>
      <c r="M604" s="29" t="s">
        <v>206</v>
      </c>
    </row>
    <row r="605" spans="1:14" ht="18.75" customHeight="1" x14ac:dyDescent="0.3">
      <c r="A605" s="38" t="s">
        <v>30</v>
      </c>
      <c r="C605" s="29"/>
      <c r="D605" s="2">
        <f>D594</f>
        <v>2017</v>
      </c>
      <c r="E605" s="2">
        <f>D605+1</f>
        <v>2018</v>
      </c>
      <c r="F605" s="2">
        <f>E605+1</f>
        <v>2019</v>
      </c>
      <c r="G605" s="2">
        <f>F605+1</f>
        <v>2020</v>
      </c>
      <c r="H605" s="2">
        <f>G605+1</f>
        <v>2021</v>
      </c>
      <c r="L605" s="1" t="s">
        <v>233</v>
      </c>
      <c r="M605" s="29" t="s">
        <v>206</v>
      </c>
      <c r="N605" s="228" t="s">
        <v>30</v>
      </c>
    </row>
    <row r="606" spans="1:14" ht="15" customHeight="1" x14ac:dyDescent="0.25">
      <c r="B606" s="57" t="s">
        <v>47</v>
      </c>
      <c r="C606" s="52"/>
      <c r="D606" s="3">
        <v>0</v>
      </c>
      <c r="E606" s="3">
        <v>0</v>
      </c>
      <c r="F606" s="3">
        <v>0</v>
      </c>
      <c r="G606" s="3">
        <v>0</v>
      </c>
      <c r="H606" s="4">
        <v>0</v>
      </c>
      <c r="L606" s="1" t="s">
        <v>233</v>
      </c>
      <c r="M606" s="29" t="s">
        <v>206</v>
      </c>
      <c r="N606" s="228" t="s">
        <v>47</v>
      </c>
    </row>
    <row r="607" spans="1:14" ht="15" customHeight="1" x14ac:dyDescent="0.25">
      <c r="B607" s="58" t="s">
        <v>23</v>
      </c>
      <c r="C607" s="59"/>
      <c r="D607" s="137">
        <v>0</v>
      </c>
      <c r="E607" s="137">
        <v>0</v>
      </c>
      <c r="F607" s="137">
        <v>0</v>
      </c>
      <c r="G607" s="137">
        <v>0</v>
      </c>
      <c r="H607" s="138">
        <v>0</v>
      </c>
      <c r="L607" s="1" t="s">
        <v>233</v>
      </c>
      <c r="M607" s="29" t="s">
        <v>206</v>
      </c>
      <c r="N607" s="228" t="s">
        <v>23</v>
      </c>
    </row>
    <row r="608" spans="1:14" ht="15" customHeight="1" x14ac:dyDescent="0.25">
      <c r="B608" s="68" t="s">
        <v>89</v>
      </c>
      <c r="C608" s="67"/>
      <c r="D608" s="191">
        <v>0</v>
      </c>
      <c r="E608" s="139">
        <v>0</v>
      </c>
      <c r="F608" s="139">
        <v>0</v>
      </c>
      <c r="G608" s="139">
        <v>0</v>
      </c>
      <c r="H608" s="140">
        <v>0</v>
      </c>
      <c r="L608" s="1" t="s">
        <v>233</v>
      </c>
      <c r="M608" s="29" t="s">
        <v>206</v>
      </c>
      <c r="N608" s="228" t="s">
        <v>89</v>
      </c>
    </row>
    <row r="609" spans="1:14" ht="15" customHeight="1" x14ac:dyDescent="0.25">
      <c r="B609" s="32" t="s">
        <v>90</v>
      </c>
      <c r="D609" s="6">
        <f>SUM(D606:D608)</f>
        <v>0</v>
      </c>
      <c r="E609" s="6">
        <f>SUM(E606:E608)</f>
        <v>0</v>
      </c>
      <c r="F609" s="6">
        <f>SUM(F606:F608)</f>
        <v>0</v>
      </c>
      <c r="G609" s="6">
        <f>SUM(G606:G608)</f>
        <v>0</v>
      </c>
      <c r="H609" s="6">
        <f>SUM(H606:H608)</f>
        <v>0</v>
      </c>
      <c r="L609" s="1" t="s">
        <v>233</v>
      </c>
      <c r="M609" s="29" t="s">
        <v>206</v>
      </c>
      <c r="N609" s="228" t="s">
        <v>90</v>
      </c>
    </row>
    <row r="610" spans="1:14" ht="15" customHeight="1" x14ac:dyDescent="0.25">
      <c r="B610" s="5"/>
      <c r="D610" s="6"/>
      <c r="E610" s="6"/>
      <c r="F610" s="6"/>
      <c r="G610" s="167"/>
      <c r="H610" s="6"/>
      <c r="L610" s="1" t="s">
        <v>233</v>
      </c>
      <c r="M610" s="29" t="s">
        <v>206</v>
      </c>
    </row>
    <row r="611" spans="1:14" ht="18.75" customHeight="1" x14ac:dyDescent="0.3">
      <c r="A611" s="8" t="s">
        <v>100</v>
      </c>
      <c r="D611" s="2">
        <f>D594</f>
        <v>2017</v>
      </c>
      <c r="E611" s="2">
        <f>D611+1</f>
        <v>2018</v>
      </c>
      <c r="F611" s="2">
        <f>E611+1</f>
        <v>2019</v>
      </c>
      <c r="G611" s="2">
        <f>F611+1</f>
        <v>2020</v>
      </c>
      <c r="H611" s="2">
        <f>G611+1</f>
        <v>2021</v>
      </c>
      <c r="L611" s="1" t="s">
        <v>233</v>
      </c>
      <c r="M611" s="29" t="s">
        <v>206</v>
      </c>
      <c r="N611" s="228" t="s">
        <v>100</v>
      </c>
    </row>
    <row r="612" spans="1:14" ht="15" customHeight="1" x14ac:dyDescent="0.25">
      <c r="B612" s="57" t="str">
        <f>(StartYear-1) &amp; " Surplus Applied to " &amp; StartYear</f>
        <v>2016 Surplus Applied to 2017</v>
      </c>
      <c r="C612" s="29"/>
      <c r="D612" s="186">
        <v>0</v>
      </c>
      <c r="E612" s="187"/>
      <c r="F612" s="187"/>
      <c r="G612" s="187"/>
      <c r="H612" s="188"/>
      <c r="L612" s="1" t="s">
        <v>233</v>
      </c>
      <c r="M612" s="29" t="s">
        <v>206</v>
      </c>
      <c r="N612" s="228" t="s">
        <v>235</v>
      </c>
    </row>
    <row r="613" spans="1:14" ht="15" customHeight="1" x14ac:dyDescent="0.25">
      <c r="B613" s="57" t="str">
        <f>StartYear &amp; " Surplus Applied to " &amp; (StartYear-1)</f>
        <v>2017 Surplus Applied to 2016</v>
      </c>
      <c r="C613" s="29"/>
      <c r="D613" s="189">
        <v>0</v>
      </c>
      <c r="E613" s="113"/>
      <c r="F613" s="113"/>
      <c r="G613" s="113"/>
      <c r="H613" s="117"/>
      <c r="L613" s="1" t="s">
        <v>233</v>
      </c>
      <c r="M613" s="29" t="s">
        <v>206</v>
      </c>
      <c r="N613" s="228" t="s">
        <v>236</v>
      </c>
    </row>
    <row r="614" spans="1:14" ht="15" customHeight="1" x14ac:dyDescent="0.25">
      <c r="B614" s="57" t="str">
        <f>( StartYear) &amp; " Surplus Applied to " &amp; ( StartYear + 1 )</f>
        <v>2017 Surplus Applied to 2018</v>
      </c>
      <c r="C614" s="29"/>
      <c r="D614" s="184">
        <v>0</v>
      </c>
      <c r="E614" s="185">
        <f>D614</f>
        <v>0</v>
      </c>
      <c r="F614" s="181"/>
      <c r="G614" s="181"/>
      <c r="H614" s="182"/>
      <c r="L614" s="1" t="s">
        <v>233</v>
      </c>
      <c r="M614" s="29" t="s">
        <v>206</v>
      </c>
      <c r="N614" s="228" t="s">
        <v>237</v>
      </c>
    </row>
    <row r="615" spans="1:14" ht="15" customHeight="1" x14ac:dyDescent="0.25">
      <c r="B615" s="57" t="str">
        <f xml:space="preserve"> ( StartYear + 1 ) &amp; " Surplus Applied to " &amp; ( StartYear )</f>
        <v>2018 Surplus Applied to 2017</v>
      </c>
      <c r="C615" s="52"/>
      <c r="D615" s="134">
        <v>0</v>
      </c>
      <c r="E615" s="9">
        <v>0</v>
      </c>
      <c r="F615" s="113"/>
      <c r="G615" s="113"/>
      <c r="H615" s="117"/>
      <c r="L615" s="1" t="s">
        <v>233</v>
      </c>
      <c r="M615" s="29" t="s">
        <v>206</v>
      </c>
      <c r="N615" s="228" t="s">
        <v>238</v>
      </c>
    </row>
    <row r="616" spans="1:14" ht="15" customHeight="1" x14ac:dyDescent="0.25">
      <c r="B616" s="119" t="str">
        <f xml:space="preserve"> ( StartYear + 1 ) &amp; " Surplus Applied to " &amp; ( StartYear + 2 )</f>
        <v>2018 Surplus Applied to 2019</v>
      </c>
      <c r="C616" s="52"/>
      <c r="D616" s="114"/>
      <c r="E616" s="9">
        <v>0</v>
      </c>
      <c r="F616" s="51">
        <f>E616</f>
        <v>0</v>
      </c>
      <c r="G616" s="113"/>
      <c r="H616" s="117"/>
      <c r="L616" s="1" t="s">
        <v>233</v>
      </c>
      <c r="M616" s="29" t="s">
        <v>206</v>
      </c>
      <c r="N616" s="228" t="s">
        <v>239</v>
      </c>
    </row>
    <row r="617" spans="1:14" ht="15" customHeight="1" x14ac:dyDescent="0.25">
      <c r="B617" s="119" t="str">
        <f xml:space="preserve"> ( StartYear + 2 ) &amp; " Surplus Applied to " &amp; ( StartYear + 1 )</f>
        <v>2019 Surplus Applied to 2018</v>
      </c>
      <c r="C617" s="52"/>
      <c r="D617" s="114"/>
      <c r="E617" s="51">
        <v>0</v>
      </c>
      <c r="F617" s="9">
        <v>0</v>
      </c>
      <c r="G617" s="113"/>
      <c r="H617" s="117"/>
      <c r="L617" s="1" t="s">
        <v>233</v>
      </c>
      <c r="M617" s="29" t="s">
        <v>206</v>
      </c>
      <c r="N617" s="228" t="s">
        <v>240</v>
      </c>
    </row>
    <row r="618" spans="1:14" ht="15" customHeight="1" x14ac:dyDescent="0.25">
      <c r="B618" s="165" t="str">
        <f xml:space="preserve"> ( StartYear + 2 ) &amp; " Surplus Applied to " &amp; ( StartYear + 3 )</f>
        <v>2019 Surplus Applied to 2020</v>
      </c>
      <c r="C618" s="29"/>
      <c r="D618" s="114"/>
      <c r="E618" s="113"/>
      <c r="F618" s="9">
        <v>26987</v>
      </c>
      <c r="G618" s="51">
        <f>F618</f>
        <v>26987</v>
      </c>
      <c r="H618" s="117"/>
      <c r="L618" s="1" t="s">
        <v>233</v>
      </c>
      <c r="M618" s="29" t="s">
        <v>206</v>
      </c>
      <c r="N618" s="228" t="s">
        <v>241</v>
      </c>
    </row>
    <row r="619" spans="1:14" ht="15" customHeight="1" x14ac:dyDescent="0.25">
      <c r="B619" s="165" t="str">
        <f xml:space="preserve"> ( StartYear + 3 ) &amp; " Surplus Applied to " &amp; ( StartYear + 2 )</f>
        <v>2020 Surplus Applied to 2019</v>
      </c>
      <c r="C619" s="29"/>
      <c r="D619" s="114"/>
      <c r="E619" s="113"/>
      <c r="F619" s="51">
        <v>0</v>
      </c>
      <c r="G619" s="9">
        <v>0</v>
      </c>
      <c r="H619" s="117"/>
      <c r="L619" s="1" t="s">
        <v>233</v>
      </c>
      <c r="M619" s="29" t="s">
        <v>206</v>
      </c>
      <c r="N619" s="228" t="s">
        <v>242</v>
      </c>
    </row>
    <row r="620" spans="1:14" ht="15" customHeight="1" x14ac:dyDescent="0.25">
      <c r="B620" s="165" t="str">
        <f xml:space="preserve"> ( StartYear + 3 ) &amp; " Surplus Applied to " &amp; ( StartYear + 4 )</f>
        <v>2020 Surplus Applied to 2021</v>
      </c>
      <c r="C620" s="29"/>
      <c r="D620" s="114"/>
      <c r="E620" s="113"/>
      <c r="F620" s="113"/>
      <c r="G620" s="9">
        <f ca="1">G598+G603-G609</f>
        <v>0</v>
      </c>
      <c r="H620" s="46">
        <f ca="1">G620</f>
        <v>0</v>
      </c>
      <c r="L620" s="1" t="s">
        <v>233</v>
      </c>
      <c r="M620" s="29" t="s">
        <v>206</v>
      </c>
      <c r="N620" s="228" t="s">
        <v>243</v>
      </c>
    </row>
    <row r="621" spans="1:14" ht="15" customHeight="1" x14ac:dyDescent="0.25">
      <c r="B621" s="165" t="str">
        <f xml:space="preserve"> ( StartYear + 4 ) &amp; " Surplus Applied to " &amp; ( StartYear + 3 )</f>
        <v>2021 Surplus Applied to 2020</v>
      </c>
      <c r="C621" s="29"/>
      <c r="D621" s="115"/>
      <c r="E621" s="116"/>
      <c r="F621" s="116"/>
      <c r="G621" s="47">
        <v>0</v>
      </c>
      <c r="H621" s="41">
        <v>0</v>
      </c>
      <c r="L621" s="1" t="s">
        <v>233</v>
      </c>
      <c r="M621" s="29" t="s">
        <v>206</v>
      </c>
      <c r="N621" s="228" t="s">
        <v>244</v>
      </c>
    </row>
    <row r="622" spans="1:14" ht="15" customHeight="1" x14ac:dyDescent="0.25">
      <c r="B622" s="32" t="s">
        <v>17</v>
      </c>
      <c r="D622" s="6">
        <f>D612-D613+D615-D614</f>
        <v>0</v>
      </c>
      <c r="E622" s="6">
        <f>E614+E617-E615-E616</f>
        <v>0</v>
      </c>
      <c r="F622" s="6">
        <f>F616+F619-F617-F618</f>
        <v>-26987</v>
      </c>
      <c r="G622" s="6">
        <f ca="1">G618+G621-G619-G620</f>
        <v>26987</v>
      </c>
      <c r="H622" s="6">
        <f ca="1">H620 - H621</f>
        <v>0</v>
      </c>
      <c r="L622" s="1" t="s">
        <v>233</v>
      </c>
      <c r="M622" s="29" t="s">
        <v>206</v>
      </c>
      <c r="N622" s="228" t="s">
        <v>17</v>
      </c>
    </row>
    <row r="623" spans="1:14" ht="15" customHeight="1" x14ac:dyDescent="0.25">
      <c r="B623" s="5"/>
      <c r="D623" s="6"/>
      <c r="E623" s="6"/>
      <c r="F623" s="6"/>
      <c r="G623" s="6"/>
      <c r="H623" s="6"/>
      <c r="L623" s="1" t="s">
        <v>233</v>
      </c>
      <c r="M623" s="29" t="s">
        <v>206</v>
      </c>
    </row>
    <row r="624" spans="1:14" ht="15" customHeight="1" x14ac:dyDescent="0.25">
      <c r="B624" s="54" t="s">
        <v>12</v>
      </c>
      <c r="C624" s="52"/>
      <c r="D624" s="75">
        <v>0</v>
      </c>
      <c r="E624" s="111">
        <v>0</v>
      </c>
      <c r="F624" s="111">
        <v>0</v>
      </c>
      <c r="G624" s="111">
        <v>0</v>
      </c>
      <c r="H624" s="76">
        <v>0</v>
      </c>
      <c r="L624" s="1" t="s">
        <v>233</v>
      </c>
      <c r="M624" s="29" t="s">
        <v>206</v>
      </c>
      <c r="N624" s="228" t="s">
        <v>12</v>
      </c>
    </row>
    <row r="625" spans="1:14" ht="15" customHeight="1" x14ac:dyDescent="0.25">
      <c r="B625" s="5"/>
      <c r="D625" s="6"/>
      <c r="E625" s="6"/>
      <c r="F625" s="6"/>
      <c r="G625" s="6"/>
      <c r="H625" s="6"/>
      <c r="L625" s="1" t="s">
        <v>233</v>
      </c>
      <c r="M625" s="29" t="s">
        <v>206</v>
      </c>
    </row>
    <row r="626" spans="1:14" ht="18.75" customHeight="1" x14ac:dyDescent="0.3">
      <c r="A626" s="38" t="s">
        <v>26</v>
      </c>
      <c r="C626" s="52">
        <f>A592</f>
        <v>15</v>
      </c>
      <c r="D626" s="112">
        <f ca="1" xml:space="preserve"> D598 + D603 - D609 + D622 + D624</f>
        <v>0</v>
      </c>
      <c r="E626" s="112">
        <f ca="1" xml:space="preserve"> E598 + E603 - E609 + E622 + E624</f>
        <v>0</v>
      </c>
      <c r="F626" s="112">
        <f ca="1" xml:space="preserve"> F598 + F603 - F609 + F622 + F624</f>
        <v>0</v>
      </c>
      <c r="G626" s="112">
        <f ca="1" xml:space="preserve"> G598 + G603 - G609 + G622 + G624</f>
        <v>26987</v>
      </c>
      <c r="H626" s="174">
        <f ca="1" xml:space="preserve"> H598 + H603 - H609 + H622 + H624</f>
        <v>0</v>
      </c>
      <c r="L626" s="1" t="s">
        <v>233</v>
      </c>
      <c r="M626" s="29" t="s">
        <v>206</v>
      </c>
      <c r="N626" s="228" t="s">
        <v>26</v>
      </c>
    </row>
    <row r="627" spans="1:14" ht="15" customHeight="1" x14ac:dyDescent="0.25">
      <c r="C627" s="108" t="s">
        <v>158</v>
      </c>
      <c r="D627" s="6"/>
      <c r="E627" s="28"/>
      <c r="F627" s="28"/>
      <c r="G627" s="28"/>
      <c r="H627" s="28"/>
      <c r="I627" s="23"/>
      <c r="L627" s="1" t="s">
        <v>233</v>
      </c>
      <c r="M627" s="29" t="s">
        <v>206</v>
      </c>
      <c r="N627" s="228" t="s">
        <v>158</v>
      </c>
    </row>
    <row r="628" spans="1:14" ht="15.75" customHeight="1" thickBot="1" x14ac:dyDescent="0.3">
      <c r="I628" s="23"/>
      <c r="L628" s="1" t="s">
        <v>233</v>
      </c>
      <c r="M628" s="29" t="s">
        <v>206</v>
      </c>
    </row>
    <row r="629" spans="1:14" ht="15" customHeight="1" x14ac:dyDescent="0.25">
      <c r="A629" s="7"/>
      <c r="B629" s="7"/>
      <c r="C629" s="7"/>
      <c r="D629" s="170"/>
      <c r="E629" s="7"/>
      <c r="F629" s="7"/>
      <c r="G629" s="7"/>
      <c r="H629" s="7"/>
      <c r="I629" s="23"/>
      <c r="L629" s="1" t="s">
        <v>233</v>
      </c>
      <c r="M629" s="29" t="s">
        <v>206</v>
      </c>
    </row>
    <row r="630" spans="1:14" ht="21" customHeight="1" x14ac:dyDescent="0.35">
      <c r="A630" s="12">
        <f>MAX(A$1:A629)+1</f>
        <v>16</v>
      </c>
      <c r="B630" s="12"/>
      <c r="C630" s="214" t="str">
        <f ca="1">OFFSET($B$4,A630-1,0)</f>
        <v>Golden Valley Wind Park - Golden Valley Wind Park</v>
      </c>
      <c r="D630" s="215"/>
      <c r="E630" s="216"/>
      <c r="F630" s="216"/>
      <c r="G630" s="217"/>
      <c r="H630" s="218"/>
      <c r="I630" s="23"/>
      <c r="L630" s="1" t="s">
        <v>233</v>
      </c>
      <c r="M630" s="29" t="s">
        <v>176</v>
      </c>
      <c r="N630" s="228">
        <v>18</v>
      </c>
    </row>
    <row r="631" spans="1:14" ht="15" customHeight="1" x14ac:dyDescent="0.25">
      <c r="C631" s="1" t="str">
        <f ca="1">VLOOKUP(C630,Facilities,3,FALSE)</f>
        <v>REC only</v>
      </c>
      <c r="I631" s="28"/>
      <c r="L631" s="1" t="s">
        <v>233</v>
      </c>
      <c r="M631" s="29" t="s">
        <v>176</v>
      </c>
      <c r="N631" s="228" t="s">
        <v>181</v>
      </c>
    </row>
    <row r="632" spans="1:14" ht="18.75" customHeight="1" x14ac:dyDescent="0.3">
      <c r="A632" s="8" t="s">
        <v>21</v>
      </c>
      <c r="B632" s="8"/>
      <c r="D632" s="118">
        <f>StartYear</f>
        <v>2017</v>
      </c>
      <c r="E632" s="2">
        <f>D632+1</f>
        <v>2018</v>
      </c>
      <c r="F632" s="2">
        <f>E632+1</f>
        <v>2019</v>
      </c>
      <c r="G632" s="2">
        <f>F632+1</f>
        <v>2020</v>
      </c>
      <c r="H632" s="2">
        <f>G632+1</f>
        <v>2021</v>
      </c>
      <c r="I632" s="28"/>
      <c r="L632" s="1" t="s">
        <v>233</v>
      </c>
      <c r="M632" s="29" t="s">
        <v>176</v>
      </c>
      <c r="N632" s="228" t="s">
        <v>21</v>
      </c>
    </row>
    <row r="633" spans="1:14" ht="15" customHeight="1" x14ac:dyDescent="0.25">
      <c r="B633" s="119" t="str">
        <f ca="1">IF(C669&lt;&gt;"REC only","Total MWh ","")&amp;IF(C631="PSE owned","Produced","Purchased")&amp;" from "&amp;C630</f>
        <v>Purchased from Golden Valley Wind Park - Golden Valley Wind Park</v>
      </c>
      <c r="C633" s="52"/>
      <c r="D633" s="3"/>
      <c r="E633" s="3"/>
      <c r="F633" s="3">
        <v>8708</v>
      </c>
      <c r="G633" s="3"/>
      <c r="H633" s="4"/>
      <c r="I633" s="28"/>
      <c r="L633" s="1" t="s">
        <v>233</v>
      </c>
      <c r="M633" s="29" t="s">
        <v>176</v>
      </c>
      <c r="N633" s="228" t="s">
        <v>259</v>
      </c>
    </row>
    <row r="634" spans="1:14" ht="15" customHeight="1" x14ac:dyDescent="0.25">
      <c r="B634" s="57" t="s">
        <v>25</v>
      </c>
      <c r="C634" s="52"/>
      <c r="D634" s="132"/>
      <c r="E634" s="132"/>
      <c r="F634" s="132">
        <v>1</v>
      </c>
      <c r="G634" s="132"/>
      <c r="H634" s="133"/>
      <c r="I634" s="28"/>
      <c r="L634" s="1" t="s">
        <v>233</v>
      </c>
      <c r="M634" s="29" t="s">
        <v>176</v>
      </c>
      <c r="N634" s="228" t="s">
        <v>25</v>
      </c>
    </row>
    <row r="635" spans="1:14" ht="15" customHeight="1" x14ac:dyDescent="0.25">
      <c r="B635" s="57" t="s">
        <v>20</v>
      </c>
      <c r="C635" s="52"/>
      <c r="D635" s="42"/>
      <c r="E635" s="42"/>
      <c r="F635" s="42">
        <v>1</v>
      </c>
      <c r="G635" s="42"/>
      <c r="H635" s="43"/>
      <c r="I635" s="29"/>
      <c r="L635" s="1" t="s">
        <v>233</v>
      </c>
      <c r="M635" s="29" t="s">
        <v>176</v>
      </c>
      <c r="N635" s="228" t="s">
        <v>20</v>
      </c>
    </row>
    <row r="636" spans="1:14" ht="15" customHeight="1" x14ac:dyDescent="0.25">
      <c r="B636" s="54" t="s">
        <v>22</v>
      </c>
      <c r="C636" s="55"/>
      <c r="D636" s="131">
        <f xml:space="preserve"> D633 * D634 * D635</f>
        <v>0</v>
      </c>
      <c r="E636" s="131">
        <f xml:space="preserve"> E633 * E634 * E635</f>
        <v>0</v>
      </c>
      <c r="F636" s="131">
        <f xml:space="preserve"> ROUNDDOWN(F633 * F634 * F635,0)</f>
        <v>8708</v>
      </c>
      <c r="G636" s="131">
        <f xml:space="preserve"> ROUNDDOWN(G633 * G634 * G635,0)</f>
        <v>0</v>
      </c>
      <c r="H636" s="131">
        <f xml:space="preserve"> ROUNDDOWN(H633 * H634 * H635,0)</f>
        <v>0</v>
      </c>
      <c r="I636" s="29"/>
      <c r="L636" s="1" t="s">
        <v>233</v>
      </c>
      <c r="M636" s="29" t="s">
        <v>176</v>
      </c>
      <c r="N636" s="228" t="s">
        <v>22</v>
      </c>
    </row>
    <row r="637" spans="1:14" ht="15" customHeight="1" x14ac:dyDescent="0.25">
      <c r="B637" s="22"/>
      <c r="C637" s="29"/>
      <c r="D637" s="36"/>
      <c r="E637" s="36"/>
      <c r="F637" s="36"/>
      <c r="G637" s="167"/>
      <c r="H637" s="36"/>
      <c r="L637" s="1" t="s">
        <v>233</v>
      </c>
      <c r="M637" s="29" t="s">
        <v>176</v>
      </c>
    </row>
    <row r="638" spans="1:14" ht="18.75" customHeight="1" x14ac:dyDescent="0.3">
      <c r="A638" s="39" t="s">
        <v>119</v>
      </c>
      <c r="C638" s="29"/>
      <c r="D638" s="2">
        <f>StartYear</f>
        <v>2017</v>
      </c>
      <c r="E638" s="2">
        <f>D638+1</f>
        <v>2018</v>
      </c>
      <c r="F638" s="2">
        <f>E638+1</f>
        <v>2019</v>
      </c>
      <c r="G638" s="2">
        <f>F638+1</f>
        <v>2020</v>
      </c>
      <c r="H638" s="2">
        <f>G638+1</f>
        <v>2021</v>
      </c>
      <c r="L638" s="1" t="s">
        <v>233</v>
      </c>
      <c r="M638" s="29" t="s">
        <v>176</v>
      </c>
      <c r="N638" s="228" t="s">
        <v>119</v>
      </c>
    </row>
    <row r="639" spans="1:14" x14ac:dyDescent="0.25">
      <c r="B639" s="57" t="s">
        <v>10</v>
      </c>
      <c r="C639" s="52"/>
      <c r="D639" s="10">
        <f ca="1">IF(VLOOKUP($C630,Facilities,5,FALSE)="Eligible", D636*ApprenticeshipBonus, 0 )</f>
        <v>0</v>
      </c>
      <c r="E639" s="109">
        <f ca="1">IF(VLOOKUP($C630,Facilities,5,FALSE)="Eligible", E636*ApprenticeshipBonus, 0 )</f>
        <v>0</v>
      </c>
      <c r="F639" s="109">
        <f ca="1">IF(VLOOKUP($C630,Facilities,5,FALSE)="Eligible", F636*ApprenticeshipBonus, 0 )</f>
        <v>0</v>
      </c>
      <c r="G639" s="109">
        <f ca="1">IF(VLOOKUP($C630,Facilities,5,FALSE)="Eligible", G636*ApprenticeshipBonus, 0 )</f>
        <v>0</v>
      </c>
      <c r="H639" s="11">
        <f ca="1">IF(VLOOKUP($C630,Facilities,5,FALSE)="Eligible", H636*ApprenticeshipBonus, 0 )</f>
        <v>0</v>
      </c>
      <c r="I639" s="23"/>
      <c r="L639" s="1" t="s">
        <v>233</v>
      </c>
      <c r="M639" s="29" t="s">
        <v>176</v>
      </c>
      <c r="N639" s="228" t="s">
        <v>10</v>
      </c>
    </row>
    <row r="640" spans="1:14" ht="15" customHeight="1" x14ac:dyDescent="0.25">
      <c r="B640" s="57" t="s">
        <v>6</v>
      </c>
      <c r="C640" s="52"/>
      <c r="D640" s="44">
        <f ca="1">IF(VLOOKUP($C630,Facilities,6,FALSE)="Eligible", D636, 0 )</f>
        <v>0</v>
      </c>
      <c r="E640" s="110">
        <f ca="1">IF(VLOOKUP($C630,Facilities,6,FALSE)="Eligible", E636, 0 )</f>
        <v>0</v>
      </c>
      <c r="F640" s="110">
        <f ca="1">IF(VLOOKUP($C630,Facilities,6,FALSE)="Eligible", F636, 0 )</f>
        <v>0</v>
      </c>
      <c r="G640" s="110">
        <f ca="1">IF(VLOOKUP($C630,Facilities,6,FALSE)="Eligible", G636, 0 )</f>
        <v>0</v>
      </c>
      <c r="H640" s="45">
        <f ca="1">IF(VLOOKUP($C630,Facilities,6,FALSE)="Eligible", H636, 0 )</f>
        <v>0</v>
      </c>
      <c r="I640" s="23"/>
      <c r="L640" s="1" t="s">
        <v>233</v>
      </c>
      <c r="M640" s="29" t="s">
        <v>176</v>
      </c>
      <c r="N640" s="228" t="s">
        <v>6</v>
      </c>
    </row>
    <row r="641" spans="1:14" ht="15" customHeight="1" x14ac:dyDescent="0.25">
      <c r="B641" s="56" t="s">
        <v>121</v>
      </c>
      <c r="C641" s="55"/>
      <c r="D641" s="37">
        <f ca="1">SUM(D639:D640)</f>
        <v>0</v>
      </c>
      <c r="E641" s="37">
        <f ca="1">SUM(E639:E640)</f>
        <v>0</v>
      </c>
      <c r="F641" s="37">
        <f ca="1">SUM(F639:F640)</f>
        <v>0</v>
      </c>
      <c r="G641" s="37">
        <f ca="1">SUM(G639:G640)</f>
        <v>0</v>
      </c>
      <c r="H641" s="37">
        <f ca="1">SUM(H639:H640)</f>
        <v>0</v>
      </c>
      <c r="I641" s="23"/>
      <c r="L641" s="1" t="s">
        <v>233</v>
      </c>
      <c r="M641" s="29" t="s">
        <v>176</v>
      </c>
      <c r="N641" s="228" t="s">
        <v>121</v>
      </c>
    </row>
    <row r="642" spans="1:14" ht="15" customHeight="1" x14ac:dyDescent="0.25">
      <c r="B642" s="29"/>
      <c r="C642" s="29"/>
      <c r="D642" s="30"/>
      <c r="E642" s="30"/>
      <c r="F642" s="30"/>
      <c r="G642" s="169"/>
      <c r="H642" s="30"/>
      <c r="I642" s="23"/>
      <c r="L642" s="1" t="s">
        <v>233</v>
      </c>
      <c r="M642" s="29" t="s">
        <v>176</v>
      </c>
    </row>
    <row r="643" spans="1:14" ht="18.75" customHeight="1" x14ac:dyDescent="0.3">
      <c r="A643" s="38" t="s">
        <v>30</v>
      </c>
      <c r="C643" s="29"/>
      <c r="D643" s="2">
        <f>StartYear</f>
        <v>2017</v>
      </c>
      <c r="E643" s="2">
        <f>D643+1</f>
        <v>2018</v>
      </c>
      <c r="F643" s="2">
        <f>E643+1</f>
        <v>2019</v>
      </c>
      <c r="G643" s="2">
        <f>F643+1</f>
        <v>2020</v>
      </c>
      <c r="H643" s="2">
        <f>G643+1</f>
        <v>2021</v>
      </c>
      <c r="I643" s="23"/>
      <c r="L643" s="1" t="s">
        <v>233</v>
      </c>
      <c r="M643" s="29" t="s">
        <v>176</v>
      </c>
      <c r="N643" s="228" t="s">
        <v>30</v>
      </c>
    </row>
    <row r="644" spans="1:14" ht="15" customHeight="1" x14ac:dyDescent="0.25">
      <c r="B644" s="57" t="s">
        <v>47</v>
      </c>
      <c r="C644" s="52"/>
      <c r="D644" s="3"/>
      <c r="E644" s="3"/>
      <c r="F644" s="3"/>
      <c r="G644" s="3"/>
      <c r="H644" s="4"/>
      <c r="I644" s="23"/>
      <c r="L644" s="1" t="s">
        <v>233</v>
      </c>
      <c r="M644" s="29" t="s">
        <v>176</v>
      </c>
      <c r="N644" s="228" t="s">
        <v>47</v>
      </c>
    </row>
    <row r="645" spans="1:14" ht="15" customHeight="1" x14ac:dyDescent="0.25">
      <c r="B645" s="58" t="s">
        <v>23</v>
      </c>
      <c r="C645" s="59"/>
      <c r="D645" s="137"/>
      <c r="E645" s="137"/>
      <c r="F645" s="137"/>
      <c r="G645" s="137"/>
      <c r="H645" s="138"/>
      <c r="I645" s="23"/>
      <c r="L645" s="1" t="s">
        <v>233</v>
      </c>
      <c r="M645" s="29" t="s">
        <v>176</v>
      </c>
      <c r="N645" s="228" t="s">
        <v>23</v>
      </c>
    </row>
    <row r="646" spans="1:14" ht="15" customHeight="1" x14ac:dyDescent="0.25">
      <c r="B646" s="68" t="s">
        <v>89</v>
      </c>
      <c r="C646" s="67"/>
      <c r="D646" s="191"/>
      <c r="E646" s="139"/>
      <c r="F646" s="139"/>
      <c r="G646" s="139"/>
      <c r="H646" s="140"/>
      <c r="I646" s="23"/>
      <c r="L646" s="1" t="s">
        <v>233</v>
      </c>
      <c r="M646" s="29" t="s">
        <v>176</v>
      </c>
      <c r="N646" s="228" t="s">
        <v>89</v>
      </c>
    </row>
    <row r="647" spans="1:14" ht="15" customHeight="1" x14ac:dyDescent="0.25">
      <c r="B647" s="32" t="s">
        <v>90</v>
      </c>
      <c r="D647" s="6">
        <f>SUM(D644:D646)</f>
        <v>0</v>
      </c>
      <c r="E647" s="6">
        <f>SUM(E644:E646)</f>
        <v>0</v>
      </c>
      <c r="F647" s="6">
        <f>SUM(F644:F646)</f>
        <v>0</v>
      </c>
      <c r="G647" s="6">
        <f>SUM(G644:G646)</f>
        <v>0</v>
      </c>
      <c r="H647" s="6">
        <f>SUM(H644:H646)</f>
        <v>0</v>
      </c>
      <c r="I647" s="28"/>
      <c r="L647" s="1" t="s">
        <v>233</v>
      </c>
      <c r="M647" s="29" t="s">
        <v>176</v>
      </c>
      <c r="N647" s="228" t="s">
        <v>90</v>
      </c>
    </row>
    <row r="648" spans="1:14" ht="15" customHeight="1" x14ac:dyDescent="0.25">
      <c r="B648" s="5"/>
      <c r="D648" s="6"/>
      <c r="E648" s="6"/>
      <c r="F648" s="6"/>
      <c r="G648" s="167"/>
      <c r="H648" s="6"/>
      <c r="I648" s="28"/>
      <c r="L648" s="1" t="s">
        <v>233</v>
      </c>
      <c r="M648" s="29" t="s">
        <v>176</v>
      </c>
    </row>
    <row r="649" spans="1:14" ht="18.75" customHeight="1" x14ac:dyDescent="0.3">
      <c r="A649" s="8" t="s">
        <v>100</v>
      </c>
      <c r="D649" s="2">
        <f>StartYear</f>
        <v>2017</v>
      </c>
      <c r="E649" s="2">
        <f>D649+1</f>
        <v>2018</v>
      </c>
      <c r="F649" s="2">
        <f>E649+1</f>
        <v>2019</v>
      </c>
      <c r="G649" s="2">
        <f>F649+1</f>
        <v>2020</v>
      </c>
      <c r="H649" s="2">
        <f>G649+1</f>
        <v>2021</v>
      </c>
      <c r="I649" s="28"/>
      <c r="L649" s="1" t="s">
        <v>233</v>
      </c>
      <c r="M649" s="29" t="s">
        <v>176</v>
      </c>
      <c r="N649" s="228" t="s">
        <v>100</v>
      </c>
    </row>
    <row r="650" spans="1:14" ht="15" customHeight="1" x14ac:dyDescent="0.25">
      <c r="B650" s="57" t="str">
        <f>(StartYear-1) &amp; " Surplus Applied to " &amp; StartYear</f>
        <v>2016 Surplus Applied to 2017</v>
      </c>
      <c r="C650" s="29"/>
      <c r="D650" s="186">
        <v>0</v>
      </c>
      <c r="E650" s="187"/>
      <c r="F650" s="187"/>
      <c r="G650" s="187"/>
      <c r="H650" s="188"/>
      <c r="L650" s="1" t="s">
        <v>233</v>
      </c>
      <c r="M650" s="29" t="s">
        <v>176</v>
      </c>
      <c r="N650" s="228" t="s">
        <v>235</v>
      </c>
    </row>
    <row r="651" spans="1:14" ht="15" customHeight="1" x14ac:dyDescent="0.25">
      <c r="B651" s="57" t="str">
        <f>StartYear &amp; " Surplus Applied to " &amp; (StartYear-1)</f>
        <v>2017 Surplus Applied to 2016</v>
      </c>
      <c r="C651" s="29"/>
      <c r="D651" s="189">
        <v>0</v>
      </c>
      <c r="E651" s="113"/>
      <c r="F651" s="113"/>
      <c r="G651" s="113"/>
      <c r="H651" s="117"/>
      <c r="L651" s="1" t="s">
        <v>233</v>
      </c>
      <c r="M651" s="29" t="s">
        <v>176</v>
      </c>
      <c r="N651" s="228" t="s">
        <v>236</v>
      </c>
    </row>
    <row r="652" spans="1:14" ht="15" customHeight="1" x14ac:dyDescent="0.25">
      <c r="B652" s="57" t="str">
        <f>( StartYear) &amp; " Surplus Applied to " &amp; ( StartYear + 1 )</f>
        <v>2017 Surplus Applied to 2018</v>
      </c>
      <c r="C652" s="29"/>
      <c r="D652" s="184">
        <f ca="1">D636+D641-D647</f>
        <v>0</v>
      </c>
      <c r="E652" s="185">
        <f ca="1">D652</f>
        <v>0</v>
      </c>
      <c r="F652" s="181"/>
      <c r="G652" s="181"/>
      <c r="H652" s="182"/>
      <c r="L652" s="1" t="s">
        <v>233</v>
      </c>
      <c r="M652" s="29" t="s">
        <v>176</v>
      </c>
      <c r="N652" s="228" t="s">
        <v>237</v>
      </c>
    </row>
    <row r="653" spans="1:14" ht="15" customHeight="1" x14ac:dyDescent="0.25">
      <c r="B653" s="57" t="str">
        <f xml:space="preserve"> ( StartYear + 1 ) &amp; " Surplus Applied to " &amp; ( StartYear )</f>
        <v>2018 Surplus Applied to 2017</v>
      </c>
      <c r="C653" s="52"/>
      <c r="D653" s="134">
        <v>0</v>
      </c>
      <c r="E653" s="9">
        <v>0</v>
      </c>
      <c r="F653" s="113"/>
      <c r="G653" s="113"/>
      <c r="H653" s="117"/>
      <c r="L653" s="1" t="s">
        <v>233</v>
      </c>
      <c r="M653" s="29" t="s">
        <v>176</v>
      </c>
      <c r="N653" s="228" t="s">
        <v>238</v>
      </c>
    </row>
    <row r="654" spans="1:14" ht="15" customHeight="1" x14ac:dyDescent="0.25">
      <c r="B654" s="119" t="str">
        <f xml:space="preserve"> ( StartYear + 1 ) &amp; " Surplus Applied to " &amp; ( StartYear + 2 )</f>
        <v>2018 Surplus Applied to 2019</v>
      </c>
      <c r="C654" s="52"/>
      <c r="D654" s="114"/>
      <c r="E654" s="9">
        <v>0</v>
      </c>
      <c r="F654" s="51">
        <f>E654</f>
        <v>0</v>
      </c>
      <c r="G654" s="113"/>
      <c r="H654" s="117"/>
      <c r="L654" s="1" t="s">
        <v>233</v>
      </c>
      <c r="M654" s="29" t="s">
        <v>176</v>
      </c>
      <c r="N654" s="228" t="s">
        <v>239</v>
      </c>
    </row>
    <row r="655" spans="1:14" ht="15" customHeight="1" x14ac:dyDescent="0.25">
      <c r="B655" s="119" t="str">
        <f xml:space="preserve"> ( StartYear + 2 ) &amp; " Surplus Applied to " &amp; ( StartYear + 1 )</f>
        <v>2019 Surplus Applied to 2018</v>
      </c>
      <c r="C655" s="52"/>
      <c r="D655" s="114"/>
      <c r="E655" s="51">
        <v>0</v>
      </c>
      <c r="F655" s="9">
        <v>0</v>
      </c>
      <c r="G655" s="113"/>
      <c r="H655" s="117"/>
      <c r="L655" s="1" t="s">
        <v>233</v>
      </c>
      <c r="M655" s="29" t="s">
        <v>176</v>
      </c>
      <c r="N655" s="228" t="s">
        <v>240</v>
      </c>
    </row>
    <row r="656" spans="1:14" ht="15" customHeight="1" x14ac:dyDescent="0.25">
      <c r="B656" s="165" t="str">
        <f xml:space="preserve"> ( StartYear + 2 ) &amp; " Surplus Applied to " &amp; ( StartYear + 3 )</f>
        <v>2019 Surplus Applied to 2020</v>
      </c>
      <c r="C656" s="29"/>
      <c r="D656" s="114"/>
      <c r="E656" s="113"/>
      <c r="F656" s="9">
        <v>8708</v>
      </c>
      <c r="G656" s="51">
        <f>F656</f>
        <v>8708</v>
      </c>
      <c r="H656" s="117"/>
      <c r="L656" s="1" t="s">
        <v>233</v>
      </c>
      <c r="M656" s="29" t="s">
        <v>176</v>
      </c>
      <c r="N656" s="228" t="s">
        <v>241</v>
      </c>
    </row>
    <row r="657" spans="1:14" ht="15" customHeight="1" x14ac:dyDescent="0.25">
      <c r="B657" s="165" t="str">
        <f xml:space="preserve"> ( StartYear + 3 ) &amp; " Surplus Applied to " &amp; ( StartYear + 2 )</f>
        <v>2020 Surplus Applied to 2019</v>
      </c>
      <c r="C657" s="29"/>
      <c r="D657" s="114"/>
      <c r="E657" s="113"/>
      <c r="F657" s="51">
        <v>0</v>
      </c>
      <c r="G657" s="9">
        <v>0</v>
      </c>
      <c r="H657" s="117"/>
      <c r="L657" s="1" t="s">
        <v>233</v>
      </c>
      <c r="M657" s="29" t="s">
        <v>176</v>
      </c>
      <c r="N657" s="228" t="s">
        <v>242</v>
      </c>
    </row>
    <row r="658" spans="1:14" ht="15" customHeight="1" x14ac:dyDescent="0.25">
      <c r="B658" s="165" t="str">
        <f xml:space="preserve"> ( StartYear + 3 ) &amp; " Surplus Applied to " &amp; ( StartYear + 4 )</f>
        <v>2020 Surplus Applied to 2021</v>
      </c>
      <c r="C658" s="29"/>
      <c r="D658" s="114"/>
      <c r="E658" s="113"/>
      <c r="F658" s="113"/>
      <c r="G658" s="9">
        <f ca="1">G636+G641-G647</f>
        <v>0</v>
      </c>
      <c r="H658" s="46">
        <f ca="1">G658</f>
        <v>0</v>
      </c>
      <c r="L658" s="1" t="s">
        <v>233</v>
      </c>
      <c r="M658" s="29" t="s">
        <v>176</v>
      </c>
      <c r="N658" s="228" t="s">
        <v>243</v>
      </c>
    </row>
    <row r="659" spans="1:14" ht="15" customHeight="1" x14ac:dyDescent="0.25">
      <c r="B659" s="165" t="str">
        <f xml:space="preserve"> ( StartYear + 4 ) &amp; " Surplus Applied to " &amp; ( StartYear + 3 )</f>
        <v>2021 Surplus Applied to 2020</v>
      </c>
      <c r="C659" s="29"/>
      <c r="D659" s="115"/>
      <c r="E659" s="116"/>
      <c r="F659" s="116"/>
      <c r="G659" s="47">
        <v>0</v>
      </c>
      <c r="H659" s="41">
        <v>0</v>
      </c>
      <c r="L659" s="1" t="s">
        <v>233</v>
      </c>
      <c r="M659" s="29" t="s">
        <v>176</v>
      </c>
      <c r="N659" s="228" t="s">
        <v>244</v>
      </c>
    </row>
    <row r="660" spans="1:14" ht="15" customHeight="1" x14ac:dyDescent="0.25">
      <c r="B660" s="32" t="s">
        <v>17</v>
      </c>
      <c r="D660" s="6">
        <f ca="1">D650-D651+D653-D652</f>
        <v>0</v>
      </c>
      <c r="E660" s="6">
        <f ca="1">E652+E655-E653-E654</f>
        <v>0</v>
      </c>
      <c r="F660" s="6">
        <f>F654+F657-F655-F656</f>
        <v>-8708</v>
      </c>
      <c r="G660" s="6">
        <f ca="1">G656+G659-G657-G658</f>
        <v>8708</v>
      </c>
      <c r="H660" s="6">
        <f ca="1">H658 - H659</f>
        <v>0</v>
      </c>
      <c r="L660" s="1" t="s">
        <v>233</v>
      </c>
      <c r="M660" s="29" t="s">
        <v>176</v>
      </c>
      <c r="N660" s="228" t="s">
        <v>17</v>
      </c>
    </row>
    <row r="661" spans="1:14" ht="15" customHeight="1" x14ac:dyDescent="0.25">
      <c r="B661" s="5"/>
      <c r="D661" s="6"/>
      <c r="E661" s="6"/>
      <c r="F661" s="6"/>
      <c r="G661" s="6"/>
      <c r="H661" s="6"/>
      <c r="I661" s="28"/>
      <c r="L661" s="1" t="s">
        <v>233</v>
      </c>
      <c r="M661" s="29" t="s">
        <v>176</v>
      </c>
    </row>
    <row r="662" spans="1:14" ht="15" customHeight="1" x14ac:dyDescent="0.25">
      <c r="B662" s="54" t="s">
        <v>12</v>
      </c>
      <c r="C662" s="52"/>
      <c r="D662" s="75"/>
      <c r="E662" s="111"/>
      <c r="F662" s="111"/>
      <c r="G662" s="111"/>
      <c r="H662" s="76"/>
      <c r="I662" s="28"/>
      <c r="L662" s="1" t="s">
        <v>233</v>
      </c>
      <c r="M662" s="29" t="s">
        <v>176</v>
      </c>
      <c r="N662" s="228" t="s">
        <v>12</v>
      </c>
    </row>
    <row r="663" spans="1:14" ht="15" customHeight="1" x14ac:dyDescent="0.25">
      <c r="B663" s="5"/>
      <c r="D663" s="6"/>
      <c r="E663" s="6"/>
      <c r="F663" s="6"/>
      <c r="G663" s="6"/>
      <c r="H663" s="6"/>
      <c r="I663" s="28"/>
      <c r="L663" s="1" t="s">
        <v>233</v>
      </c>
      <c r="M663" s="29" t="s">
        <v>176</v>
      </c>
    </row>
    <row r="664" spans="1:14" ht="18.75" customHeight="1" x14ac:dyDescent="0.3">
      <c r="A664" s="38" t="s">
        <v>26</v>
      </c>
      <c r="C664" s="52">
        <f>A630</f>
        <v>16</v>
      </c>
      <c r="D664" s="112">
        <f ca="1" xml:space="preserve"> D636 + D641 - D647 + D660 + D662</f>
        <v>0</v>
      </c>
      <c r="E664" s="112">
        <f ca="1" xml:space="preserve"> E636 + E641 - E647 + E660 + E662</f>
        <v>0</v>
      </c>
      <c r="F664" s="112">
        <f ca="1" xml:space="preserve"> F636 + F641 - F647 + F660 + F662</f>
        <v>0</v>
      </c>
      <c r="G664" s="112">
        <f ca="1" xml:space="preserve"> G636 + G641 - G647 + G660 + G662</f>
        <v>8708</v>
      </c>
      <c r="H664" s="174">
        <f ca="1" xml:space="preserve"> H636 + H641 - H647 + H660 + H662</f>
        <v>0</v>
      </c>
      <c r="I664" s="29"/>
      <c r="L664" s="1" t="s">
        <v>233</v>
      </c>
      <c r="M664" s="29" t="s">
        <v>176</v>
      </c>
      <c r="N664" s="228" t="s">
        <v>26</v>
      </c>
    </row>
    <row r="665" spans="1:14" ht="15" customHeight="1" x14ac:dyDescent="0.25">
      <c r="B665" s="5"/>
      <c r="C665" s="108" t="s">
        <v>158</v>
      </c>
      <c r="D665" s="6"/>
      <c r="E665" s="6"/>
      <c r="F665" s="28"/>
      <c r="G665" s="28"/>
      <c r="H665" s="28"/>
      <c r="I665" s="29"/>
      <c r="L665" s="1" t="s">
        <v>233</v>
      </c>
      <c r="M665" s="29" t="s">
        <v>176</v>
      </c>
      <c r="N665" s="228" t="s">
        <v>158</v>
      </c>
    </row>
    <row r="666" spans="1:14" ht="15.75" customHeight="1" thickBot="1" x14ac:dyDescent="0.3">
      <c r="I666" s="24"/>
      <c r="L666" s="1" t="s">
        <v>233</v>
      </c>
      <c r="M666" s="29" t="s">
        <v>176</v>
      </c>
    </row>
    <row r="667" spans="1:14" ht="15" customHeight="1" x14ac:dyDescent="0.25">
      <c r="A667" s="7"/>
      <c r="B667" s="7"/>
      <c r="C667" s="7"/>
      <c r="D667" s="170"/>
      <c r="E667" s="7"/>
      <c r="F667" s="7"/>
      <c r="G667" s="7"/>
      <c r="H667" s="7"/>
      <c r="I667" s="23"/>
      <c r="L667" s="1" t="s">
        <v>233</v>
      </c>
      <c r="M667" s="29" t="s">
        <v>176</v>
      </c>
    </row>
    <row r="668" spans="1:14" ht="21" customHeight="1" x14ac:dyDescent="0.35">
      <c r="A668" s="12">
        <f>MAX(A$1:A667)+1</f>
        <v>17</v>
      </c>
      <c r="B668" s="12"/>
      <c r="C668" s="214" t="str">
        <f ca="1">OFFSET($B$4,A668-1,0)</f>
        <v>Goodnoe Hills - Goodnoe Hills</v>
      </c>
      <c r="D668" s="215"/>
      <c r="E668" s="216"/>
      <c r="F668" s="216"/>
      <c r="G668" s="217"/>
      <c r="H668" s="218"/>
      <c r="L668" s="1" t="s">
        <v>233</v>
      </c>
      <c r="M668" s="29" t="s">
        <v>207</v>
      </c>
      <c r="N668" s="228">
        <v>19</v>
      </c>
    </row>
    <row r="669" spans="1:14" ht="15" customHeight="1" x14ac:dyDescent="0.25">
      <c r="C669" s="1" t="str">
        <f ca="1">VLOOKUP(C668,Facilities,3,FALSE)</f>
        <v>REC only</v>
      </c>
      <c r="D669" s="1"/>
      <c r="L669" s="1" t="s">
        <v>233</v>
      </c>
      <c r="M669" s="29" t="s">
        <v>207</v>
      </c>
      <c r="N669" s="228" t="s">
        <v>181</v>
      </c>
    </row>
    <row r="670" spans="1:14" ht="18.75" customHeight="1" x14ac:dyDescent="0.3">
      <c r="A670" s="8" t="s">
        <v>21</v>
      </c>
      <c r="B670" s="8"/>
      <c r="D670" s="2">
        <f>StartYear</f>
        <v>2017</v>
      </c>
      <c r="E670" s="2">
        <f>D670+1</f>
        <v>2018</v>
      </c>
      <c r="F670" s="2">
        <f>E670+1</f>
        <v>2019</v>
      </c>
      <c r="G670" s="2">
        <f>F670+1</f>
        <v>2020</v>
      </c>
      <c r="H670" s="2">
        <f>G670+1</f>
        <v>2021</v>
      </c>
      <c r="L670" s="1" t="s">
        <v>233</v>
      </c>
      <c r="M670" s="29" t="s">
        <v>207</v>
      </c>
      <c r="N670" s="228" t="s">
        <v>21</v>
      </c>
    </row>
    <row r="671" spans="1:14" ht="15" customHeight="1" x14ac:dyDescent="0.25">
      <c r="B671" s="119" t="str">
        <f ca="1">IF(C707&lt;&gt;"REC only","Total MWh ","")&amp;IF(C669="PSE owned","Produced","Purchased")&amp;" from "&amp;C668</f>
        <v>Purchased from Goodnoe Hills - Goodnoe Hills</v>
      </c>
      <c r="C671" s="52"/>
      <c r="D671" s="3"/>
      <c r="E671" s="3"/>
      <c r="F671" s="3"/>
      <c r="G671" s="3">
        <v>6000</v>
      </c>
      <c r="H671" s="4"/>
      <c r="L671" s="1" t="s">
        <v>233</v>
      </c>
      <c r="M671" s="231" t="s">
        <v>207</v>
      </c>
      <c r="N671" s="228" t="s">
        <v>260</v>
      </c>
    </row>
    <row r="672" spans="1:14" ht="15" customHeight="1" x14ac:dyDescent="0.25">
      <c r="B672" s="57" t="s">
        <v>25</v>
      </c>
      <c r="C672" s="52"/>
      <c r="D672" s="132"/>
      <c r="E672" s="132"/>
      <c r="F672" s="132"/>
      <c r="G672" s="132">
        <v>1</v>
      </c>
      <c r="H672" s="133"/>
      <c r="L672" s="1" t="s">
        <v>233</v>
      </c>
      <c r="M672" s="29" t="s">
        <v>207</v>
      </c>
      <c r="N672" s="228" t="s">
        <v>25</v>
      </c>
    </row>
    <row r="673" spans="1:14" ht="15" customHeight="1" x14ac:dyDescent="0.25">
      <c r="B673" s="57" t="s">
        <v>20</v>
      </c>
      <c r="C673" s="52"/>
      <c r="D673" s="42"/>
      <c r="E673" s="42"/>
      <c r="F673" s="42"/>
      <c r="G673" s="42">
        <v>1</v>
      </c>
      <c r="H673" s="43"/>
      <c r="L673" s="1" t="s">
        <v>233</v>
      </c>
      <c r="M673" s="29" t="s">
        <v>207</v>
      </c>
      <c r="N673" s="228" t="s">
        <v>20</v>
      </c>
    </row>
    <row r="674" spans="1:14" ht="15" customHeight="1" x14ac:dyDescent="0.25">
      <c r="B674" s="54" t="s">
        <v>22</v>
      </c>
      <c r="C674" s="55"/>
      <c r="D674" s="131">
        <f xml:space="preserve"> D671 * D672 * D673</f>
        <v>0</v>
      </c>
      <c r="E674" s="131">
        <f xml:space="preserve"> E671 * E672 * E673</f>
        <v>0</v>
      </c>
      <c r="F674" s="131">
        <f xml:space="preserve"> ROUNDDOWN(F671 * F672 * F673,0)</f>
        <v>0</v>
      </c>
      <c r="G674" s="131">
        <f xml:space="preserve"> ROUNDDOWN(G671 * G672 * G673,0)</f>
        <v>6000</v>
      </c>
      <c r="H674" s="131">
        <f xml:space="preserve"> ROUNDDOWN(H671 * H672 * H673,0)</f>
        <v>0</v>
      </c>
      <c r="L674" s="1" t="s">
        <v>233</v>
      </c>
      <c r="M674" s="29" t="s">
        <v>207</v>
      </c>
      <c r="N674" s="228" t="s">
        <v>22</v>
      </c>
    </row>
    <row r="675" spans="1:14" ht="15" customHeight="1" x14ac:dyDescent="0.25">
      <c r="B675" s="22"/>
      <c r="C675" s="29"/>
      <c r="D675" s="36"/>
      <c r="E675" s="36"/>
      <c r="F675" s="36"/>
      <c r="G675" s="167"/>
      <c r="H675" s="36"/>
      <c r="L675" s="1" t="s">
        <v>233</v>
      </c>
      <c r="M675" s="29" t="s">
        <v>207</v>
      </c>
    </row>
    <row r="676" spans="1:14" ht="18.75" customHeight="1" x14ac:dyDescent="0.3">
      <c r="A676" s="39" t="s">
        <v>119</v>
      </c>
      <c r="C676" s="29"/>
      <c r="D676" s="2">
        <f>D670</f>
        <v>2017</v>
      </c>
      <c r="E676" s="2">
        <f>D676+1</f>
        <v>2018</v>
      </c>
      <c r="F676" s="2">
        <f>E676+1</f>
        <v>2019</v>
      </c>
      <c r="G676" s="2">
        <f>F676+1</f>
        <v>2020</v>
      </c>
      <c r="H676" s="2">
        <f>G676+1</f>
        <v>2021</v>
      </c>
      <c r="L676" s="1" t="s">
        <v>233</v>
      </c>
      <c r="M676" s="29" t="s">
        <v>207</v>
      </c>
      <c r="N676" s="228" t="s">
        <v>119</v>
      </c>
    </row>
    <row r="677" spans="1:14" x14ac:dyDescent="0.25">
      <c r="B677" s="57" t="s">
        <v>10</v>
      </c>
      <c r="C677" s="52"/>
      <c r="D677" s="10">
        <f ca="1">IF(VLOOKUP($C668,Facilities,5,FALSE)="Eligible", D674*ApprenticeshipBonus, 0 )</f>
        <v>0</v>
      </c>
      <c r="E677" s="109">
        <f ca="1">IF(VLOOKUP($C668,Facilities,5,FALSE)="Eligible", E674*ApprenticeshipBonus, 0 )</f>
        <v>0</v>
      </c>
      <c r="F677" s="109">
        <f ca="1">IF(VLOOKUP($C668,Facilities,5,FALSE)="Eligible", F674*ApprenticeshipBonus, 0 )</f>
        <v>0</v>
      </c>
      <c r="G677" s="109">
        <f ca="1">IF(VLOOKUP($C668,Facilities,5,FALSE)="Eligible", G674*ApprenticeshipBonus, 0 )</f>
        <v>0</v>
      </c>
      <c r="H677" s="11">
        <f ca="1">IF(VLOOKUP($C668,Facilities,5,FALSE)="Eligible", H674*ApprenticeshipBonus, 0 )</f>
        <v>0</v>
      </c>
      <c r="L677" s="1" t="s">
        <v>233</v>
      </c>
      <c r="M677" s="29" t="s">
        <v>207</v>
      </c>
      <c r="N677" s="228" t="s">
        <v>10</v>
      </c>
    </row>
    <row r="678" spans="1:14" ht="15" customHeight="1" x14ac:dyDescent="0.25">
      <c r="B678" s="57" t="s">
        <v>6</v>
      </c>
      <c r="C678" s="52"/>
      <c r="D678" s="44">
        <f ca="1">IF(VLOOKUP($C668,Facilities,6,FALSE)="Eligible", D674, 0 )</f>
        <v>0</v>
      </c>
      <c r="E678" s="110">
        <f ca="1">IF(VLOOKUP($C668,Facilities,6,FALSE)="Eligible", E674, 0 )</f>
        <v>0</v>
      </c>
      <c r="F678" s="110">
        <f ca="1">IF(VLOOKUP($C668,Facilities,6,FALSE)="Eligible", F674, 0 )</f>
        <v>0</v>
      </c>
      <c r="G678" s="110">
        <f ca="1">IF(VLOOKUP($C668,Facilities,6,FALSE)="Eligible", G674, 0 )</f>
        <v>0</v>
      </c>
      <c r="H678" s="45">
        <f ca="1">IF(VLOOKUP($C668,Facilities,6,FALSE)="Eligible", H674, 0 )</f>
        <v>0</v>
      </c>
      <c r="L678" s="1" t="s">
        <v>233</v>
      </c>
      <c r="M678" s="29" t="s">
        <v>207</v>
      </c>
      <c r="N678" s="228" t="s">
        <v>6</v>
      </c>
    </row>
    <row r="679" spans="1:14" ht="15" customHeight="1" x14ac:dyDescent="0.25">
      <c r="B679" s="56" t="s">
        <v>121</v>
      </c>
      <c r="C679" s="55"/>
      <c r="D679" s="37">
        <f ca="1">SUM(D677:D678)</f>
        <v>0</v>
      </c>
      <c r="E679" s="37">
        <f ca="1">SUM(E677:E678)</f>
        <v>0</v>
      </c>
      <c r="F679" s="37">
        <f ca="1">SUM(F677:F678)</f>
        <v>0</v>
      </c>
      <c r="G679" s="37">
        <f ca="1">SUM(G677:G678)</f>
        <v>0</v>
      </c>
      <c r="H679" s="37">
        <f ca="1">SUM(H677:H678)</f>
        <v>0</v>
      </c>
      <c r="L679" s="1" t="s">
        <v>233</v>
      </c>
      <c r="M679" s="29" t="s">
        <v>207</v>
      </c>
      <c r="N679" s="228" t="s">
        <v>121</v>
      </c>
    </row>
    <row r="680" spans="1:14" ht="15" customHeight="1" x14ac:dyDescent="0.25">
      <c r="B680" s="29"/>
      <c r="C680" s="29"/>
      <c r="D680" s="30"/>
      <c r="E680" s="30"/>
      <c r="F680" s="30"/>
      <c r="G680" s="169"/>
      <c r="H680" s="30"/>
      <c r="L680" s="1" t="s">
        <v>233</v>
      </c>
      <c r="M680" s="29" t="s">
        <v>207</v>
      </c>
    </row>
    <row r="681" spans="1:14" ht="18.75" customHeight="1" x14ac:dyDescent="0.3">
      <c r="A681" s="38" t="s">
        <v>30</v>
      </c>
      <c r="C681" s="29"/>
      <c r="D681" s="2">
        <f>D670</f>
        <v>2017</v>
      </c>
      <c r="E681" s="2">
        <f>D681+1</f>
        <v>2018</v>
      </c>
      <c r="F681" s="2">
        <f>E681+1</f>
        <v>2019</v>
      </c>
      <c r="G681" s="2">
        <f>F681+1</f>
        <v>2020</v>
      </c>
      <c r="H681" s="2">
        <f>G681+1</f>
        <v>2021</v>
      </c>
      <c r="L681" s="1" t="s">
        <v>233</v>
      </c>
      <c r="M681" s="29" t="s">
        <v>207</v>
      </c>
      <c r="N681" s="228" t="s">
        <v>30</v>
      </c>
    </row>
    <row r="682" spans="1:14" ht="15" customHeight="1" x14ac:dyDescent="0.25">
      <c r="B682" s="57" t="s">
        <v>47</v>
      </c>
      <c r="C682" s="52"/>
      <c r="D682" s="3">
        <v>0</v>
      </c>
      <c r="E682" s="3">
        <v>0</v>
      </c>
      <c r="F682" s="3">
        <v>0</v>
      </c>
      <c r="G682" s="3">
        <v>0</v>
      </c>
      <c r="H682" s="4">
        <v>0</v>
      </c>
      <c r="L682" s="1" t="s">
        <v>233</v>
      </c>
      <c r="M682" s="29" t="s">
        <v>207</v>
      </c>
      <c r="N682" s="228" t="s">
        <v>47</v>
      </c>
    </row>
    <row r="683" spans="1:14" ht="15" customHeight="1" x14ac:dyDescent="0.25">
      <c r="B683" s="58" t="s">
        <v>23</v>
      </c>
      <c r="C683" s="59"/>
      <c r="D683" s="137">
        <v>0</v>
      </c>
      <c r="E683" s="137">
        <v>0</v>
      </c>
      <c r="F683" s="137">
        <v>0</v>
      </c>
      <c r="G683" s="137">
        <v>0</v>
      </c>
      <c r="H683" s="138">
        <v>0</v>
      </c>
      <c r="L683" s="1" t="s">
        <v>233</v>
      </c>
      <c r="M683" s="29" t="s">
        <v>207</v>
      </c>
      <c r="N683" s="228" t="s">
        <v>23</v>
      </c>
    </row>
    <row r="684" spans="1:14" ht="15" customHeight="1" x14ac:dyDescent="0.25">
      <c r="B684" s="68" t="s">
        <v>89</v>
      </c>
      <c r="C684" s="67"/>
      <c r="D684" s="191">
        <v>0</v>
      </c>
      <c r="E684" s="139">
        <v>0</v>
      </c>
      <c r="F684" s="139">
        <v>0</v>
      </c>
      <c r="G684" s="139">
        <v>0</v>
      </c>
      <c r="H684" s="140">
        <v>0</v>
      </c>
      <c r="L684" s="1" t="s">
        <v>233</v>
      </c>
      <c r="M684" s="29" t="s">
        <v>207</v>
      </c>
      <c r="N684" s="228" t="s">
        <v>89</v>
      </c>
    </row>
    <row r="685" spans="1:14" ht="15" customHeight="1" x14ac:dyDescent="0.25">
      <c r="B685" s="32" t="s">
        <v>90</v>
      </c>
      <c r="D685" s="6">
        <f>SUM(D682:D684)</f>
        <v>0</v>
      </c>
      <c r="E685" s="6">
        <f>SUM(E682:E684)</f>
        <v>0</v>
      </c>
      <c r="F685" s="6">
        <f>SUM(F682:F684)</f>
        <v>0</v>
      </c>
      <c r="G685" s="6">
        <f>SUM(G682:G684)</f>
        <v>0</v>
      </c>
      <c r="H685" s="6">
        <f>SUM(H682:H684)</f>
        <v>0</v>
      </c>
      <c r="L685" s="1" t="s">
        <v>233</v>
      </c>
      <c r="M685" s="29" t="s">
        <v>207</v>
      </c>
      <c r="N685" s="228" t="s">
        <v>90</v>
      </c>
    </row>
    <row r="686" spans="1:14" ht="15" customHeight="1" x14ac:dyDescent="0.25">
      <c r="B686" s="5"/>
      <c r="D686" s="6"/>
      <c r="E686" s="6"/>
      <c r="F686" s="6"/>
      <c r="G686" s="167"/>
      <c r="H686" s="6"/>
      <c r="L686" s="1" t="s">
        <v>233</v>
      </c>
      <c r="M686" s="29" t="s">
        <v>207</v>
      </c>
    </row>
    <row r="687" spans="1:14" ht="18.75" customHeight="1" x14ac:dyDescent="0.3">
      <c r="A687" s="8" t="s">
        <v>100</v>
      </c>
      <c r="D687" s="2">
        <f>D670</f>
        <v>2017</v>
      </c>
      <c r="E687" s="2">
        <f>D687+1</f>
        <v>2018</v>
      </c>
      <c r="F687" s="2">
        <f>E687+1</f>
        <v>2019</v>
      </c>
      <c r="G687" s="2">
        <f>F687+1</f>
        <v>2020</v>
      </c>
      <c r="H687" s="2">
        <f>G687+1</f>
        <v>2021</v>
      </c>
      <c r="L687" s="1" t="s">
        <v>233</v>
      </c>
      <c r="M687" s="29" t="s">
        <v>207</v>
      </c>
      <c r="N687" s="228" t="s">
        <v>100</v>
      </c>
    </row>
    <row r="688" spans="1:14" ht="15" customHeight="1" x14ac:dyDescent="0.25">
      <c r="B688" s="57" t="str">
        <f>(StartYear-1) &amp; " Surplus Applied to " &amp; StartYear</f>
        <v>2016 Surplus Applied to 2017</v>
      </c>
      <c r="C688" s="29"/>
      <c r="D688" s="186">
        <v>0</v>
      </c>
      <c r="E688" s="187"/>
      <c r="F688" s="187"/>
      <c r="G688" s="187"/>
      <c r="H688" s="188"/>
      <c r="L688" s="1" t="s">
        <v>233</v>
      </c>
      <c r="M688" s="29" t="s">
        <v>207</v>
      </c>
      <c r="N688" s="228" t="s">
        <v>235</v>
      </c>
    </row>
    <row r="689" spans="1:14" ht="15" customHeight="1" x14ac:dyDescent="0.25">
      <c r="B689" s="57" t="str">
        <f>StartYear &amp; " Surplus Applied to " &amp; (StartYear-1)</f>
        <v>2017 Surplus Applied to 2016</v>
      </c>
      <c r="C689" s="29"/>
      <c r="D689" s="189">
        <v>0</v>
      </c>
      <c r="E689" s="113"/>
      <c r="F689" s="113"/>
      <c r="G689" s="113"/>
      <c r="H689" s="117"/>
      <c r="L689" s="1" t="s">
        <v>233</v>
      </c>
      <c r="M689" s="29" t="s">
        <v>207</v>
      </c>
      <c r="N689" s="228" t="s">
        <v>236</v>
      </c>
    </row>
    <row r="690" spans="1:14" ht="15" customHeight="1" x14ac:dyDescent="0.25">
      <c r="B690" s="57" t="str">
        <f>( StartYear) &amp; " Surplus Applied to " &amp; ( StartYear + 1 )</f>
        <v>2017 Surplus Applied to 2018</v>
      </c>
      <c r="C690" s="29"/>
      <c r="D690" s="184">
        <v>0</v>
      </c>
      <c r="E690" s="185">
        <f>D690</f>
        <v>0</v>
      </c>
      <c r="F690" s="181"/>
      <c r="G690" s="181"/>
      <c r="H690" s="182"/>
      <c r="L690" s="1" t="s">
        <v>233</v>
      </c>
      <c r="M690" s="29" t="s">
        <v>207</v>
      </c>
      <c r="N690" s="228" t="s">
        <v>237</v>
      </c>
    </row>
    <row r="691" spans="1:14" ht="15" customHeight="1" x14ac:dyDescent="0.25">
      <c r="B691" s="57" t="str">
        <f xml:space="preserve"> ( StartYear + 1 ) &amp; " Surplus Applied to " &amp; ( StartYear )</f>
        <v>2018 Surplus Applied to 2017</v>
      </c>
      <c r="C691" s="52"/>
      <c r="D691" s="134">
        <v>0</v>
      </c>
      <c r="E691" s="9">
        <v>0</v>
      </c>
      <c r="F691" s="113"/>
      <c r="G691" s="113"/>
      <c r="H691" s="117"/>
      <c r="L691" s="1" t="s">
        <v>233</v>
      </c>
      <c r="M691" s="29" t="s">
        <v>207</v>
      </c>
      <c r="N691" s="228" t="s">
        <v>238</v>
      </c>
    </row>
    <row r="692" spans="1:14" ht="15" customHeight="1" x14ac:dyDescent="0.25">
      <c r="B692" s="119" t="str">
        <f xml:space="preserve"> ( StartYear + 1 ) &amp; " Surplus Applied to " &amp; ( StartYear + 2 )</f>
        <v>2018 Surplus Applied to 2019</v>
      </c>
      <c r="C692" s="52"/>
      <c r="D692" s="114"/>
      <c r="E692" s="9">
        <v>0</v>
      </c>
      <c r="F692" s="51">
        <f>E692</f>
        <v>0</v>
      </c>
      <c r="G692" s="113"/>
      <c r="H692" s="117"/>
      <c r="L692" s="1" t="s">
        <v>233</v>
      </c>
      <c r="M692" s="29" t="s">
        <v>207</v>
      </c>
      <c r="N692" s="228" t="s">
        <v>239</v>
      </c>
    </row>
    <row r="693" spans="1:14" ht="15" customHeight="1" x14ac:dyDescent="0.25">
      <c r="B693" s="119" t="str">
        <f xml:space="preserve"> ( StartYear + 2 ) &amp; " Surplus Applied to " &amp; ( StartYear + 1 )</f>
        <v>2019 Surplus Applied to 2018</v>
      </c>
      <c r="C693" s="52"/>
      <c r="D693" s="114"/>
      <c r="E693" s="51">
        <v>0</v>
      </c>
      <c r="F693" s="9">
        <v>0</v>
      </c>
      <c r="G693" s="113"/>
      <c r="H693" s="117"/>
      <c r="L693" s="1" t="s">
        <v>233</v>
      </c>
      <c r="M693" s="29" t="s">
        <v>207</v>
      </c>
      <c r="N693" s="228" t="s">
        <v>240</v>
      </c>
    </row>
    <row r="694" spans="1:14" ht="15" customHeight="1" x14ac:dyDescent="0.25">
      <c r="B694" s="165" t="str">
        <f xml:space="preserve"> ( StartYear + 2 ) &amp; " Surplus Applied to " &amp; ( StartYear + 3 )</f>
        <v>2019 Surplus Applied to 2020</v>
      </c>
      <c r="C694" s="29"/>
      <c r="D694" s="114"/>
      <c r="E694" s="113"/>
      <c r="F694" s="9">
        <v>0</v>
      </c>
      <c r="G694" s="51">
        <f>F694</f>
        <v>0</v>
      </c>
      <c r="H694" s="117"/>
      <c r="L694" s="1" t="s">
        <v>233</v>
      </c>
      <c r="M694" s="29" t="s">
        <v>207</v>
      </c>
      <c r="N694" s="228" t="s">
        <v>241</v>
      </c>
    </row>
    <row r="695" spans="1:14" ht="15" customHeight="1" x14ac:dyDescent="0.25">
      <c r="B695" s="165" t="str">
        <f xml:space="preserve"> ( StartYear + 3 ) &amp; " Surplus Applied to " &amp; ( StartYear + 2 )</f>
        <v>2020 Surplus Applied to 2019</v>
      </c>
      <c r="C695" s="29"/>
      <c r="D695" s="114"/>
      <c r="E695" s="113"/>
      <c r="F695" s="51">
        <v>0</v>
      </c>
      <c r="G695" s="9">
        <v>0</v>
      </c>
      <c r="H695" s="117"/>
      <c r="L695" s="1" t="s">
        <v>233</v>
      </c>
      <c r="M695" s="29" t="s">
        <v>207</v>
      </c>
      <c r="N695" s="228" t="s">
        <v>242</v>
      </c>
    </row>
    <row r="696" spans="1:14" ht="15" customHeight="1" x14ac:dyDescent="0.25">
      <c r="B696" s="165" t="str">
        <f xml:space="preserve"> ( StartYear + 3 ) &amp; " Surplus Applied to " &amp; ( StartYear + 4 )</f>
        <v>2020 Surplus Applied to 2021</v>
      </c>
      <c r="C696" s="29"/>
      <c r="D696" s="114"/>
      <c r="E696" s="113"/>
      <c r="F696" s="113"/>
      <c r="G696" s="9">
        <v>0</v>
      </c>
      <c r="H696" s="46">
        <f>G696</f>
        <v>0</v>
      </c>
      <c r="L696" s="1" t="s">
        <v>233</v>
      </c>
      <c r="M696" s="29" t="s">
        <v>207</v>
      </c>
      <c r="N696" s="228" t="s">
        <v>243</v>
      </c>
    </row>
    <row r="697" spans="1:14" ht="15" customHeight="1" x14ac:dyDescent="0.25">
      <c r="B697" s="165" t="str">
        <f xml:space="preserve"> ( StartYear + 4 ) &amp; " Surplus Applied to " &amp; ( StartYear + 3 )</f>
        <v>2021 Surplus Applied to 2020</v>
      </c>
      <c r="C697" s="29"/>
      <c r="D697" s="115"/>
      <c r="E697" s="116"/>
      <c r="F697" s="116"/>
      <c r="G697" s="47">
        <v>0</v>
      </c>
      <c r="H697" s="41">
        <v>0</v>
      </c>
      <c r="L697" s="1" t="s">
        <v>233</v>
      </c>
      <c r="M697" s="29" t="s">
        <v>207</v>
      </c>
      <c r="N697" s="228" t="s">
        <v>244</v>
      </c>
    </row>
    <row r="698" spans="1:14" ht="15" customHeight="1" x14ac:dyDescent="0.25">
      <c r="B698" s="32" t="s">
        <v>17</v>
      </c>
      <c r="D698" s="6">
        <f>D688-D689+D691-D690</f>
        <v>0</v>
      </c>
      <c r="E698" s="6">
        <f>E690+E693-E691-E692</f>
        <v>0</v>
      </c>
      <c r="F698" s="6">
        <f>F692+F695-F693-F694</f>
        <v>0</v>
      </c>
      <c r="G698" s="6">
        <f>G694+G697-G695-G696</f>
        <v>0</v>
      </c>
      <c r="H698" s="6">
        <f>H696 - H697</f>
        <v>0</v>
      </c>
      <c r="L698" s="1" t="s">
        <v>233</v>
      </c>
      <c r="M698" s="29" t="s">
        <v>207</v>
      </c>
      <c r="N698" s="228" t="s">
        <v>17</v>
      </c>
    </row>
    <row r="699" spans="1:14" ht="15" customHeight="1" x14ac:dyDescent="0.25">
      <c r="B699" s="5"/>
      <c r="D699" s="6"/>
      <c r="E699" s="6"/>
      <c r="F699" s="6"/>
      <c r="G699" s="6"/>
      <c r="H699" s="6"/>
      <c r="L699" s="1" t="s">
        <v>233</v>
      </c>
      <c r="M699" s="29" t="s">
        <v>207</v>
      </c>
    </row>
    <row r="700" spans="1:14" ht="15" customHeight="1" x14ac:dyDescent="0.25">
      <c r="B700" s="54" t="s">
        <v>12</v>
      </c>
      <c r="C700" s="52"/>
      <c r="D700" s="75">
        <v>0</v>
      </c>
      <c r="E700" s="111">
        <v>0</v>
      </c>
      <c r="F700" s="111">
        <v>0</v>
      </c>
      <c r="G700" s="111">
        <v>0</v>
      </c>
      <c r="H700" s="76">
        <v>0</v>
      </c>
      <c r="L700" s="1" t="s">
        <v>233</v>
      </c>
      <c r="M700" s="29" t="s">
        <v>207</v>
      </c>
      <c r="N700" s="228" t="s">
        <v>12</v>
      </c>
    </row>
    <row r="701" spans="1:14" ht="15" customHeight="1" x14ac:dyDescent="0.25">
      <c r="B701" s="5"/>
      <c r="D701" s="6"/>
      <c r="E701" s="6"/>
      <c r="F701" s="6"/>
      <c r="G701" s="6"/>
      <c r="H701" s="6"/>
      <c r="L701" s="1" t="s">
        <v>233</v>
      </c>
      <c r="M701" s="29" t="s">
        <v>207</v>
      </c>
    </row>
    <row r="702" spans="1:14" ht="18.75" customHeight="1" x14ac:dyDescent="0.3">
      <c r="A702" s="38" t="s">
        <v>26</v>
      </c>
      <c r="C702" s="52">
        <f>A668</f>
        <v>17</v>
      </c>
      <c r="D702" s="112">
        <f ca="1" xml:space="preserve"> D674 + D679 - D685 + D698 + D700</f>
        <v>0</v>
      </c>
      <c r="E702" s="112">
        <f ca="1" xml:space="preserve"> E674 + E679 - E685 + E698 + E700</f>
        <v>0</v>
      </c>
      <c r="F702" s="112">
        <f ca="1" xml:space="preserve"> F674 + F679 - F685 + F698 + F700</f>
        <v>0</v>
      </c>
      <c r="G702" s="112">
        <f ca="1" xml:space="preserve"> G674 + G679 - G685 + G698 + G700</f>
        <v>6000</v>
      </c>
      <c r="H702" s="174">
        <f ca="1" xml:space="preserve"> H674 + H679 - H685 + H698 + H700</f>
        <v>0</v>
      </c>
      <c r="L702" s="1" t="s">
        <v>233</v>
      </c>
      <c r="M702" s="29" t="s">
        <v>207</v>
      </c>
      <c r="N702" s="228" t="s">
        <v>26</v>
      </c>
    </row>
    <row r="703" spans="1:14" ht="15" customHeight="1" x14ac:dyDescent="0.25">
      <c r="C703" s="108" t="s">
        <v>158</v>
      </c>
      <c r="D703" s="6"/>
      <c r="E703" s="28"/>
      <c r="F703" s="28"/>
      <c r="G703" s="28"/>
      <c r="H703" s="28"/>
      <c r="L703" s="1" t="s">
        <v>233</v>
      </c>
      <c r="M703" s="29" t="s">
        <v>207</v>
      </c>
      <c r="N703" s="228" t="s">
        <v>158</v>
      </c>
    </row>
    <row r="704" spans="1:14" ht="15" customHeight="1" x14ac:dyDescent="0.25">
      <c r="C704" s="125"/>
      <c r="D704" s="1"/>
      <c r="L704" s="1" t="s">
        <v>233</v>
      </c>
      <c r="M704" s="29" t="s">
        <v>207</v>
      </c>
    </row>
    <row r="705" spans="1:14" ht="15" customHeight="1" x14ac:dyDescent="0.25">
      <c r="A705" s="29"/>
      <c r="B705" s="29"/>
      <c r="C705" s="29"/>
      <c r="D705" s="29"/>
      <c r="E705" s="29"/>
      <c r="F705" s="29"/>
      <c r="G705" s="29"/>
      <c r="H705" s="29"/>
      <c r="L705" s="1" t="s">
        <v>233</v>
      </c>
      <c r="M705" s="29" t="s">
        <v>207</v>
      </c>
    </row>
    <row r="706" spans="1:14" ht="21" customHeight="1" x14ac:dyDescent="0.35">
      <c r="A706" s="12">
        <f>MAX(A$1:A705)+1</f>
        <v>18</v>
      </c>
      <c r="B706" s="12"/>
      <c r="C706" s="214" t="str">
        <f ca="1">OFFSET($B$4,A706-1,0)</f>
        <v>Grand View 2 West</v>
      </c>
      <c r="D706" s="215"/>
      <c r="E706" s="216"/>
      <c r="F706" s="216"/>
      <c r="G706" s="217"/>
      <c r="H706" s="218"/>
      <c r="L706" s="1" t="s">
        <v>233</v>
      </c>
      <c r="M706" s="29" t="s">
        <v>185</v>
      </c>
      <c r="N706" s="228">
        <v>20</v>
      </c>
    </row>
    <row r="707" spans="1:14" ht="15" customHeight="1" x14ac:dyDescent="0.25">
      <c r="C707" s="1" t="str">
        <f ca="1">VLOOKUP(C706,Facilities,3,FALSE)</f>
        <v>REC only</v>
      </c>
      <c r="D707" s="1"/>
      <c r="L707" s="1" t="s">
        <v>233</v>
      </c>
      <c r="M707" s="29" t="s">
        <v>185</v>
      </c>
      <c r="N707" s="228" t="s">
        <v>181</v>
      </c>
    </row>
    <row r="708" spans="1:14" ht="18.75" customHeight="1" x14ac:dyDescent="0.3">
      <c r="A708" s="8" t="s">
        <v>21</v>
      </c>
      <c r="B708" s="8"/>
      <c r="D708" s="2">
        <f>D366</f>
        <v>2017</v>
      </c>
      <c r="E708" s="2">
        <f>D708+1</f>
        <v>2018</v>
      </c>
      <c r="F708" s="2">
        <f>E708+1</f>
        <v>2019</v>
      </c>
      <c r="G708" s="2">
        <f>F708+1</f>
        <v>2020</v>
      </c>
      <c r="H708" s="2">
        <f>G708+1</f>
        <v>2021</v>
      </c>
      <c r="L708" s="1" t="s">
        <v>233</v>
      </c>
      <c r="M708" s="29" t="s">
        <v>185</v>
      </c>
      <c r="N708" s="228" t="s">
        <v>21</v>
      </c>
    </row>
    <row r="709" spans="1:14" ht="15" customHeight="1" x14ac:dyDescent="0.25">
      <c r="B709" s="119" t="str">
        <f ca="1">IF(C745&lt;&gt;"REC only","Total MWh ","")&amp;IF(C707="PSE owned","Produced","Purchased")&amp;" from "&amp;C706</f>
        <v>Purchased from Grand View 2 West</v>
      </c>
      <c r="C709" s="52"/>
      <c r="D709" s="3">
        <v>18511</v>
      </c>
      <c r="E709" s="3"/>
      <c r="F709" s="3"/>
      <c r="G709" s="3"/>
      <c r="H709" s="4"/>
      <c r="L709" s="1" t="s">
        <v>233</v>
      </c>
      <c r="M709" s="29" t="s">
        <v>185</v>
      </c>
      <c r="N709" s="228" t="s">
        <v>261</v>
      </c>
    </row>
    <row r="710" spans="1:14" ht="15" customHeight="1" x14ac:dyDescent="0.25">
      <c r="B710" s="57" t="s">
        <v>25</v>
      </c>
      <c r="C710" s="52"/>
      <c r="D710" s="132">
        <v>1</v>
      </c>
      <c r="E710" s="132"/>
      <c r="F710" s="132"/>
      <c r="G710" s="132"/>
      <c r="H710" s="133"/>
      <c r="L710" s="1" t="s">
        <v>233</v>
      </c>
      <c r="M710" s="29" t="s">
        <v>185</v>
      </c>
      <c r="N710" s="228" t="s">
        <v>25</v>
      </c>
    </row>
    <row r="711" spans="1:14" ht="15" customHeight="1" x14ac:dyDescent="0.25">
      <c r="B711" s="57" t="s">
        <v>20</v>
      </c>
      <c r="C711" s="52"/>
      <c r="D711" s="42">
        <v>1</v>
      </c>
      <c r="E711" s="42"/>
      <c r="F711" s="42"/>
      <c r="G711" s="42"/>
      <c r="H711" s="43"/>
      <c r="L711" s="1" t="s">
        <v>233</v>
      </c>
      <c r="M711" s="29" t="s">
        <v>185</v>
      </c>
      <c r="N711" s="228" t="s">
        <v>20</v>
      </c>
    </row>
    <row r="712" spans="1:14" ht="15" customHeight="1" x14ac:dyDescent="0.25">
      <c r="B712" s="54" t="s">
        <v>22</v>
      </c>
      <c r="C712" s="55"/>
      <c r="D712" s="131">
        <f xml:space="preserve"> D709 * D710 * D711</f>
        <v>18511</v>
      </c>
      <c r="E712" s="131">
        <f xml:space="preserve"> E709 * E710 * E711</f>
        <v>0</v>
      </c>
      <c r="F712" s="131">
        <f xml:space="preserve"> ROUNDDOWN(F709 * F710 * F711,0)</f>
        <v>0</v>
      </c>
      <c r="G712" s="131">
        <f xml:space="preserve"> ROUNDDOWN(G709 * G710 * G711,0)</f>
        <v>0</v>
      </c>
      <c r="H712" s="131">
        <f xml:space="preserve"> ROUNDDOWN(H709 * H710 * H711,0)</f>
        <v>0</v>
      </c>
      <c r="L712" s="1" t="s">
        <v>233</v>
      </c>
      <c r="M712" s="29" t="s">
        <v>185</v>
      </c>
      <c r="N712" s="228" t="s">
        <v>22</v>
      </c>
    </row>
    <row r="713" spans="1:14" ht="15" customHeight="1" x14ac:dyDescent="0.25">
      <c r="B713" s="22"/>
      <c r="C713" s="29"/>
      <c r="D713" s="36"/>
      <c r="E713" s="36"/>
      <c r="F713" s="36"/>
      <c r="G713" s="167"/>
      <c r="H713" s="36"/>
      <c r="L713" s="1" t="s">
        <v>233</v>
      </c>
      <c r="M713" s="29" t="s">
        <v>185</v>
      </c>
    </row>
    <row r="714" spans="1:14" ht="18.75" customHeight="1" x14ac:dyDescent="0.3">
      <c r="A714" s="39" t="s">
        <v>119</v>
      </c>
      <c r="C714" s="29"/>
      <c r="D714" s="2">
        <f>D708</f>
        <v>2017</v>
      </c>
      <c r="E714" s="2">
        <f>D714+1</f>
        <v>2018</v>
      </c>
      <c r="F714" s="2">
        <f>E714+1</f>
        <v>2019</v>
      </c>
      <c r="G714" s="2">
        <f>F714+1</f>
        <v>2020</v>
      </c>
      <c r="H714" s="2">
        <f>G714+1</f>
        <v>2021</v>
      </c>
      <c r="L714" s="1" t="s">
        <v>233</v>
      </c>
      <c r="M714" s="29" t="s">
        <v>185</v>
      </c>
      <c r="N714" s="228" t="s">
        <v>119</v>
      </c>
    </row>
    <row r="715" spans="1:14" x14ac:dyDescent="0.25">
      <c r="B715" s="57" t="s">
        <v>10</v>
      </c>
      <c r="C715" s="52"/>
      <c r="D715" s="10">
        <f ca="1">IF(VLOOKUP($C706,Facilities,5,FALSE)="Eligible", D712*ApprenticeshipBonus, 0 )</f>
        <v>0</v>
      </c>
      <c r="E715" s="109">
        <f ca="1">IF(VLOOKUP($C706,Facilities,5,FALSE)="Eligible", E712*ApprenticeshipBonus, 0 )</f>
        <v>0</v>
      </c>
      <c r="F715" s="109">
        <f ca="1">IF(VLOOKUP($C706,Facilities,5,FALSE)="Eligible", F712*ApprenticeshipBonus, 0 )</f>
        <v>0</v>
      </c>
      <c r="G715" s="109">
        <f ca="1">IF(VLOOKUP($C706,Facilities,5,FALSE)="Eligible", G712*ApprenticeshipBonus, 0 )</f>
        <v>0</v>
      </c>
      <c r="H715" s="11">
        <f ca="1">IF(VLOOKUP($C706,Facilities,5,FALSE)="Eligible", H712*ApprenticeshipBonus, 0 )</f>
        <v>0</v>
      </c>
      <c r="L715" s="1" t="s">
        <v>233</v>
      </c>
      <c r="M715" s="29" t="s">
        <v>185</v>
      </c>
      <c r="N715" s="228" t="s">
        <v>10</v>
      </c>
    </row>
    <row r="716" spans="1:14" ht="15" customHeight="1" x14ac:dyDescent="0.25">
      <c r="B716" s="57" t="s">
        <v>6</v>
      </c>
      <c r="C716" s="52"/>
      <c r="D716" s="44">
        <f ca="1">IF(VLOOKUP($C706,Facilities,6,FALSE)="Eligible", D712, 0 )</f>
        <v>0</v>
      </c>
      <c r="E716" s="110">
        <f ca="1">IF(VLOOKUP($C706,Facilities,6,FALSE)="Eligible", E712, 0 )</f>
        <v>0</v>
      </c>
      <c r="F716" s="110">
        <f ca="1">IF(VLOOKUP($C706,Facilities,6,FALSE)="Eligible", F712, 0 )</f>
        <v>0</v>
      </c>
      <c r="G716" s="110">
        <f ca="1">IF(VLOOKUP($C706,Facilities,6,FALSE)="Eligible", G712, 0 )</f>
        <v>0</v>
      </c>
      <c r="H716" s="45">
        <f ca="1">IF(VLOOKUP($C706,Facilities,6,FALSE)="Eligible", H712, 0 )</f>
        <v>0</v>
      </c>
      <c r="L716" s="1" t="s">
        <v>233</v>
      </c>
      <c r="M716" s="29" t="s">
        <v>185</v>
      </c>
      <c r="N716" s="228" t="s">
        <v>6</v>
      </c>
    </row>
    <row r="717" spans="1:14" ht="15" customHeight="1" x14ac:dyDescent="0.25">
      <c r="B717" s="56" t="s">
        <v>121</v>
      </c>
      <c r="C717" s="55"/>
      <c r="D717" s="37">
        <f ca="1">SUM(D715:D716)</f>
        <v>0</v>
      </c>
      <c r="E717" s="37">
        <f ca="1">SUM(E715:E716)</f>
        <v>0</v>
      </c>
      <c r="F717" s="37">
        <f ca="1">SUM(F715:F716)</f>
        <v>0</v>
      </c>
      <c r="G717" s="37">
        <f ca="1">SUM(G715:G716)</f>
        <v>0</v>
      </c>
      <c r="H717" s="37">
        <f ca="1">SUM(H715:H716)</f>
        <v>0</v>
      </c>
      <c r="L717" s="1" t="s">
        <v>233</v>
      </c>
      <c r="M717" s="29" t="s">
        <v>185</v>
      </c>
      <c r="N717" s="228" t="s">
        <v>121</v>
      </c>
    </row>
    <row r="718" spans="1:14" ht="15" customHeight="1" x14ac:dyDescent="0.25">
      <c r="B718" s="29"/>
      <c r="C718" s="29"/>
      <c r="D718" s="30"/>
      <c r="E718" s="30"/>
      <c r="F718" s="30"/>
      <c r="G718" s="169"/>
      <c r="H718" s="30"/>
      <c r="L718" s="1" t="s">
        <v>233</v>
      </c>
      <c r="M718" s="29" t="s">
        <v>185</v>
      </c>
    </row>
    <row r="719" spans="1:14" ht="18.75" customHeight="1" x14ac:dyDescent="0.3">
      <c r="A719" s="38" t="s">
        <v>30</v>
      </c>
      <c r="C719" s="29"/>
      <c r="D719" s="2">
        <f>D708</f>
        <v>2017</v>
      </c>
      <c r="E719" s="2">
        <f>D719+1</f>
        <v>2018</v>
      </c>
      <c r="F719" s="2">
        <f>E719+1</f>
        <v>2019</v>
      </c>
      <c r="G719" s="2">
        <f>F719+1</f>
        <v>2020</v>
      </c>
      <c r="H719" s="2">
        <f>G719+1</f>
        <v>2021</v>
      </c>
      <c r="L719" s="1" t="s">
        <v>233</v>
      </c>
      <c r="M719" s="29" t="s">
        <v>185</v>
      </c>
      <c r="N719" s="228" t="s">
        <v>30</v>
      </c>
    </row>
    <row r="720" spans="1:14" ht="15" customHeight="1" x14ac:dyDescent="0.25">
      <c r="B720" s="57" t="s">
        <v>47</v>
      </c>
      <c r="C720" s="52"/>
      <c r="D720" s="3">
        <v>0</v>
      </c>
      <c r="E720" s="3">
        <v>0</v>
      </c>
      <c r="F720" s="3">
        <v>0</v>
      </c>
      <c r="G720" s="3">
        <v>0</v>
      </c>
      <c r="H720" s="4">
        <v>0</v>
      </c>
      <c r="L720" s="1" t="s">
        <v>233</v>
      </c>
      <c r="M720" s="29" t="s">
        <v>185</v>
      </c>
      <c r="N720" s="228" t="s">
        <v>47</v>
      </c>
    </row>
    <row r="721" spans="1:14" ht="15" customHeight="1" x14ac:dyDescent="0.25">
      <c r="B721" s="58" t="s">
        <v>23</v>
      </c>
      <c r="C721" s="59"/>
      <c r="D721" s="137">
        <v>0</v>
      </c>
      <c r="E721" s="137">
        <v>0</v>
      </c>
      <c r="F721" s="137">
        <v>0</v>
      </c>
      <c r="G721" s="137">
        <v>0</v>
      </c>
      <c r="H721" s="138">
        <v>0</v>
      </c>
      <c r="L721" s="1" t="s">
        <v>233</v>
      </c>
      <c r="M721" s="29" t="s">
        <v>185</v>
      </c>
      <c r="N721" s="228" t="s">
        <v>23</v>
      </c>
    </row>
    <row r="722" spans="1:14" ht="15" customHeight="1" x14ac:dyDescent="0.25">
      <c r="B722" s="68" t="s">
        <v>89</v>
      </c>
      <c r="C722" s="67"/>
      <c r="D722" s="191">
        <v>0</v>
      </c>
      <c r="E722" s="139">
        <v>0</v>
      </c>
      <c r="F722" s="139">
        <v>0</v>
      </c>
      <c r="G722" s="139">
        <v>0</v>
      </c>
      <c r="H722" s="140">
        <v>0</v>
      </c>
      <c r="L722" s="1" t="s">
        <v>233</v>
      </c>
      <c r="M722" s="29" t="s">
        <v>185</v>
      </c>
      <c r="N722" s="228" t="s">
        <v>89</v>
      </c>
    </row>
    <row r="723" spans="1:14" ht="15" customHeight="1" x14ac:dyDescent="0.25">
      <c r="B723" s="32" t="s">
        <v>90</v>
      </c>
      <c r="D723" s="6">
        <f>SUM(D720:D722)</f>
        <v>0</v>
      </c>
      <c r="E723" s="6">
        <f>SUM(E720:E722)</f>
        <v>0</v>
      </c>
      <c r="F723" s="6">
        <f>SUM(F720:F722)</f>
        <v>0</v>
      </c>
      <c r="G723" s="6">
        <f>SUM(G720:G722)</f>
        <v>0</v>
      </c>
      <c r="H723" s="6">
        <f>SUM(H720:H722)</f>
        <v>0</v>
      </c>
      <c r="L723" s="1" t="s">
        <v>233</v>
      </c>
      <c r="M723" s="29" t="s">
        <v>185</v>
      </c>
      <c r="N723" s="228" t="s">
        <v>90</v>
      </c>
    </row>
    <row r="724" spans="1:14" ht="15" customHeight="1" x14ac:dyDescent="0.25">
      <c r="B724" s="5"/>
      <c r="D724" s="6"/>
      <c r="E724" s="6"/>
      <c r="F724" s="6"/>
      <c r="G724" s="167"/>
      <c r="H724" s="6"/>
      <c r="L724" s="1" t="s">
        <v>233</v>
      </c>
      <c r="M724" s="29" t="s">
        <v>185</v>
      </c>
    </row>
    <row r="725" spans="1:14" ht="18.75" customHeight="1" x14ac:dyDescent="0.3">
      <c r="A725" s="8" t="s">
        <v>100</v>
      </c>
      <c r="D725" s="2">
        <f>D708</f>
        <v>2017</v>
      </c>
      <c r="E725" s="2">
        <f>D725+1</f>
        <v>2018</v>
      </c>
      <c r="F725" s="2">
        <f>E725+1</f>
        <v>2019</v>
      </c>
      <c r="G725" s="2">
        <f>F725+1</f>
        <v>2020</v>
      </c>
      <c r="H725" s="2">
        <f>G725+1</f>
        <v>2021</v>
      </c>
      <c r="L725" s="1" t="s">
        <v>233</v>
      </c>
      <c r="M725" s="29" t="s">
        <v>185</v>
      </c>
      <c r="N725" s="228" t="s">
        <v>100</v>
      </c>
    </row>
    <row r="726" spans="1:14" ht="15" customHeight="1" x14ac:dyDescent="0.25">
      <c r="B726" s="57" t="str">
        <f>(StartYear-1) &amp; " Surplus Applied to " &amp; StartYear</f>
        <v>2016 Surplus Applied to 2017</v>
      </c>
      <c r="C726" s="29"/>
      <c r="D726" s="186">
        <v>0</v>
      </c>
      <c r="E726" s="187"/>
      <c r="F726" s="187"/>
      <c r="G726" s="187"/>
      <c r="H726" s="188"/>
      <c r="L726" s="1" t="s">
        <v>233</v>
      </c>
      <c r="M726" s="29" t="s">
        <v>185</v>
      </c>
      <c r="N726" s="228" t="s">
        <v>235</v>
      </c>
    </row>
    <row r="727" spans="1:14" ht="15" customHeight="1" x14ac:dyDescent="0.25">
      <c r="B727" s="57" t="str">
        <f>StartYear &amp; " Surplus Applied to " &amp; (StartYear-1)</f>
        <v>2017 Surplus Applied to 2016</v>
      </c>
      <c r="C727" s="29"/>
      <c r="D727" s="189">
        <v>0</v>
      </c>
      <c r="E727" s="113"/>
      <c r="F727" s="113"/>
      <c r="G727" s="113"/>
      <c r="H727" s="117"/>
      <c r="L727" s="1" t="s">
        <v>233</v>
      </c>
      <c r="M727" s="29" t="s">
        <v>185</v>
      </c>
      <c r="N727" s="228" t="s">
        <v>236</v>
      </c>
    </row>
    <row r="728" spans="1:14" ht="15" customHeight="1" x14ac:dyDescent="0.25">
      <c r="B728" s="57" t="str">
        <f>( StartYear) &amp; " Surplus Applied to " &amp; ( StartYear + 1 )</f>
        <v>2017 Surplus Applied to 2018</v>
      </c>
      <c r="C728" s="29"/>
      <c r="D728" s="184">
        <v>0</v>
      </c>
      <c r="E728" s="185">
        <f>D728</f>
        <v>0</v>
      </c>
      <c r="F728" s="181"/>
      <c r="G728" s="181"/>
      <c r="H728" s="182"/>
      <c r="L728" s="1" t="s">
        <v>233</v>
      </c>
      <c r="M728" s="29" t="s">
        <v>185</v>
      </c>
      <c r="N728" s="228" t="s">
        <v>237</v>
      </c>
    </row>
    <row r="729" spans="1:14" ht="15" customHeight="1" x14ac:dyDescent="0.25">
      <c r="B729" s="57" t="str">
        <f xml:space="preserve"> ( StartYear + 1 ) &amp; " Surplus Applied to " &amp; ( StartYear )</f>
        <v>2018 Surplus Applied to 2017</v>
      </c>
      <c r="C729" s="52"/>
      <c r="D729" s="134">
        <v>0</v>
      </c>
      <c r="E729" s="9">
        <v>0</v>
      </c>
      <c r="F729" s="113"/>
      <c r="G729" s="113"/>
      <c r="H729" s="117"/>
      <c r="L729" s="1" t="s">
        <v>233</v>
      </c>
      <c r="M729" s="29" t="s">
        <v>185</v>
      </c>
      <c r="N729" s="228" t="s">
        <v>238</v>
      </c>
    </row>
    <row r="730" spans="1:14" ht="15" customHeight="1" x14ac:dyDescent="0.25">
      <c r="B730" s="119" t="str">
        <f xml:space="preserve"> ( StartYear + 1 ) &amp; " Surplus Applied to " &amp; ( StartYear + 2 )</f>
        <v>2018 Surplus Applied to 2019</v>
      </c>
      <c r="C730" s="52"/>
      <c r="D730" s="114"/>
      <c r="E730" s="9">
        <v>0</v>
      </c>
      <c r="F730" s="51">
        <f>E730</f>
        <v>0</v>
      </c>
      <c r="G730" s="113"/>
      <c r="H730" s="117"/>
      <c r="L730" s="1" t="s">
        <v>233</v>
      </c>
      <c r="M730" s="29" t="s">
        <v>185</v>
      </c>
      <c r="N730" s="228" t="s">
        <v>239</v>
      </c>
    </row>
    <row r="731" spans="1:14" ht="15" customHeight="1" x14ac:dyDescent="0.25">
      <c r="B731" s="119" t="str">
        <f xml:space="preserve"> ( StartYear + 2 ) &amp; " Surplus Applied to " &amp; ( StartYear + 1 )</f>
        <v>2019 Surplus Applied to 2018</v>
      </c>
      <c r="C731" s="52"/>
      <c r="D731" s="114"/>
      <c r="E731" s="51">
        <v>0</v>
      </c>
      <c r="F731" s="9">
        <v>0</v>
      </c>
      <c r="G731" s="113"/>
      <c r="H731" s="117"/>
      <c r="L731" s="1" t="s">
        <v>233</v>
      </c>
      <c r="M731" s="29" t="s">
        <v>185</v>
      </c>
      <c r="N731" s="228" t="s">
        <v>240</v>
      </c>
    </row>
    <row r="732" spans="1:14" ht="15" customHeight="1" x14ac:dyDescent="0.25">
      <c r="B732" s="165" t="str">
        <f xml:space="preserve"> ( StartYear + 2 ) &amp; " Surplus Applied to " &amp; ( StartYear + 3 )</f>
        <v>2019 Surplus Applied to 2020</v>
      </c>
      <c r="C732" s="29"/>
      <c r="D732" s="114"/>
      <c r="E732" s="113"/>
      <c r="F732" s="9">
        <v>0</v>
      </c>
      <c r="G732" s="51">
        <f>F732</f>
        <v>0</v>
      </c>
      <c r="H732" s="117"/>
      <c r="L732" s="1" t="s">
        <v>233</v>
      </c>
      <c r="M732" s="29" t="s">
        <v>185</v>
      </c>
      <c r="N732" s="228" t="s">
        <v>241</v>
      </c>
    </row>
    <row r="733" spans="1:14" ht="15" customHeight="1" x14ac:dyDescent="0.25">
      <c r="B733" s="165" t="str">
        <f xml:space="preserve"> ( StartYear + 3 ) &amp; " Surplus Applied to " &amp; ( StartYear + 2 )</f>
        <v>2020 Surplus Applied to 2019</v>
      </c>
      <c r="C733" s="29"/>
      <c r="D733" s="114"/>
      <c r="E733" s="113"/>
      <c r="F733" s="51">
        <v>0</v>
      </c>
      <c r="G733" s="9">
        <v>0</v>
      </c>
      <c r="H733" s="117"/>
      <c r="L733" s="1" t="s">
        <v>233</v>
      </c>
      <c r="M733" s="29" t="s">
        <v>185</v>
      </c>
      <c r="N733" s="228" t="s">
        <v>242</v>
      </c>
    </row>
    <row r="734" spans="1:14" ht="15" customHeight="1" x14ac:dyDescent="0.25">
      <c r="B734" s="165" t="str">
        <f xml:space="preserve"> ( StartYear + 3 ) &amp; " Surplus Applied to " &amp; ( StartYear + 4 )</f>
        <v>2020 Surplus Applied to 2021</v>
      </c>
      <c r="C734" s="29"/>
      <c r="D734" s="114"/>
      <c r="E734" s="113"/>
      <c r="F734" s="113"/>
      <c r="G734" s="9">
        <f ca="1">G712+G717-G723</f>
        <v>0</v>
      </c>
      <c r="H734" s="46">
        <f ca="1">G734</f>
        <v>0</v>
      </c>
      <c r="L734" s="1" t="s">
        <v>233</v>
      </c>
      <c r="M734" s="29" t="s">
        <v>185</v>
      </c>
      <c r="N734" s="228" t="s">
        <v>243</v>
      </c>
    </row>
    <row r="735" spans="1:14" ht="15" customHeight="1" x14ac:dyDescent="0.25">
      <c r="B735" s="165" t="str">
        <f xml:space="preserve"> ( StartYear + 4 ) &amp; " Surplus Applied to " &amp; ( StartYear + 3 )</f>
        <v>2021 Surplus Applied to 2020</v>
      </c>
      <c r="C735" s="29"/>
      <c r="D735" s="115"/>
      <c r="E735" s="116"/>
      <c r="F735" s="116"/>
      <c r="G735" s="47">
        <v>0</v>
      </c>
      <c r="H735" s="41">
        <v>0</v>
      </c>
      <c r="L735" s="1" t="s">
        <v>233</v>
      </c>
      <c r="M735" s="29" t="s">
        <v>185</v>
      </c>
      <c r="N735" s="228" t="s">
        <v>244</v>
      </c>
    </row>
    <row r="736" spans="1:14" ht="15" customHeight="1" x14ac:dyDescent="0.25">
      <c r="B736" s="32" t="s">
        <v>17</v>
      </c>
      <c r="D736" s="6">
        <f>D726-D727+D729-D728</f>
        <v>0</v>
      </c>
      <c r="E736" s="6">
        <f>E728+E731-E729-E730</f>
        <v>0</v>
      </c>
      <c r="F736" s="6">
        <f>F730+F733-F731-F732</f>
        <v>0</v>
      </c>
      <c r="G736" s="6">
        <f ca="1">G732+G735-G733-G734</f>
        <v>0</v>
      </c>
      <c r="H736" s="6">
        <f ca="1">H734 - H735</f>
        <v>0</v>
      </c>
      <c r="L736" s="1" t="s">
        <v>233</v>
      </c>
      <c r="M736" s="29" t="s">
        <v>185</v>
      </c>
      <c r="N736" s="228" t="s">
        <v>17</v>
      </c>
    </row>
    <row r="737" spans="1:14" ht="15" customHeight="1" x14ac:dyDescent="0.25">
      <c r="B737" s="5"/>
      <c r="D737" s="6"/>
      <c r="E737" s="6"/>
      <c r="F737" s="6"/>
      <c r="G737" s="6"/>
      <c r="H737" s="6"/>
      <c r="L737" s="1" t="s">
        <v>233</v>
      </c>
      <c r="M737" s="29" t="s">
        <v>185</v>
      </c>
    </row>
    <row r="738" spans="1:14" ht="15" customHeight="1" x14ac:dyDescent="0.25">
      <c r="B738" s="54" t="s">
        <v>12</v>
      </c>
      <c r="C738" s="52"/>
      <c r="D738" s="75">
        <v>0</v>
      </c>
      <c r="E738" s="111">
        <v>0</v>
      </c>
      <c r="F738" s="111">
        <v>0</v>
      </c>
      <c r="G738" s="111">
        <v>0</v>
      </c>
      <c r="H738" s="76">
        <v>0</v>
      </c>
      <c r="L738" s="1" t="s">
        <v>233</v>
      </c>
      <c r="M738" s="29" t="s">
        <v>185</v>
      </c>
      <c r="N738" s="228" t="s">
        <v>12</v>
      </c>
    </row>
    <row r="739" spans="1:14" ht="15" customHeight="1" x14ac:dyDescent="0.25">
      <c r="B739" s="5"/>
      <c r="D739" s="6"/>
      <c r="E739" s="6"/>
      <c r="F739" s="6"/>
      <c r="G739" s="6"/>
      <c r="H739" s="6"/>
      <c r="L739" s="1" t="s">
        <v>233</v>
      </c>
      <c r="M739" s="29" t="s">
        <v>185</v>
      </c>
    </row>
    <row r="740" spans="1:14" ht="18.75" customHeight="1" x14ac:dyDescent="0.3">
      <c r="A740" s="38" t="s">
        <v>26</v>
      </c>
      <c r="C740" s="52">
        <f>A706</f>
        <v>18</v>
      </c>
      <c r="D740" s="112">
        <f ca="1" xml:space="preserve"> D712 + D717 - D723 + D736 + D738</f>
        <v>18511</v>
      </c>
      <c r="E740" s="112">
        <f ca="1" xml:space="preserve"> E712 + E717 - E723 + E736 + E738</f>
        <v>0</v>
      </c>
      <c r="F740" s="112">
        <f ca="1" xml:space="preserve"> F712 + F717 - F723 + F736 + F738</f>
        <v>0</v>
      </c>
      <c r="G740" s="112">
        <f ca="1" xml:space="preserve"> G712 + G717 - G723 + G736 + G738</f>
        <v>0</v>
      </c>
      <c r="H740" s="174">
        <f ca="1" xml:space="preserve"> H712 + H717 - H723 + H736 + H738</f>
        <v>0</v>
      </c>
      <c r="L740" s="1" t="s">
        <v>233</v>
      </c>
      <c r="M740" s="29" t="s">
        <v>185</v>
      </c>
      <c r="N740" s="228" t="s">
        <v>26</v>
      </c>
    </row>
    <row r="741" spans="1:14" ht="15" customHeight="1" x14ac:dyDescent="0.25">
      <c r="C741" s="108" t="s">
        <v>158</v>
      </c>
      <c r="D741" s="6">
        <v>18511</v>
      </c>
      <c r="E741" s="28"/>
      <c r="F741" s="28"/>
      <c r="G741" s="28"/>
      <c r="H741" s="28"/>
      <c r="L741" s="1" t="s">
        <v>233</v>
      </c>
      <c r="M741" s="29" t="s">
        <v>185</v>
      </c>
      <c r="N741" s="228" t="s">
        <v>158</v>
      </c>
    </row>
    <row r="742" spans="1:14" ht="15" customHeight="1" x14ac:dyDescent="0.25">
      <c r="C742" s="125"/>
      <c r="D742" s="1"/>
      <c r="L742" s="1" t="s">
        <v>233</v>
      </c>
      <c r="M742" s="29" t="s">
        <v>185</v>
      </c>
    </row>
    <row r="743" spans="1:14" ht="15" customHeight="1" x14ac:dyDescent="0.25">
      <c r="A743" s="29"/>
      <c r="B743" s="29"/>
      <c r="C743" s="29"/>
      <c r="D743" s="29"/>
      <c r="E743" s="29"/>
      <c r="F743" s="29"/>
      <c r="G743" s="29"/>
      <c r="H743" s="29"/>
      <c r="L743" s="1" t="s">
        <v>233</v>
      </c>
      <c r="M743" s="29" t="s">
        <v>185</v>
      </c>
    </row>
    <row r="744" spans="1:14" ht="21" customHeight="1" x14ac:dyDescent="0.35">
      <c r="A744" s="12">
        <f>MAX(A$1:A743)+1</f>
        <v>19</v>
      </c>
      <c r="B744" s="12"/>
      <c r="C744" s="214" t="str">
        <f ca="1">OFFSET($B$4,A744-1,0)</f>
        <v>Grand View 5 East</v>
      </c>
      <c r="D744" s="215"/>
      <c r="E744" s="216"/>
      <c r="F744" s="216"/>
      <c r="G744" s="217"/>
      <c r="H744" s="218"/>
      <c r="L744" s="1" t="s">
        <v>233</v>
      </c>
      <c r="M744" s="29" t="s">
        <v>184</v>
      </c>
      <c r="N744" s="228">
        <v>21</v>
      </c>
    </row>
    <row r="745" spans="1:14" ht="15" customHeight="1" x14ac:dyDescent="0.25">
      <c r="C745" s="1" t="str">
        <f ca="1">VLOOKUP(C744,Facilities,3,FALSE)</f>
        <v>REC only</v>
      </c>
      <c r="D745" s="1"/>
      <c r="L745" s="1" t="s">
        <v>233</v>
      </c>
      <c r="M745" s="29" t="s">
        <v>184</v>
      </c>
      <c r="N745" s="228" t="s">
        <v>181</v>
      </c>
    </row>
    <row r="746" spans="1:14" ht="18.75" customHeight="1" x14ac:dyDescent="0.3">
      <c r="A746" s="8" t="s">
        <v>21</v>
      </c>
      <c r="B746" s="8"/>
      <c r="D746" s="2">
        <f>D366</f>
        <v>2017</v>
      </c>
      <c r="E746" s="2">
        <f>D746+1</f>
        <v>2018</v>
      </c>
      <c r="F746" s="2">
        <f>E746+1</f>
        <v>2019</v>
      </c>
      <c r="G746" s="2">
        <f>F746+1</f>
        <v>2020</v>
      </c>
      <c r="H746" s="2">
        <f>G746+1</f>
        <v>2021</v>
      </c>
      <c r="L746" s="1" t="s">
        <v>233</v>
      </c>
      <c r="M746" s="29" t="s">
        <v>184</v>
      </c>
      <c r="N746" s="228" t="s">
        <v>21</v>
      </c>
    </row>
    <row r="747" spans="1:14" ht="15" customHeight="1" x14ac:dyDescent="0.25">
      <c r="B747" s="119" t="str">
        <f ca="1">IF(C783&lt;&gt;"REC only","Total MWh ","")&amp;IF(C745="PSE owned","Produced","Purchased")&amp;" from "&amp;C744</f>
        <v>Purchased from Grand View 5 East</v>
      </c>
      <c r="C747" s="52"/>
      <c r="D747" s="3">
        <v>6741</v>
      </c>
      <c r="E747" s="3"/>
      <c r="F747" s="3"/>
      <c r="G747" s="3"/>
      <c r="H747" s="4"/>
      <c r="L747" s="1" t="s">
        <v>233</v>
      </c>
      <c r="M747" s="29" t="s">
        <v>184</v>
      </c>
      <c r="N747" s="228" t="s">
        <v>262</v>
      </c>
    </row>
    <row r="748" spans="1:14" ht="15" customHeight="1" x14ac:dyDescent="0.25">
      <c r="B748" s="57" t="s">
        <v>25</v>
      </c>
      <c r="C748" s="52"/>
      <c r="D748" s="132">
        <v>1</v>
      </c>
      <c r="E748" s="132"/>
      <c r="F748" s="132"/>
      <c r="G748" s="132"/>
      <c r="H748" s="133"/>
      <c r="L748" s="1" t="s">
        <v>233</v>
      </c>
      <c r="M748" s="29" t="s">
        <v>184</v>
      </c>
      <c r="N748" s="228" t="s">
        <v>25</v>
      </c>
    </row>
    <row r="749" spans="1:14" ht="15" customHeight="1" x14ac:dyDescent="0.25">
      <c r="B749" s="57" t="s">
        <v>20</v>
      </c>
      <c r="C749" s="52"/>
      <c r="D749" s="42">
        <v>1</v>
      </c>
      <c r="E749" s="42"/>
      <c r="F749" s="42"/>
      <c r="G749" s="42"/>
      <c r="H749" s="43"/>
      <c r="L749" s="1" t="s">
        <v>233</v>
      </c>
      <c r="M749" s="29" t="s">
        <v>184</v>
      </c>
      <c r="N749" s="228" t="s">
        <v>20</v>
      </c>
    </row>
    <row r="750" spans="1:14" ht="15" customHeight="1" x14ac:dyDescent="0.25">
      <c r="B750" s="54" t="s">
        <v>22</v>
      </c>
      <c r="C750" s="55"/>
      <c r="D750" s="131">
        <f xml:space="preserve"> D747 * D748 * D749</f>
        <v>6741</v>
      </c>
      <c r="E750" s="131">
        <f xml:space="preserve"> E747 * E748 * E749</f>
        <v>0</v>
      </c>
      <c r="F750" s="131">
        <f xml:space="preserve"> ROUNDDOWN(F747 * F748 * F749,0)</f>
        <v>0</v>
      </c>
      <c r="G750" s="131">
        <f xml:space="preserve"> ROUNDDOWN(G747 * G748 * G749,0)</f>
        <v>0</v>
      </c>
      <c r="H750" s="131">
        <f xml:space="preserve"> ROUNDDOWN(H747 * H748 * H749,0)</f>
        <v>0</v>
      </c>
      <c r="L750" s="1" t="s">
        <v>233</v>
      </c>
      <c r="M750" s="29" t="s">
        <v>184</v>
      </c>
      <c r="N750" s="228" t="s">
        <v>22</v>
      </c>
    </row>
    <row r="751" spans="1:14" ht="15" customHeight="1" x14ac:dyDescent="0.25">
      <c r="B751" s="22"/>
      <c r="C751" s="29"/>
      <c r="D751" s="36"/>
      <c r="E751" s="36"/>
      <c r="F751" s="36"/>
      <c r="G751" s="167"/>
      <c r="H751" s="36"/>
      <c r="L751" s="1" t="s">
        <v>233</v>
      </c>
      <c r="M751" s="29" t="s">
        <v>184</v>
      </c>
    </row>
    <row r="752" spans="1:14" ht="18.75" customHeight="1" x14ac:dyDescent="0.3">
      <c r="A752" s="39" t="s">
        <v>119</v>
      </c>
      <c r="C752" s="29"/>
      <c r="D752" s="2">
        <f>D746</f>
        <v>2017</v>
      </c>
      <c r="E752" s="2">
        <f>D752+1</f>
        <v>2018</v>
      </c>
      <c r="F752" s="2">
        <f>E752+1</f>
        <v>2019</v>
      </c>
      <c r="G752" s="2">
        <f>F752+1</f>
        <v>2020</v>
      </c>
      <c r="H752" s="2">
        <f>G752+1</f>
        <v>2021</v>
      </c>
      <c r="L752" s="1" t="s">
        <v>233</v>
      </c>
      <c r="M752" s="29" t="s">
        <v>184</v>
      </c>
      <c r="N752" s="228" t="s">
        <v>119</v>
      </c>
    </row>
    <row r="753" spans="1:14" x14ac:dyDescent="0.25">
      <c r="B753" s="57" t="s">
        <v>10</v>
      </c>
      <c r="C753" s="52"/>
      <c r="D753" s="10">
        <f ca="1">IF(VLOOKUP($C744,Facilities,5,FALSE)="Eligible", D750*ApprenticeshipBonus, 0 )</f>
        <v>0</v>
      </c>
      <c r="E753" s="109">
        <f ca="1">IF(VLOOKUP($C744,Facilities,5,FALSE)="Eligible", E750*ApprenticeshipBonus, 0 )</f>
        <v>0</v>
      </c>
      <c r="F753" s="109">
        <f ca="1">IF(VLOOKUP($C744,Facilities,5,FALSE)="Eligible", F750*ApprenticeshipBonus, 0 )</f>
        <v>0</v>
      </c>
      <c r="G753" s="109">
        <f ca="1">IF(VLOOKUP($C744,Facilities,5,FALSE)="Eligible", G750*ApprenticeshipBonus, 0 )</f>
        <v>0</v>
      </c>
      <c r="H753" s="11">
        <f ca="1">IF(VLOOKUP($C744,Facilities,5,FALSE)="Eligible", H750*ApprenticeshipBonus, 0 )</f>
        <v>0</v>
      </c>
      <c r="L753" s="1" t="s">
        <v>233</v>
      </c>
      <c r="M753" s="29" t="s">
        <v>184</v>
      </c>
      <c r="N753" s="228" t="s">
        <v>10</v>
      </c>
    </row>
    <row r="754" spans="1:14" ht="15" customHeight="1" x14ac:dyDescent="0.25">
      <c r="B754" s="57" t="s">
        <v>6</v>
      </c>
      <c r="C754" s="52"/>
      <c r="D754" s="44">
        <f ca="1">IF(VLOOKUP($C744,Facilities,6,FALSE)="Eligible", D750, 0 )</f>
        <v>0</v>
      </c>
      <c r="E754" s="110">
        <f ca="1">IF(VLOOKUP($C744,Facilities,6,FALSE)="Eligible", E750, 0 )</f>
        <v>0</v>
      </c>
      <c r="F754" s="110">
        <f ca="1">IF(VLOOKUP($C744,Facilities,6,FALSE)="Eligible", F750, 0 )</f>
        <v>0</v>
      </c>
      <c r="G754" s="110">
        <f ca="1">IF(VLOOKUP($C744,Facilities,6,FALSE)="Eligible", G750, 0 )</f>
        <v>0</v>
      </c>
      <c r="H754" s="45">
        <f ca="1">IF(VLOOKUP($C744,Facilities,6,FALSE)="Eligible", H750, 0 )</f>
        <v>0</v>
      </c>
      <c r="L754" s="1" t="s">
        <v>233</v>
      </c>
      <c r="M754" s="29" t="s">
        <v>184</v>
      </c>
      <c r="N754" s="228" t="s">
        <v>6</v>
      </c>
    </row>
    <row r="755" spans="1:14" ht="15" customHeight="1" x14ac:dyDescent="0.25">
      <c r="B755" s="56" t="s">
        <v>121</v>
      </c>
      <c r="C755" s="55"/>
      <c r="D755" s="37">
        <f ca="1">SUM(D753:D754)</f>
        <v>0</v>
      </c>
      <c r="E755" s="37">
        <f ca="1">SUM(E753:E754)</f>
        <v>0</v>
      </c>
      <c r="F755" s="37">
        <f ca="1">SUM(F753:F754)</f>
        <v>0</v>
      </c>
      <c r="G755" s="37">
        <f ca="1">SUM(G753:G754)</f>
        <v>0</v>
      </c>
      <c r="H755" s="37">
        <f ca="1">SUM(H753:H754)</f>
        <v>0</v>
      </c>
      <c r="L755" s="1" t="s">
        <v>233</v>
      </c>
      <c r="M755" s="29" t="s">
        <v>184</v>
      </c>
      <c r="N755" s="228" t="s">
        <v>121</v>
      </c>
    </row>
    <row r="756" spans="1:14" ht="15" customHeight="1" x14ac:dyDescent="0.25">
      <c r="B756" s="29"/>
      <c r="C756" s="29"/>
      <c r="D756" s="30"/>
      <c r="E756" s="30"/>
      <c r="F756" s="30"/>
      <c r="G756" s="169"/>
      <c r="H756" s="30"/>
      <c r="L756" s="1" t="s">
        <v>233</v>
      </c>
      <c r="M756" s="29" t="s">
        <v>184</v>
      </c>
    </row>
    <row r="757" spans="1:14" ht="18.75" customHeight="1" x14ac:dyDescent="0.3">
      <c r="A757" s="38" t="s">
        <v>30</v>
      </c>
      <c r="C757" s="29"/>
      <c r="D757" s="2">
        <f>D746</f>
        <v>2017</v>
      </c>
      <c r="E757" s="2">
        <f>D757+1</f>
        <v>2018</v>
      </c>
      <c r="F757" s="2">
        <f>E757+1</f>
        <v>2019</v>
      </c>
      <c r="G757" s="2">
        <f>F757+1</f>
        <v>2020</v>
      </c>
      <c r="H757" s="2">
        <f>G757+1</f>
        <v>2021</v>
      </c>
      <c r="L757" s="1" t="s">
        <v>233</v>
      </c>
      <c r="M757" s="29" t="s">
        <v>184</v>
      </c>
      <c r="N757" s="228" t="s">
        <v>30</v>
      </c>
    </row>
    <row r="758" spans="1:14" ht="15" customHeight="1" x14ac:dyDescent="0.25">
      <c r="B758" s="57" t="s">
        <v>47</v>
      </c>
      <c r="C758" s="52"/>
      <c r="D758" s="3">
        <v>0</v>
      </c>
      <c r="E758" s="3">
        <v>0</v>
      </c>
      <c r="F758" s="3">
        <v>0</v>
      </c>
      <c r="G758" s="3">
        <v>0</v>
      </c>
      <c r="H758" s="4">
        <v>0</v>
      </c>
      <c r="L758" s="1" t="s">
        <v>233</v>
      </c>
      <c r="M758" s="29" t="s">
        <v>184</v>
      </c>
      <c r="N758" s="228" t="s">
        <v>47</v>
      </c>
    </row>
    <row r="759" spans="1:14" ht="15" customHeight="1" x14ac:dyDescent="0.25">
      <c r="B759" s="58" t="s">
        <v>23</v>
      </c>
      <c r="C759" s="59"/>
      <c r="D759" s="137">
        <v>0</v>
      </c>
      <c r="E759" s="137">
        <v>0</v>
      </c>
      <c r="F759" s="137">
        <v>0</v>
      </c>
      <c r="G759" s="137">
        <v>0</v>
      </c>
      <c r="H759" s="138">
        <v>0</v>
      </c>
      <c r="L759" s="1" t="s">
        <v>233</v>
      </c>
      <c r="M759" s="29" t="s">
        <v>184</v>
      </c>
      <c r="N759" s="228" t="s">
        <v>23</v>
      </c>
    </row>
    <row r="760" spans="1:14" ht="15" customHeight="1" x14ac:dyDescent="0.25">
      <c r="B760" s="68" t="s">
        <v>89</v>
      </c>
      <c r="C760" s="67"/>
      <c r="D760" s="191">
        <v>0</v>
      </c>
      <c r="E760" s="139">
        <v>0</v>
      </c>
      <c r="F760" s="139">
        <v>0</v>
      </c>
      <c r="G760" s="139">
        <v>0</v>
      </c>
      <c r="H760" s="140">
        <v>0</v>
      </c>
      <c r="L760" s="1" t="s">
        <v>233</v>
      </c>
      <c r="M760" s="29" t="s">
        <v>184</v>
      </c>
      <c r="N760" s="228" t="s">
        <v>89</v>
      </c>
    </row>
    <row r="761" spans="1:14" ht="15" customHeight="1" x14ac:dyDescent="0.25">
      <c r="B761" s="32" t="s">
        <v>90</v>
      </c>
      <c r="D761" s="6">
        <f>SUM(D758:D760)</f>
        <v>0</v>
      </c>
      <c r="E761" s="6">
        <f>SUM(E758:E760)</f>
        <v>0</v>
      </c>
      <c r="F761" s="6">
        <f>SUM(F758:F760)</f>
        <v>0</v>
      </c>
      <c r="G761" s="6">
        <f>SUM(G758:G760)</f>
        <v>0</v>
      </c>
      <c r="H761" s="6">
        <f>SUM(H758:H760)</f>
        <v>0</v>
      </c>
      <c r="L761" s="1" t="s">
        <v>233</v>
      </c>
      <c r="M761" s="29" t="s">
        <v>184</v>
      </c>
      <c r="N761" s="228" t="s">
        <v>90</v>
      </c>
    </row>
    <row r="762" spans="1:14" ht="15" customHeight="1" x14ac:dyDescent="0.25">
      <c r="B762" s="5"/>
      <c r="D762" s="6"/>
      <c r="E762" s="6"/>
      <c r="F762" s="6"/>
      <c r="G762" s="167"/>
      <c r="H762" s="6"/>
      <c r="L762" s="1" t="s">
        <v>233</v>
      </c>
      <c r="M762" s="29" t="s">
        <v>184</v>
      </c>
    </row>
    <row r="763" spans="1:14" ht="18.75" customHeight="1" x14ac:dyDescent="0.3">
      <c r="A763" s="8" t="s">
        <v>100</v>
      </c>
      <c r="D763" s="2">
        <f>D746</f>
        <v>2017</v>
      </c>
      <c r="E763" s="2">
        <f>D763+1</f>
        <v>2018</v>
      </c>
      <c r="F763" s="2">
        <f>E763+1</f>
        <v>2019</v>
      </c>
      <c r="G763" s="2">
        <f>F763+1</f>
        <v>2020</v>
      </c>
      <c r="H763" s="2">
        <f>G763+1</f>
        <v>2021</v>
      </c>
      <c r="L763" s="1" t="s">
        <v>233</v>
      </c>
      <c r="M763" s="29" t="s">
        <v>184</v>
      </c>
      <c r="N763" s="228" t="s">
        <v>100</v>
      </c>
    </row>
    <row r="764" spans="1:14" ht="15" customHeight="1" x14ac:dyDescent="0.25">
      <c r="B764" s="57" t="str">
        <f>(StartYear-1) &amp; " Surplus Applied to " &amp; StartYear</f>
        <v>2016 Surplus Applied to 2017</v>
      </c>
      <c r="C764" s="29"/>
      <c r="D764" s="186">
        <v>0</v>
      </c>
      <c r="E764" s="187"/>
      <c r="F764" s="187"/>
      <c r="G764" s="187"/>
      <c r="H764" s="188"/>
      <c r="L764" s="1" t="s">
        <v>233</v>
      </c>
      <c r="M764" s="29" t="s">
        <v>184</v>
      </c>
      <c r="N764" s="228" t="s">
        <v>235</v>
      </c>
    </row>
    <row r="765" spans="1:14" ht="15" customHeight="1" x14ac:dyDescent="0.25">
      <c r="B765" s="57" t="str">
        <f>StartYear &amp; " Surplus Applied to " &amp; (StartYear-1)</f>
        <v>2017 Surplus Applied to 2016</v>
      </c>
      <c r="C765" s="29"/>
      <c r="D765" s="189">
        <v>0</v>
      </c>
      <c r="E765" s="113"/>
      <c r="F765" s="113"/>
      <c r="G765" s="113"/>
      <c r="H765" s="117"/>
      <c r="L765" s="1" t="s">
        <v>233</v>
      </c>
      <c r="M765" s="29" t="s">
        <v>184</v>
      </c>
      <c r="N765" s="228" t="s">
        <v>236</v>
      </c>
    </row>
    <row r="766" spans="1:14" ht="15" customHeight="1" x14ac:dyDescent="0.25">
      <c r="B766" s="57" t="str">
        <f>( StartYear) &amp; " Surplus Applied to " &amp; ( StartYear + 1 )</f>
        <v>2017 Surplus Applied to 2018</v>
      </c>
      <c r="C766" s="29"/>
      <c r="D766" s="184">
        <v>0</v>
      </c>
      <c r="E766" s="185">
        <f>D766</f>
        <v>0</v>
      </c>
      <c r="F766" s="181"/>
      <c r="G766" s="181"/>
      <c r="H766" s="182"/>
      <c r="L766" s="1" t="s">
        <v>233</v>
      </c>
      <c r="M766" s="29" t="s">
        <v>184</v>
      </c>
      <c r="N766" s="228" t="s">
        <v>237</v>
      </c>
    </row>
    <row r="767" spans="1:14" ht="15" customHeight="1" x14ac:dyDescent="0.25">
      <c r="B767" s="57" t="str">
        <f xml:space="preserve"> ( StartYear + 1 ) &amp; " Surplus Applied to " &amp; ( StartYear )</f>
        <v>2018 Surplus Applied to 2017</v>
      </c>
      <c r="C767" s="52"/>
      <c r="D767" s="134">
        <v>0</v>
      </c>
      <c r="E767" s="9">
        <v>0</v>
      </c>
      <c r="F767" s="113"/>
      <c r="G767" s="113"/>
      <c r="H767" s="117"/>
      <c r="L767" s="1" t="s">
        <v>233</v>
      </c>
      <c r="M767" s="29" t="s">
        <v>184</v>
      </c>
      <c r="N767" s="228" t="s">
        <v>238</v>
      </c>
    </row>
    <row r="768" spans="1:14" ht="15" customHeight="1" x14ac:dyDescent="0.25">
      <c r="B768" s="119" t="str">
        <f xml:space="preserve"> ( StartYear + 1 ) &amp; " Surplus Applied to " &amp; ( StartYear + 2 )</f>
        <v>2018 Surplus Applied to 2019</v>
      </c>
      <c r="C768" s="52"/>
      <c r="D768" s="114"/>
      <c r="E768" s="9">
        <v>0</v>
      </c>
      <c r="F768" s="51">
        <f>E768</f>
        <v>0</v>
      </c>
      <c r="G768" s="113"/>
      <c r="H768" s="117"/>
      <c r="L768" s="1" t="s">
        <v>233</v>
      </c>
      <c r="M768" s="29" t="s">
        <v>184</v>
      </c>
      <c r="N768" s="228" t="s">
        <v>239</v>
      </c>
    </row>
    <row r="769" spans="1:14" ht="15" customHeight="1" x14ac:dyDescent="0.25">
      <c r="B769" s="119" t="str">
        <f xml:space="preserve"> ( StartYear + 2 ) &amp; " Surplus Applied to " &amp; ( StartYear + 1 )</f>
        <v>2019 Surplus Applied to 2018</v>
      </c>
      <c r="C769" s="52"/>
      <c r="D769" s="114"/>
      <c r="E769" s="51">
        <v>0</v>
      </c>
      <c r="F769" s="9">
        <v>0</v>
      </c>
      <c r="G769" s="113"/>
      <c r="H769" s="117"/>
      <c r="L769" s="1" t="s">
        <v>233</v>
      </c>
      <c r="M769" s="29" t="s">
        <v>184</v>
      </c>
      <c r="N769" s="228" t="s">
        <v>240</v>
      </c>
    </row>
    <row r="770" spans="1:14" ht="15" customHeight="1" x14ac:dyDescent="0.25">
      <c r="B770" s="165" t="str">
        <f xml:space="preserve"> ( StartYear + 2 ) &amp; " Surplus Applied to " &amp; ( StartYear + 3 )</f>
        <v>2019 Surplus Applied to 2020</v>
      </c>
      <c r="C770" s="29"/>
      <c r="D770" s="114"/>
      <c r="E770" s="113"/>
      <c r="F770" s="9">
        <v>0</v>
      </c>
      <c r="G770" s="51">
        <f>F770</f>
        <v>0</v>
      </c>
      <c r="H770" s="117"/>
      <c r="L770" s="1" t="s">
        <v>233</v>
      </c>
      <c r="M770" s="29" t="s">
        <v>184</v>
      </c>
      <c r="N770" s="228" t="s">
        <v>241</v>
      </c>
    </row>
    <row r="771" spans="1:14" ht="15" customHeight="1" x14ac:dyDescent="0.25">
      <c r="B771" s="165" t="str">
        <f xml:space="preserve"> ( StartYear + 3 ) &amp; " Surplus Applied to " &amp; ( StartYear + 2 )</f>
        <v>2020 Surplus Applied to 2019</v>
      </c>
      <c r="C771" s="29"/>
      <c r="D771" s="114"/>
      <c r="E771" s="113"/>
      <c r="F771" s="51">
        <v>0</v>
      </c>
      <c r="G771" s="9">
        <v>0</v>
      </c>
      <c r="H771" s="117"/>
      <c r="L771" s="1" t="s">
        <v>233</v>
      </c>
      <c r="M771" s="29" t="s">
        <v>184</v>
      </c>
      <c r="N771" s="228" t="s">
        <v>242</v>
      </c>
    </row>
    <row r="772" spans="1:14" ht="15" customHeight="1" x14ac:dyDescent="0.25">
      <c r="B772" s="165" t="str">
        <f xml:space="preserve"> ( StartYear + 3 ) &amp; " Surplus Applied to " &amp; ( StartYear + 4 )</f>
        <v>2020 Surplus Applied to 2021</v>
      </c>
      <c r="C772" s="29"/>
      <c r="D772" s="114"/>
      <c r="E772" s="113"/>
      <c r="F772" s="113"/>
      <c r="G772" s="9">
        <f ca="1">G750+G755-G761</f>
        <v>0</v>
      </c>
      <c r="H772" s="46">
        <f ca="1">G772</f>
        <v>0</v>
      </c>
      <c r="L772" s="1" t="s">
        <v>233</v>
      </c>
      <c r="M772" s="29" t="s">
        <v>184</v>
      </c>
      <c r="N772" s="228" t="s">
        <v>243</v>
      </c>
    </row>
    <row r="773" spans="1:14" ht="15" customHeight="1" x14ac:dyDescent="0.25">
      <c r="B773" s="165" t="str">
        <f xml:space="preserve"> ( StartYear + 4 ) &amp; " Surplus Applied to " &amp; ( StartYear + 3 )</f>
        <v>2021 Surplus Applied to 2020</v>
      </c>
      <c r="C773" s="29"/>
      <c r="D773" s="115"/>
      <c r="E773" s="116"/>
      <c r="F773" s="116"/>
      <c r="G773" s="47">
        <v>0</v>
      </c>
      <c r="H773" s="41">
        <v>0</v>
      </c>
      <c r="L773" s="1" t="s">
        <v>233</v>
      </c>
      <c r="M773" s="29" t="s">
        <v>184</v>
      </c>
      <c r="N773" s="228" t="s">
        <v>244</v>
      </c>
    </row>
    <row r="774" spans="1:14" ht="15" customHeight="1" x14ac:dyDescent="0.25">
      <c r="B774" s="32" t="s">
        <v>17</v>
      </c>
      <c r="D774" s="6">
        <f>D764-D765+D767-D766</f>
        <v>0</v>
      </c>
      <c r="E774" s="6">
        <f>E766+E769-E767-E768</f>
        <v>0</v>
      </c>
      <c r="F774" s="6">
        <f>F768+F771-F769-F770</f>
        <v>0</v>
      </c>
      <c r="G774" s="6">
        <f ca="1">G770+G773-G771-G772</f>
        <v>0</v>
      </c>
      <c r="H774" s="6">
        <f ca="1">H772 - H773</f>
        <v>0</v>
      </c>
      <c r="L774" s="1" t="s">
        <v>233</v>
      </c>
      <c r="M774" s="29" t="s">
        <v>184</v>
      </c>
      <c r="N774" s="228" t="s">
        <v>17</v>
      </c>
    </row>
    <row r="775" spans="1:14" ht="15" customHeight="1" x14ac:dyDescent="0.25">
      <c r="B775" s="5"/>
      <c r="D775" s="6"/>
      <c r="E775" s="6"/>
      <c r="F775" s="6"/>
      <c r="G775" s="6"/>
      <c r="H775" s="6"/>
      <c r="L775" s="1" t="s">
        <v>233</v>
      </c>
      <c r="M775" s="29" t="s">
        <v>184</v>
      </c>
    </row>
    <row r="776" spans="1:14" ht="15" customHeight="1" x14ac:dyDescent="0.25">
      <c r="B776" s="54" t="s">
        <v>12</v>
      </c>
      <c r="C776" s="52"/>
      <c r="D776" s="75">
        <v>0</v>
      </c>
      <c r="E776" s="111">
        <v>0</v>
      </c>
      <c r="F776" s="111">
        <v>0</v>
      </c>
      <c r="G776" s="111">
        <v>0</v>
      </c>
      <c r="H776" s="76">
        <v>0</v>
      </c>
      <c r="L776" s="1" t="s">
        <v>233</v>
      </c>
      <c r="M776" s="29" t="s">
        <v>184</v>
      </c>
      <c r="N776" s="228" t="s">
        <v>12</v>
      </c>
    </row>
    <row r="777" spans="1:14" ht="15" customHeight="1" x14ac:dyDescent="0.25">
      <c r="B777" s="5"/>
      <c r="D777" s="6"/>
      <c r="E777" s="6"/>
      <c r="F777" s="6"/>
      <c r="G777" s="6"/>
      <c r="H777" s="6"/>
      <c r="L777" s="1" t="s">
        <v>233</v>
      </c>
      <c r="M777" s="29" t="s">
        <v>184</v>
      </c>
    </row>
    <row r="778" spans="1:14" ht="18.75" customHeight="1" x14ac:dyDescent="0.3">
      <c r="A778" s="38" t="s">
        <v>26</v>
      </c>
      <c r="C778" s="52">
        <f>A744</f>
        <v>19</v>
      </c>
      <c r="D778" s="112">
        <f ca="1" xml:space="preserve"> D750 + D755 - D761 + D774 + D776</f>
        <v>6741</v>
      </c>
      <c r="E778" s="112">
        <f ca="1" xml:space="preserve"> E750 + E755 - E761 + E774 + E776</f>
        <v>0</v>
      </c>
      <c r="F778" s="112">
        <f ca="1" xml:space="preserve"> F750 + F755 - F761 + F774 + F776</f>
        <v>0</v>
      </c>
      <c r="G778" s="112">
        <f ca="1" xml:space="preserve"> G750 + G755 - G761 + G774 + G776</f>
        <v>0</v>
      </c>
      <c r="H778" s="174">
        <f ca="1" xml:space="preserve"> H750 + H755 - H761 + H774 + H776</f>
        <v>0</v>
      </c>
      <c r="L778" s="1" t="s">
        <v>233</v>
      </c>
      <c r="M778" s="29" t="s">
        <v>184</v>
      </c>
      <c r="N778" s="228" t="s">
        <v>26</v>
      </c>
    </row>
    <row r="779" spans="1:14" ht="15" customHeight="1" x14ac:dyDescent="0.25">
      <c r="C779" s="108" t="s">
        <v>158</v>
      </c>
      <c r="D779" s="6">
        <v>6741</v>
      </c>
      <c r="E779" s="28"/>
      <c r="F779" s="28"/>
      <c r="G779" s="28"/>
      <c r="H779" s="28"/>
      <c r="L779" s="1" t="s">
        <v>233</v>
      </c>
      <c r="M779" s="29" t="s">
        <v>184</v>
      </c>
      <c r="N779" s="228" t="s">
        <v>158</v>
      </c>
    </row>
    <row r="780" spans="1:14" ht="15" customHeight="1" x14ac:dyDescent="0.25">
      <c r="C780" s="125"/>
      <c r="D780" s="6"/>
      <c r="E780" s="6"/>
      <c r="F780" s="28"/>
      <c r="G780" s="28"/>
      <c r="H780" s="28"/>
      <c r="L780" s="1" t="s">
        <v>233</v>
      </c>
      <c r="M780" s="29" t="s">
        <v>184</v>
      </c>
    </row>
    <row r="781" spans="1:14" ht="15" customHeight="1" x14ac:dyDescent="0.25">
      <c r="A781" s="29"/>
      <c r="B781" s="29"/>
      <c r="C781" s="29"/>
      <c r="D781" s="29"/>
      <c r="E781" s="29"/>
      <c r="F781" s="29"/>
      <c r="G781" s="29"/>
      <c r="H781" s="29"/>
      <c r="L781" s="1" t="s">
        <v>233</v>
      </c>
      <c r="M781" s="29" t="s">
        <v>184</v>
      </c>
    </row>
    <row r="782" spans="1:14" ht="21" customHeight="1" x14ac:dyDescent="0.35">
      <c r="A782" s="12">
        <f>MAX(A$1:A781)+1</f>
        <v>20</v>
      </c>
      <c r="B782" s="12"/>
      <c r="C782" s="214" t="str">
        <f ca="1">OFFSET($B$4,A782-1,0)</f>
        <v>Hidden Hollow Energy LLC - Hidden Hollow Energy</v>
      </c>
      <c r="D782" s="215"/>
      <c r="E782" s="216"/>
      <c r="F782" s="216"/>
      <c r="G782" s="217"/>
      <c r="H782" s="218"/>
      <c r="L782" s="1" t="s">
        <v>233</v>
      </c>
      <c r="M782" s="29" t="s">
        <v>208</v>
      </c>
      <c r="N782" s="228">
        <v>22</v>
      </c>
    </row>
    <row r="783" spans="1:14" ht="15" customHeight="1" x14ac:dyDescent="0.25">
      <c r="C783" s="1" t="str">
        <f ca="1">VLOOKUP(C782,Facilities,3,FALSE)</f>
        <v>REC only</v>
      </c>
      <c r="D783" s="1"/>
      <c r="L783" s="1" t="s">
        <v>233</v>
      </c>
      <c r="M783" s="29" t="s">
        <v>208</v>
      </c>
      <c r="N783" s="228" t="s">
        <v>181</v>
      </c>
    </row>
    <row r="784" spans="1:14" ht="18.75" customHeight="1" x14ac:dyDescent="0.3">
      <c r="A784" s="8" t="s">
        <v>21</v>
      </c>
      <c r="B784" s="8"/>
      <c r="D784" s="2">
        <f>StartYear</f>
        <v>2017</v>
      </c>
      <c r="E784" s="2">
        <f>D784+1</f>
        <v>2018</v>
      </c>
      <c r="F784" s="2">
        <f>E784+1</f>
        <v>2019</v>
      </c>
      <c r="G784" s="2">
        <f>F784+1</f>
        <v>2020</v>
      </c>
      <c r="H784" s="2">
        <f>G784+1</f>
        <v>2021</v>
      </c>
      <c r="L784" s="1" t="s">
        <v>233</v>
      </c>
      <c r="M784" s="29" t="s">
        <v>208</v>
      </c>
      <c r="N784" s="228" t="s">
        <v>21</v>
      </c>
    </row>
    <row r="785" spans="1:14" ht="15" customHeight="1" x14ac:dyDescent="0.25">
      <c r="B785" s="119" t="str">
        <f ca="1">IF(C821&lt;&gt;"REC only","Total MWh ","")&amp;IF(C783="PSE owned","Produced","Purchased")&amp;" from "&amp;C782</f>
        <v>Purchased from Hidden Hollow Energy LLC - Hidden Hollow Energy</v>
      </c>
      <c r="C785" s="52"/>
      <c r="D785" s="3"/>
      <c r="E785" s="3"/>
      <c r="F785" s="3"/>
      <c r="G785" s="3">
        <v>18376</v>
      </c>
      <c r="H785" s="4"/>
      <c r="L785" s="1" t="s">
        <v>233</v>
      </c>
      <c r="M785" s="231" t="s">
        <v>208</v>
      </c>
      <c r="N785" s="228" t="s">
        <v>263</v>
      </c>
    </row>
    <row r="786" spans="1:14" ht="15" customHeight="1" x14ac:dyDescent="0.25">
      <c r="B786" s="57" t="s">
        <v>25</v>
      </c>
      <c r="C786" s="52"/>
      <c r="D786" s="132"/>
      <c r="E786" s="132"/>
      <c r="F786" s="132"/>
      <c r="G786" s="132">
        <v>1</v>
      </c>
      <c r="H786" s="133"/>
      <c r="L786" s="1" t="s">
        <v>233</v>
      </c>
      <c r="M786" s="29" t="s">
        <v>208</v>
      </c>
      <c r="N786" s="228" t="s">
        <v>25</v>
      </c>
    </row>
    <row r="787" spans="1:14" ht="15" customHeight="1" x14ac:dyDescent="0.25">
      <c r="B787" s="57" t="s">
        <v>20</v>
      </c>
      <c r="C787" s="52"/>
      <c r="D787" s="42"/>
      <c r="E787" s="42"/>
      <c r="F787" s="42"/>
      <c r="G787" s="42">
        <v>1</v>
      </c>
      <c r="H787" s="43"/>
      <c r="L787" s="1" t="s">
        <v>233</v>
      </c>
      <c r="M787" s="29" t="s">
        <v>208</v>
      </c>
      <c r="N787" s="228" t="s">
        <v>20</v>
      </c>
    </row>
    <row r="788" spans="1:14" ht="15" customHeight="1" x14ac:dyDescent="0.25">
      <c r="B788" s="54" t="s">
        <v>22</v>
      </c>
      <c r="C788" s="55"/>
      <c r="D788" s="131">
        <f xml:space="preserve"> D785 * D786 * D787</f>
        <v>0</v>
      </c>
      <c r="E788" s="131">
        <f xml:space="preserve"> E785 * E786 * E787</f>
        <v>0</v>
      </c>
      <c r="F788" s="131">
        <f xml:space="preserve"> ROUNDDOWN(F785 * F786 * F787,0)</f>
        <v>0</v>
      </c>
      <c r="G788" s="131">
        <f xml:space="preserve"> ROUNDDOWN(G785 * G786 * G787,0)</f>
        <v>18376</v>
      </c>
      <c r="H788" s="131">
        <f xml:space="preserve"> ROUNDDOWN(H785 * H786 * H787,0)</f>
        <v>0</v>
      </c>
      <c r="L788" s="1" t="s">
        <v>233</v>
      </c>
      <c r="M788" s="29" t="s">
        <v>208</v>
      </c>
      <c r="N788" s="228" t="s">
        <v>22</v>
      </c>
    </row>
    <row r="789" spans="1:14" ht="15" customHeight="1" x14ac:dyDescent="0.25">
      <c r="B789" s="22"/>
      <c r="C789" s="29"/>
      <c r="D789" s="36"/>
      <c r="E789" s="36"/>
      <c r="F789" s="36"/>
      <c r="G789" s="167"/>
      <c r="H789" s="36"/>
      <c r="L789" s="1" t="s">
        <v>233</v>
      </c>
      <c r="M789" s="29" t="s">
        <v>208</v>
      </c>
    </row>
    <row r="790" spans="1:14" ht="18.75" customHeight="1" x14ac:dyDescent="0.3">
      <c r="A790" s="39" t="s">
        <v>119</v>
      </c>
      <c r="C790" s="29"/>
      <c r="D790" s="2">
        <f>D784</f>
        <v>2017</v>
      </c>
      <c r="E790" s="2">
        <f>D790+1</f>
        <v>2018</v>
      </c>
      <c r="F790" s="2">
        <f>E790+1</f>
        <v>2019</v>
      </c>
      <c r="G790" s="2">
        <f>F790+1</f>
        <v>2020</v>
      </c>
      <c r="H790" s="2">
        <f>G790+1</f>
        <v>2021</v>
      </c>
      <c r="L790" s="1" t="s">
        <v>233</v>
      </c>
      <c r="M790" s="29" t="s">
        <v>208</v>
      </c>
      <c r="N790" s="228" t="s">
        <v>119</v>
      </c>
    </row>
    <row r="791" spans="1:14" x14ac:dyDescent="0.25">
      <c r="B791" s="57" t="s">
        <v>10</v>
      </c>
      <c r="C791" s="52"/>
      <c r="D791" s="10">
        <f ca="1">IF(VLOOKUP($C782,Facilities,5,FALSE)="Eligible", D788*ApprenticeshipBonus, 0 )</f>
        <v>0</v>
      </c>
      <c r="E791" s="109">
        <f ca="1">IF(VLOOKUP($C782,Facilities,5,FALSE)="Eligible", E788*ApprenticeshipBonus, 0 )</f>
        <v>0</v>
      </c>
      <c r="F791" s="109">
        <f ca="1">IF(VLOOKUP($C782,Facilities,5,FALSE)="Eligible", F788*ApprenticeshipBonus, 0 )</f>
        <v>0</v>
      </c>
      <c r="G791" s="109">
        <f ca="1">IF(VLOOKUP($C782,Facilities,5,FALSE)="Eligible", G788*ApprenticeshipBonus, 0 )</f>
        <v>0</v>
      </c>
      <c r="H791" s="11">
        <f ca="1">IF(VLOOKUP($C782,Facilities,5,FALSE)="Eligible", H788*ApprenticeshipBonus, 0 )</f>
        <v>0</v>
      </c>
      <c r="L791" s="1" t="s">
        <v>233</v>
      </c>
      <c r="M791" s="29" t="s">
        <v>208</v>
      </c>
      <c r="N791" s="228" t="s">
        <v>10</v>
      </c>
    </row>
    <row r="792" spans="1:14" ht="15" customHeight="1" x14ac:dyDescent="0.25">
      <c r="B792" s="57" t="s">
        <v>6</v>
      </c>
      <c r="C792" s="52"/>
      <c r="D792" s="44">
        <f ca="1">IF(VLOOKUP($C782,Facilities,6,FALSE)="Eligible", D788, 0 )</f>
        <v>0</v>
      </c>
      <c r="E792" s="110">
        <f ca="1">IF(VLOOKUP($C782,Facilities,6,FALSE)="Eligible", E788, 0 )</f>
        <v>0</v>
      </c>
      <c r="F792" s="110">
        <f ca="1">IF(VLOOKUP($C782,Facilities,6,FALSE)="Eligible", F788, 0 )</f>
        <v>0</v>
      </c>
      <c r="G792" s="110">
        <f ca="1">IF(VLOOKUP($C782,Facilities,6,FALSE)="Eligible", G788, 0 )</f>
        <v>18376</v>
      </c>
      <c r="H792" s="45">
        <f ca="1">IF(VLOOKUP($C782,Facilities,6,FALSE)="Eligible", H788, 0 )</f>
        <v>0</v>
      </c>
      <c r="L792" s="1" t="s">
        <v>233</v>
      </c>
      <c r="M792" s="29" t="s">
        <v>208</v>
      </c>
      <c r="N792" s="228" t="s">
        <v>6</v>
      </c>
    </row>
    <row r="793" spans="1:14" ht="15" customHeight="1" x14ac:dyDescent="0.25">
      <c r="B793" s="56" t="s">
        <v>121</v>
      </c>
      <c r="C793" s="55"/>
      <c r="D793" s="37">
        <f ca="1">SUM(D791:D792)</f>
        <v>0</v>
      </c>
      <c r="E793" s="37">
        <f ca="1">SUM(E791:E792)</f>
        <v>0</v>
      </c>
      <c r="F793" s="37">
        <f ca="1">SUM(F791:F792)</f>
        <v>0</v>
      </c>
      <c r="G793" s="37">
        <f ca="1">SUM(G791:G792)</f>
        <v>18376</v>
      </c>
      <c r="H793" s="37">
        <f ca="1">SUM(H791:H792)</f>
        <v>0</v>
      </c>
      <c r="L793" s="1" t="s">
        <v>233</v>
      </c>
      <c r="M793" s="29" t="s">
        <v>208</v>
      </c>
      <c r="N793" s="228" t="s">
        <v>121</v>
      </c>
    </row>
    <row r="794" spans="1:14" ht="15" customHeight="1" x14ac:dyDescent="0.25">
      <c r="B794" s="29"/>
      <c r="C794" s="29"/>
      <c r="D794" s="30"/>
      <c r="E794" s="30"/>
      <c r="F794" s="30"/>
      <c r="G794" s="169"/>
      <c r="H794" s="30"/>
      <c r="L794" s="1" t="s">
        <v>233</v>
      </c>
      <c r="M794" s="29" t="s">
        <v>208</v>
      </c>
    </row>
    <row r="795" spans="1:14" ht="18.75" customHeight="1" x14ac:dyDescent="0.3">
      <c r="A795" s="38" t="s">
        <v>30</v>
      </c>
      <c r="C795" s="29"/>
      <c r="D795" s="2">
        <f>D784</f>
        <v>2017</v>
      </c>
      <c r="E795" s="2">
        <f>D795+1</f>
        <v>2018</v>
      </c>
      <c r="F795" s="2">
        <f>E795+1</f>
        <v>2019</v>
      </c>
      <c r="G795" s="2">
        <f>F795+1</f>
        <v>2020</v>
      </c>
      <c r="H795" s="2">
        <f>G795+1</f>
        <v>2021</v>
      </c>
      <c r="L795" s="1" t="s">
        <v>233</v>
      </c>
      <c r="M795" s="29" t="s">
        <v>208</v>
      </c>
      <c r="N795" s="228" t="s">
        <v>30</v>
      </c>
    </row>
    <row r="796" spans="1:14" ht="15" customHeight="1" x14ac:dyDescent="0.25">
      <c r="B796" s="57" t="s">
        <v>47</v>
      </c>
      <c r="C796" s="52"/>
      <c r="D796" s="3">
        <v>0</v>
      </c>
      <c r="E796" s="3">
        <v>0</v>
      </c>
      <c r="F796" s="3">
        <v>0</v>
      </c>
      <c r="G796" s="3">
        <v>0</v>
      </c>
      <c r="H796" s="4">
        <v>0</v>
      </c>
      <c r="L796" s="1" t="s">
        <v>233</v>
      </c>
      <c r="M796" s="29" t="s">
        <v>208</v>
      </c>
      <c r="N796" s="228" t="s">
        <v>47</v>
      </c>
    </row>
    <row r="797" spans="1:14" ht="15" customHeight="1" x14ac:dyDescent="0.25">
      <c r="B797" s="58" t="s">
        <v>23</v>
      </c>
      <c r="C797" s="59"/>
      <c r="D797" s="137">
        <v>0</v>
      </c>
      <c r="E797" s="137">
        <v>0</v>
      </c>
      <c r="F797" s="137">
        <v>0</v>
      </c>
      <c r="G797" s="137">
        <v>0</v>
      </c>
      <c r="H797" s="138">
        <v>0</v>
      </c>
      <c r="L797" s="1" t="s">
        <v>233</v>
      </c>
      <c r="M797" s="29" t="s">
        <v>208</v>
      </c>
      <c r="N797" s="228" t="s">
        <v>23</v>
      </c>
    </row>
    <row r="798" spans="1:14" ht="15" customHeight="1" x14ac:dyDescent="0.25">
      <c r="B798" s="68" t="s">
        <v>89</v>
      </c>
      <c r="C798" s="67"/>
      <c r="D798" s="191">
        <v>0</v>
      </c>
      <c r="E798" s="139">
        <v>0</v>
      </c>
      <c r="F798" s="139">
        <v>0</v>
      </c>
      <c r="G798" s="139">
        <v>0</v>
      </c>
      <c r="H798" s="140">
        <v>0</v>
      </c>
      <c r="L798" s="1" t="s">
        <v>233</v>
      </c>
      <c r="M798" s="29" t="s">
        <v>208</v>
      </c>
      <c r="N798" s="228" t="s">
        <v>89</v>
      </c>
    </row>
    <row r="799" spans="1:14" ht="15" customHeight="1" x14ac:dyDescent="0.25">
      <c r="B799" s="32" t="s">
        <v>90</v>
      </c>
      <c r="D799" s="6">
        <f>SUM(D796:D798)</f>
        <v>0</v>
      </c>
      <c r="E799" s="6">
        <f>SUM(E796:E798)</f>
        <v>0</v>
      </c>
      <c r="F799" s="6">
        <f>SUM(F796:F798)</f>
        <v>0</v>
      </c>
      <c r="G799" s="6">
        <f>SUM(G796:G798)</f>
        <v>0</v>
      </c>
      <c r="H799" s="6">
        <f>SUM(H796:H798)</f>
        <v>0</v>
      </c>
      <c r="L799" s="1" t="s">
        <v>233</v>
      </c>
      <c r="M799" s="29" t="s">
        <v>208</v>
      </c>
      <c r="N799" s="228" t="s">
        <v>90</v>
      </c>
    </row>
    <row r="800" spans="1:14" ht="15" customHeight="1" x14ac:dyDescent="0.25">
      <c r="B800" s="5"/>
      <c r="D800" s="6"/>
      <c r="E800" s="6"/>
      <c r="F800" s="6"/>
      <c r="G800" s="167"/>
      <c r="H800" s="6"/>
      <c r="L800" s="1" t="s">
        <v>233</v>
      </c>
      <c r="M800" s="29" t="s">
        <v>208</v>
      </c>
    </row>
    <row r="801" spans="1:14" ht="18.75" customHeight="1" x14ac:dyDescent="0.3">
      <c r="A801" s="8" t="s">
        <v>100</v>
      </c>
      <c r="D801" s="2">
        <f>D784</f>
        <v>2017</v>
      </c>
      <c r="E801" s="2">
        <f>D801+1</f>
        <v>2018</v>
      </c>
      <c r="F801" s="2">
        <f>E801+1</f>
        <v>2019</v>
      </c>
      <c r="G801" s="2">
        <f>F801+1</f>
        <v>2020</v>
      </c>
      <c r="H801" s="2">
        <f>G801+1</f>
        <v>2021</v>
      </c>
      <c r="L801" s="1" t="s">
        <v>233</v>
      </c>
      <c r="M801" s="29" t="s">
        <v>208</v>
      </c>
      <c r="N801" s="228" t="s">
        <v>100</v>
      </c>
    </row>
    <row r="802" spans="1:14" ht="15" customHeight="1" x14ac:dyDescent="0.25">
      <c r="B802" s="57" t="str">
        <f>(StartYear-1) &amp; " Surplus Applied to " &amp; StartYear</f>
        <v>2016 Surplus Applied to 2017</v>
      </c>
      <c r="C802" s="29"/>
      <c r="D802" s="186">
        <v>0</v>
      </c>
      <c r="E802" s="187"/>
      <c r="F802" s="187"/>
      <c r="G802" s="187"/>
      <c r="H802" s="188"/>
      <c r="L802" s="1" t="s">
        <v>233</v>
      </c>
      <c r="M802" s="29" t="s">
        <v>208</v>
      </c>
      <c r="N802" s="228" t="s">
        <v>235</v>
      </c>
    </row>
    <row r="803" spans="1:14" ht="15" customHeight="1" x14ac:dyDescent="0.25">
      <c r="B803" s="57" t="str">
        <f>StartYear &amp; " Surplus Applied to " &amp; (StartYear-1)</f>
        <v>2017 Surplus Applied to 2016</v>
      </c>
      <c r="C803" s="29"/>
      <c r="D803" s="189">
        <v>0</v>
      </c>
      <c r="E803" s="113"/>
      <c r="F803" s="113"/>
      <c r="G803" s="113"/>
      <c r="H803" s="117"/>
      <c r="L803" s="1" t="s">
        <v>233</v>
      </c>
      <c r="M803" s="29" t="s">
        <v>208</v>
      </c>
      <c r="N803" s="228" t="s">
        <v>236</v>
      </c>
    </row>
    <row r="804" spans="1:14" ht="15" customHeight="1" x14ac:dyDescent="0.25">
      <c r="B804" s="57" t="str">
        <f>( StartYear) &amp; " Surplus Applied to " &amp; ( StartYear + 1 )</f>
        <v>2017 Surplus Applied to 2018</v>
      </c>
      <c r="C804" s="29"/>
      <c r="D804" s="184">
        <v>0</v>
      </c>
      <c r="E804" s="185">
        <f>D804</f>
        <v>0</v>
      </c>
      <c r="F804" s="181"/>
      <c r="G804" s="181"/>
      <c r="H804" s="182"/>
      <c r="L804" s="1" t="s">
        <v>233</v>
      </c>
      <c r="M804" s="29" t="s">
        <v>208</v>
      </c>
      <c r="N804" s="228" t="s">
        <v>237</v>
      </c>
    </row>
    <row r="805" spans="1:14" ht="15" customHeight="1" x14ac:dyDescent="0.25">
      <c r="B805" s="57" t="str">
        <f xml:space="preserve"> ( StartYear + 1 ) &amp; " Surplus Applied to " &amp; ( StartYear )</f>
        <v>2018 Surplus Applied to 2017</v>
      </c>
      <c r="C805" s="52"/>
      <c r="D805" s="134">
        <v>0</v>
      </c>
      <c r="E805" s="9">
        <v>0</v>
      </c>
      <c r="F805" s="113"/>
      <c r="G805" s="113"/>
      <c r="H805" s="117"/>
      <c r="L805" s="1" t="s">
        <v>233</v>
      </c>
      <c r="M805" s="29" t="s">
        <v>208</v>
      </c>
      <c r="N805" s="228" t="s">
        <v>238</v>
      </c>
    </row>
    <row r="806" spans="1:14" ht="15" customHeight="1" x14ac:dyDescent="0.25">
      <c r="B806" s="119" t="str">
        <f xml:space="preserve"> ( StartYear + 1 ) &amp; " Surplus Applied to " &amp; ( StartYear + 2 )</f>
        <v>2018 Surplus Applied to 2019</v>
      </c>
      <c r="C806" s="52"/>
      <c r="D806" s="114"/>
      <c r="E806" s="9">
        <v>0</v>
      </c>
      <c r="F806" s="51">
        <f>E806</f>
        <v>0</v>
      </c>
      <c r="G806" s="113"/>
      <c r="H806" s="117"/>
      <c r="L806" s="1" t="s">
        <v>233</v>
      </c>
      <c r="M806" s="29" t="s">
        <v>208</v>
      </c>
      <c r="N806" s="228" t="s">
        <v>239</v>
      </c>
    </row>
    <row r="807" spans="1:14" ht="15" customHeight="1" x14ac:dyDescent="0.25">
      <c r="B807" s="119" t="str">
        <f xml:space="preserve"> ( StartYear + 2 ) &amp; " Surplus Applied to " &amp; ( StartYear + 1 )</f>
        <v>2019 Surplus Applied to 2018</v>
      </c>
      <c r="C807" s="52"/>
      <c r="D807" s="114"/>
      <c r="E807" s="51">
        <v>0</v>
      </c>
      <c r="F807" s="9">
        <v>0</v>
      </c>
      <c r="G807" s="113"/>
      <c r="H807" s="117"/>
      <c r="L807" s="1" t="s">
        <v>233</v>
      </c>
      <c r="M807" s="29" t="s">
        <v>208</v>
      </c>
      <c r="N807" s="228" t="s">
        <v>240</v>
      </c>
    </row>
    <row r="808" spans="1:14" ht="15" customHeight="1" x14ac:dyDescent="0.25">
      <c r="B808" s="165" t="str">
        <f xml:space="preserve"> ( StartYear + 2 ) &amp; " Surplus Applied to " &amp; ( StartYear + 3 )</f>
        <v>2019 Surplus Applied to 2020</v>
      </c>
      <c r="C808" s="29"/>
      <c r="D808" s="114"/>
      <c r="E808" s="113">
        <v>0</v>
      </c>
      <c r="F808" s="9">
        <v>0</v>
      </c>
      <c r="G808" s="51">
        <f>F808</f>
        <v>0</v>
      </c>
      <c r="H808" s="117"/>
      <c r="L808" s="1" t="s">
        <v>233</v>
      </c>
      <c r="M808" s="29" t="s">
        <v>208</v>
      </c>
      <c r="N808" s="228" t="s">
        <v>241</v>
      </c>
    </row>
    <row r="809" spans="1:14" ht="15" customHeight="1" x14ac:dyDescent="0.25">
      <c r="B809" s="165" t="str">
        <f xml:space="preserve"> ( StartYear + 3 ) &amp; " Surplus Applied to " &amp; ( StartYear + 2 )</f>
        <v>2020 Surplus Applied to 2019</v>
      </c>
      <c r="C809" s="29"/>
      <c r="D809" s="114"/>
      <c r="E809" s="113">
        <f>F809</f>
        <v>0</v>
      </c>
      <c r="F809" s="51">
        <v>0</v>
      </c>
      <c r="G809" s="9"/>
      <c r="H809" s="117"/>
      <c r="L809" s="1" t="s">
        <v>233</v>
      </c>
      <c r="M809" s="29" t="s">
        <v>208</v>
      </c>
      <c r="N809" s="228" t="s">
        <v>242</v>
      </c>
    </row>
    <row r="810" spans="1:14" ht="15" customHeight="1" x14ac:dyDescent="0.25">
      <c r="B810" s="165" t="str">
        <f xml:space="preserve"> ( StartYear + 3 ) &amp; " Surplus Applied to " &amp; ( StartYear + 4 )</f>
        <v>2020 Surplus Applied to 2021</v>
      </c>
      <c r="C810" s="29"/>
      <c r="D810" s="114"/>
      <c r="E810" s="113"/>
      <c r="F810" s="113"/>
      <c r="G810" s="9">
        <v>0</v>
      </c>
      <c r="H810" s="46">
        <f>G810</f>
        <v>0</v>
      </c>
      <c r="L810" s="1" t="s">
        <v>233</v>
      </c>
      <c r="M810" s="29" t="s">
        <v>208</v>
      </c>
      <c r="N810" s="228" t="s">
        <v>243</v>
      </c>
    </row>
    <row r="811" spans="1:14" ht="15" customHeight="1" x14ac:dyDescent="0.25">
      <c r="B811" s="165" t="str">
        <f xml:space="preserve"> ( StartYear + 4 ) &amp; " Surplus Applied to " &amp; ( StartYear + 3 )</f>
        <v>2021 Surplus Applied to 2020</v>
      </c>
      <c r="C811" s="29"/>
      <c r="D811" s="115"/>
      <c r="E811" s="116"/>
      <c r="F811" s="116"/>
      <c r="G811" s="47">
        <v>0</v>
      </c>
      <c r="H811" s="41">
        <v>0</v>
      </c>
      <c r="L811" s="1" t="s">
        <v>233</v>
      </c>
      <c r="M811" s="29" t="s">
        <v>208</v>
      </c>
      <c r="N811" s="228" t="s">
        <v>244</v>
      </c>
    </row>
    <row r="812" spans="1:14" ht="15" customHeight="1" x14ac:dyDescent="0.25">
      <c r="B812" s="32" t="s">
        <v>17</v>
      </c>
      <c r="D812" s="6">
        <f>D802-D803+D805-D804</f>
        <v>0</v>
      </c>
      <c r="E812" s="6">
        <f>E804+E807-E805-E806</f>
        <v>0</v>
      </c>
      <c r="F812" s="6">
        <f>F806+F809-F807-F808</f>
        <v>0</v>
      </c>
      <c r="G812" s="6">
        <f>G808+G811-G809-G810</f>
        <v>0</v>
      </c>
      <c r="H812" s="6">
        <f>H810 - H811</f>
        <v>0</v>
      </c>
      <c r="L812" s="1" t="s">
        <v>233</v>
      </c>
      <c r="M812" s="29" t="s">
        <v>208</v>
      </c>
      <c r="N812" s="228" t="s">
        <v>17</v>
      </c>
    </row>
    <row r="813" spans="1:14" ht="15" customHeight="1" x14ac:dyDescent="0.25">
      <c r="B813" s="5"/>
      <c r="D813" s="6"/>
      <c r="E813" s="6"/>
      <c r="F813" s="6"/>
      <c r="G813" s="6"/>
      <c r="H813" s="6"/>
      <c r="L813" s="1" t="s">
        <v>233</v>
      </c>
      <c r="M813" s="29" t="s">
        <v>208</v>
      </c>
    </row>
    <row r="814" spans="1:14" ht="15" customHeight="1" x14ac:dyDescent="0.25">
      <c r="B814" s="54" t="s">
        <v>12</v>
      </c>
      <c r="C814" s="52"/>
      <c r="D814" s="75">
        <v>0</v>
      </c>
      <c r="E814" s="111">
        <v>0</v>
      </c>
      <c r="F814" s="111">
        <v>0</v>
      </c>
      <c r="G814" s="111">
        <v>0</v>
      </c>
      <c r="H814" s="76">
        <v>0</v>
      </c>
      <c r="L814" s="1" t="s">
        <v>233</v>
      </c>
      <c r="M814" s="29" t="s">
        <v>208</v>
      </c>
      <c r="N814" s="228" t="s">
        <v>12</v>
      </c>
    </row>
    <row r="815" spans="1:14" ht="15" customHeight="1" x14ac:dyDescent="0.25">
      <c r="B815" s="5"/>
      <c r="D815" s="6"/>
      <c r="E815" s="6"/>
      <c r="F815" s="6"/>
      <c r="G815" s="6"/>
      <c r="H815" s="6"/>
      <c r="L815" s="1" t="s">
        <v>233</v>
      </c>
      <c r="M815" s="29" t="s">
        <v>208</v>
      </c>
    </row>
    <row r="816" spans="1:14" ht="18.75" customHeight="1" x14ac:dyDescent="0.3">
      <c r="A816" s="38" t="s">
        <v>26</v>
      </c>
      <c r="C816" s="52">
        <f>A782</f>
        <v>20</v>
      </c>
      <c r="D816" s="112">
        <f ca="1" xml:space="preserve"> D788 + D793 - D799 + D812 + D814</f>
        <v>0</v>
      </c>
      <c r="E816" s="112">
        <f ca="1" xml:space="preserve"> E788 + E793 - E799 + E812 + E814</f>
        <v>0</v>
      </c>
      <c r="F816" s="112">
        <f ca="1" xml:space="preserve"> F788 + F793 - F799 + F812 + F814</f>
        <v>0</v>
      </c>
      <c r="G816" s="112">
        <f ca="1" xml:space="preserve"> G788 + G793 - G799 + G812 + G814</f>
        <v>36752</v>
      </c>
      <c r="H816" s="174">
        <f ca="1" xml:space="preserve"> H788 + H793 - H799 + H812 + H814</f>
        <v>0</v>
      </c>
      <c r="L816" s="1" t="s">
        <v>233</v>
      </c>
      <c r="M816" s="29" t="s">
        <v>208</v>
      </c>
      <c r="N816" s="228" t="s">
        <v>26</v>
      </c>
    </row>
    <row r="817" spans="1:14" ht="15" customHeight="1" x14ac:dyDescent="0.25">
      <c r="C817" s="108" t="s">
        <v>158</v>
      </c>
      <c r="D817" s="6"/>
      <c r="E817" s="28"/>
      <c r="F817" s="28"/>
      <c r="G817" s="28"/>
      <c r="H817" s="28"/>
      <c r="L817" s="1" t="s">
        <v>233</v>
      </c>
      <c r="M817" s="29" t="s">
        <v>208</v>
      </c>
      <c r="N817" s="228" t="s">
        <v>158</v>
      </c>
    </row>
    <row r="818" spans="1:14" ht="15" customHeight="1" x14ac:dyDescent="0.25">
      <c r="C818" s="125"/>
      <c r="D818" s="29"/>
      <c r="E818" s="29"/>
      <c r="F818" s="29"/>
      <c r="G818" s="29"/>
      <c r="H818" s="29"/>
      <c r="L818" s="1" t="s">
        <v>233</v>
      </c>
      <c r="M818" s="29" t="s">
        <v>208</v>
      </c>
    </row>
    <row r="819" spans="1:14" ht="15" customHeight="1" x14ac:dyDescent="0.25">
      <c r="A819" s="29"/>
      <c r="B819" s="29"/>
      <c r="C819" s="29"/>
      <c r="D819" s="29"/>
      <c r="E819" s="29"/>
      <c r="F819" s="29"/>
      <c r="G819" s="29"/>
      <c r="H819" s="29"/>
      <c r="L819" s="1" t="s">
        <v>233</v>
      </c>
      <c r="M819" s="29" t="s">
        <v>208</v>
      </c>
    </row>
    <row r="820" spans="1:14" ht="21" customHeight="1" x14ac:dyDescent="0.35">
      <c r="A820" s="12">
        <f>MAX(A$1:A819)+1</f>
        <v>21</v>
      </c>
      <c r="B820" s="12"/>
      <c r="C820" s="214" t="str">
        <f ca="1">OFFSET($B$4,A820-1,0)</f>
        <v>Horse Butte Wind</v>
      </c>
      <c r="D820" s="215"/>
      <c r="E820" s="216"/>
      <c r="F820" s="216"/>
      <c r="G820" s="217"/>
      <c r="H820" s="218"/>
      <c r="L820" s="1" t="s">
        <v>233</v>
      </c>
      <c r="M820" s="29" t="s">
        <v>183</v>
      </c>
      <c r="N820" s="228">
        <v>23</v>
      </c>
    </row>
    <row r="821" spans="1:14" ht="15" customHeight="1" x14ac:dyDescent="0.25">
      <c r="C821" s="1" t="str">
        <f ca="1">VLOOKUP(C820,Facilities,3,FALSE)</f>
        <v>REC only</v>
      </c>
      <c r="D821" s="1"/>
      <c r="L821" s="1" t="s">
        <v>233</v>
      </c>
      <c r="M821" s="29" t="s">
        <v>183</v>
      </c>
      <c r="N821" s="228" t="s">
        <v>181</v>
      </c>
    </row>
    <row r="822" spans="1:14" ht="18.75" customHeight="1" x14ac:dyDescent="0.3">
      <c r="A822" s="8" t="s">
        <v>21</v>
      </c>
      <c r="B822" s="8"/>
      <c r="D822" s="2">
        <f>D366</f>
        <v>2017</v>
      </c>
      <c r="E822" s="2">
        <f>D822+1</f>
        <v>2018</v>
      </c>
      <c r="F822" s="2">
        <f>E822+1</f>
        <v>2019</v>
      </c>
      <c r="G822" s="2">
        <f>F822+1</f>
        <v>2020</v>
      </c>
      <c r="H822" s="2">
        <f>G822+1</f>
        <v>2021</v>
      </c>
      <c r="L822" s="1" t="s">
        <v>233</v>
      </c>
      <c r="M822" s="29" t="s">
        <v>183</v>
      </c>
      <c r="N822" s="228" t="s">
        <v>21</v>
      </c>
    </row>
    <row r="823" spans="1:14" ht="15" customHeight="1" x14ac:dyDescent="0.25">
      <c r="B823" s="119" t="str">
        <f ca="1">IF(C859&lt;&gt;"REC only","Total MWh ","")&amp;IF(C821="PSE owned","Produced","Purchased")&amp;" from "&amp;C820</f>
        <v>Purchased from Horse Butte Wind</v>
      </c>
      <c r="C823" s="52"/>
      <c r="D823" s="3">
        <v>27</v>
      </c>
      <c r="E823" s="3"/>
      <c r="F823" s="3">
        <v>3226</v>
      </c>
      <c r="G823" s="3">
        <v>13340</v>
      </c>
      <c r="H823" s="4"/>
      <c r="L823" s="1" t="s">
        <v>233</v>
      </c>
      <c r="M823" s="29" t="s">
        <v>183</v>
      </c>
      <c r="N823" s="228" t="s">
        <v>264</v>
      </c>
    </row>
    <row r="824" spans="1:14" ht="15" customHeight="1" x14ac:dyDescent="0.25">
      <c r="B824" s="57" t="s">
        <v>25</v>
      </c>
      <c r="C824" s="52"/>
      <c r="D824" s="132">
        <v>1</v>
      </c>
      <c r="E824" s="132"/>
      <c r="F824" s="132">
        <v>1</v>
      </c>
      <c r="G824" s="132">
        <v>1</v>
      </c>
      <c r="H824" s="133"/>
      <c r="L824" s="1" t="s">
        <v>233</v>
      </c>
      <c r="M824" s="29" t="s">
        <v>183</v>
      </c>
      <c r="N824" s="228" t="s">
        <v>25</v>
      </c>
    </row>
    <row r="825" spans="1:14" ht="15" customHeight="1" x14ac:dyDescent="0.25">
      <c r="B825" s="57" t="s">
        <v>20</v>
      </c>
      <c r="C825" s="52"/>
      <c r="D825" s="42">
        <v>1</v>
      </c>
      <c r="E825" s="42"/>
      <c r="F825" s="42">
        <v>1</v>
      </c>
      <c r="G825" s="42">
        <v>1</v>
      </c>
      <c r="H825" s="43"/>
      <c r="L825" s="1" t="s">
        <v>233</v>
      </c>
      <c r="M825" s="29" t="s">
        <v>183</v>
      </c>
      <c r="N825" s="228" t="s">
        <v>20</v>
      </c>
    </row>
    <row r="826" spans="1:14" ht="15" customHeight="1" x14ac:dyDescent="0.25">
      <c r="B826" s="54" t="s">
        <v>22</v>
      </c>
      <c r="C826" s="55"/>
      <c r="D826" s="131">
        <f xml:space="preserve"> D823 * D824 * D825</f>
        <v>27</v>
      </c>
      <c r="E826" s="131">
        <f xml:space="preserve"> E823 * E824 * E825</f>
        <v>0</v>
      </c>
      <c r="F826" s="131">
        <f xml:space="preserve"> ROUNDDOWN(F823 * F824 * F825,0)</f>
        <v>3226</v>
      </c>
      <c r="G826" s="131">
        <f xml:space="preserve"> ROUNDDOWN(G823 * G824 * G825,0)</f>
        <v>13340</v>
      </c>
      <c r="H826" s="131">
        <f xml:space="preserve"> ROUNDDOWN(H823 * H824 * H825,0)</f>
        <v>0</v>
      </c>
      <c r="L826" s="1" t="s">
        <v>233</v>
      </c>
      <c r="M826" s="29" t="s">
        <v>183</v>
      </c>
      <c r="N826" s="228" t="s">
        <v>22</v>
      </c>
    </row>
    <row r="827" spans="1:14" ht="15" customHeight="1" x14ac:dyDescent="0.25">
      <c r="B827" s="22"/>
      <c r="C827" s="29"/>
      <c r="D827" s="36"/>
      <c r="E827" s="36"/>
      <c r="F827" s="36"/>
      <c r="G827" s="167"/>
      <c r="H827" s="36"/>
      <c r="L827" s="1" t="s">
        <v>233</v>
      </c>
      <c r="M827" s="29" t="s">
        <v>183</v>
      </c>
    </row>
    <row r="828" spans="1:14" ht="18.75" customHeight="1" x14ac:dyDescent="0.3">
      <c r="A828" s="39" t="s">
        <v>119</v>
      </c>
      <c r="C828" s="29"/>
      <c r="D828" s="2">
        <f>D822</f>
        <v>2017</v>
      </c>
      <c r="E828" s="2">
        <f>D828+1</f>
        <v>2018</v>
      </c>
      <c r="F828" s="2">
        <f>E828+1</f>
        <v>2019</v>
      </c>
      <c r="G828" s="2">
        <f>F828+1</f>
        <v>2020</v>
      </c>
      <c r="H828" s="2">
        <f>G828+1</f>
        <v>2021</v>
      </c>
      <c r="L828" s="1" t="s">
        <v>233</v>
      </c>
      <c r="M828" s="29" t="s">
        <v>183</v>
      </c>
      <c r="N828" s="228" t="s">
        <v>119</v>
      </c>
    </row>
    <row r="829" spans="1:14" x14ac:dyDescent="0.25">
      <c r="B829" s="57" t="s">
        <v>10</v>
      </c>
      <c r="C829" s="52"/>
      <c r="D829" s="10">
        <f ca="1">IF(VLOOKUP($C820,Facilities,5,FALSE)="Eligible", D826*ApprenticeshipBonus, 0 )</f>
        <v>0</v>
      </c>
      <c r="E829" s="109">
        <f ca="1">IF(VLOOKUP($C820,Facilities,5,FALSE)="Eligible", E826*ApprenticeshipBonus, 0 )</f>
        <v>0</v>
      </c>
      <c r="F829" s="109">
        <f ca="1">IF(VLOOKUP($C820,Facilities,5,FALSE)="Eligible", F826*ApprenticeshipBonus, 0 )</f>
        <v>0</v>
      </c>
      <c r="G829" s="109">
        <f ca="1">IF(VLOOKUP($C820,Facilities,5,FALSE)="Eligible", G826*ApprenticeshipBonus, 0 )</f>
        <v>0</v>
      </c>
      <c r="H829" s="11">
        <f ca="1">IF(VLOOKUP($C820,Facilities,5,FALSE)="Eligible", H826*ApprenticeshipBonus, 0 )</f>
        <v>0</v>
      </c>
      <c r="L829" s="1" t="s">
        <v>233</v>
      </c>
      <c r="M829" s="29" t="s">
        <v>183</v>
      </c>
      <c r="N829" s="228" t="s">
        <v>10</v>
      </c>
    </row>
    <row r="830" spans="1:14" ht="15" customHeight="1" x14ac:dyDescent="0.25">
      <c r="B830" s="57" t="s">
        <v>6</v>
      </c>
      <c r="C830" s="52"/>
      <c r="D830" s="44">
        <f ca="1">IF(VLOOKUP($C820,Facilities,6,FALSE)="Eligible", D826, 0 )</f>
        <v>0</v>
      </c>
      <c r="E830" s="110">
        <f ca="1">IF(VLOOKUP($C820,Facilities,6,FALSE)="Eligible", E826, 0 )</f>
        <v>0</v>
      </c>
      <c r="F830" s="110">
        <f ca="1">IF(VLOOKUP($C820,Facilities,6,FALSE)="Eligible", F826, 0 )</f>
        <v>0</v>
      </c>
      <c r="G830" s="110">
        <f ca="1">IF(VLOOKUP($C820,Facilities,6,FALSE)="Eligible", G826, 0 )</f>
        <v>0</v>
      </c>
      <c r="H830" s="45">
        <f ca="1">IF(VLOOKUP($C820,Facilities,6,FALSE)="Eligible", H826, 0 )</f>
        <v>0</v>
      </c>
      <c r="L830" s="1" t="s">
        <v>233</v>
      </c>
      <c r="M830" s="29" t="s">
        <v>183</v>
      </c>
      <c r="N830" s="228" t="s">
        <v>6</v>
      </c>
    </row>
    <row r="831" spans="1:14" ht="15" customHeight="1" x14ac:dyDescent="0.25">
      <c r="B831" s="56" t="s">
        <v>121</v>
      </c>
      <c r="C831" s="55"/>
      <c r="D831" s="37">
        <f ca="1">SUM(D829:D830)</f>
        <v>0</v>
      </c>
      <c r="E831" s="37">
        <f ca="1">SUM(E829:E830)</f>
        <v>0</v>
      </c>
      <c r="F831" s="37">
        <f ca="1">SUM(F829:F830)</f>
        <v>0</v>
      </c>
      <c r="G831" s="37">
        <f ca="1">SUM(G829:G830)</f>
        <v>0</v>
      </c>
      <c r="H831" s="37">
        <f ca="1">SUM(H829:H830)</f>
        <v>0</v>
      </c>
      <c r="L831" s="1" t="s">
        <v>233</v>
      </c>
      <c r="M831" s="29" t="s">
        <v>183</v>
      </c>
      <c r="N831" s="228" t="s">
        <v>121</v>
      </c>
    </row>
    <row r="832" spans="1:14" ht="15" customHeight="1" x14ac:dyDescent="0.25">
      <c r="B832" s="29"/>
      <c r="C832" s="29"/>
      <c r="D832" s="30"/>
      <c r="E832" s="30"/>
      <c r="F832" s="30"/>
      <c r="G832" s="169"/>
      <c r="H832" s="30"/>
      <c r="L832" s="1" t="s">
        <v>233</v>
      </c>
      <c r="M832" s="29" t="s">
        <v>183</v>
      </c>
    </row>
    <row r="833" spans="1:14" ht="18.75" customHeight="1" x14ac:dyDescent="0.3">
      <c r="A833" s="38" t="s">
        <v>30</v>
      </c>
      <c r="C833" s="29"/>
      <c r="D833" s="2">
        <f>D822</f>
        <v>2017</v>
      </c>
      <c r="E833" s="2">
        <f>D833+1</f>
        <v>2018</v>
      </c>
      <c r="F833" s="2">
        <f>E833+1</f>
        <v>2019</v>
      </c>
      <c r="G833" s="2">
        <f>F833+1</f>
        <v>2020</v>
      </c>
      <c r="H833" s="2">
        <f>G833+1</f>
        <v>2021</v>
      </c>
      <c r="L833" s="1" t="s">
        <v>233</v>
      </c>
      <c r="M833" s="29" t="s">
        <v>183</v>
      </c>
      <c r="N833" s="228" t="s">
        <v>30</v>
      </c>
    </row>
    <row r="834" spans="1:14" ht="15" customHeight="1" x14ac:dyDescent="0.25">
      <c r="B834" s="57" t="s">
        <v>47</v>
      </c>
      <c r="C834" s="52"/>
      <c r="D834" s="3">
        <v>0</v>
      </c>
      <c r="E834" s="3">
        <v>0</v>
      </c>
      <c r="F834" s="3">
        <v>0</v>
      </c>
      <c r="G834" s="3">
        <v>0</v>
      </c>
      <c r="H834" s="4">
        <v>0</v>
      </c>
      <c r="L834" s="1" t="s">
        <v>233</v>
      </c>
      <c r="M834" s="29" t="s">
        <v>183</v>
      </c>
      <c r="N834" s="228" t="s">
        <v>47</v>
      </c>
    </row>
    <row r="835" spans="1:14" ht="15" customHeight="1" x14ac:dyDescent="0.25">
      <c r="B835" s="58" t="s">
        <v>23</v>
      </c>
      <c r="C835" s="59"/>
      <c r="D835" s="137">
        <v>0</v>
      </c>
      <c r="E835" s="137">
        <v>0</v>
      </c>
      <c r="F835" s="137">
        <v>0</v>
      </c>
      <c r="G835" s="137">
        <v>0</v>
      </c>
      <c r="H835" s="138">
        <v>0</v>
      </c>
      <c r="L835" s="1" t="s">
        <v>233</v>
      </c>
      <c r="M835" s="29" t="s">
        <v>183</v>
      </c>
      <c r="N835" s="228" t="s">
        <v>23</v>
      </c>
    </row>
    <row r="836" spans="1:14" ht="15" customHeight="1" x14ac:dyDescent="0.25">
      <c r="B836" s="68" t="s">
        <v>89</v>
      </c>
      <c r="C836" s="67"/>
      <c r="D836" s="191">
        <v>0</v>
      </c>
      <c r="E836" s="139">
        <v>0</v>
      </c>
      <c r="F836" s="139">
        <v>0</v>
      </c>
      <c r="G836" s="139">
        <v>0</v>
      </c>
      <c r="H836" s="140">
        <v>0</v>
      </c>
      <c r="L836" s="1" t="s">
        <v>233</v>
      </c>
      <c r="M836" s="29" t="s">
        <v>183</v>
      </c>
      <c r="N836" s="228" t="s">
        <v>89</v>
      </c>
    </row>
    <row r="837" spans="1:14" ht="15" customHeight="1" x14ac:dyDescent="0.25">
      <c r="B837" s="32" t="s">
        <v>90</v>
      </c>
      <c r="D837" s="6">
        <f>SUM(D834:D836)</f>
        <v>0</v>
      </c>
      <c r="E837" s="6">
        <f>SUM(E834:E836)</f>
        <v>0</v>
      </c>
      <c r="F837" s="6">
        <f>SUM(F834:F836)</f>
        <v>0</v>
      </c>
      <c r="G837" s="6">
        <f>SUM(G834:G836)</f>
        <v>0</v>
      </c>
      <c r="H837" s="6">
        <f>SUM(H834:H836)</f>
        <v>0</v>
      </c>
      <c r="L837" s="1" t="s">
        <v>233</v>
      </c>
      <c r="M837" s="29" t="s">
        <v>183</v>
      </c>
      <c r="N837" s="228" t="s">
        <v>90</v>
      </c>
    </row>
    <row r="838" spans="1:14" ht="15" customHeight="1" x14ac:dyDescent="0.25">
      <c r="B838" s="5"/>
      <c r="D838" s="6"/>
      <c r="E838" s="6"/>
      <c r="F838" s="6"/>
      <c r="G838" s="167"/>
      <c r="H838" s="6"/>
      <c r="L838" s="1" t="s">
        <v>233</v>
      </c>
      <c r="M838" s="29" t="s">
        <v>183</v>
      </c>
    </row>
    <row r="839" spans="1:14" ht="18.75" customHeight="1" x14ac:dyDescent="0.3">
      <c r="A839" s="8" t="s">
        <v>100</v>
      </c>
      <c r="D839" s="2">
        <f>D822</f>
        <v>2017</v>
      </c>
      <c r="E839" s="2">
        <f>D839+1</f>
        <v>2018</v>
      </c>
      <c r="F839" s="2">
        <f>E839+1</f>
        <v>2019</v>
      </c>
      <c r="G839" s="2">
        <f>F839+1</f>
        <v>2020</v>
      </c>
      <c r="H839" s="2">
        <f>G839+1</f>
        <v>2021</v>
      </c>
      <c r="L839" s="1" t="s">
        <v>233</v>
      </c>
      <c r="M839" s="29" t="s">
        <v>183</v>
      </c>
      <c r="N839" s="228" t="s">
        <v>100</v>
      </c>
    </row>
    <row r="840" spans="1:14" ht="15" customHeight="1" x14ac:dyDescent="0.25">
      <c r="B840" s="57" t="str">
        <f>(StartYear-1) &amp; " Surplus Applied to " &amp; StartYear</f>
        <v>2016 Surplus Applied to 2017</v>
      </c>
      <c r="C840" s="29"/>
      <c r="D840" s="186">
        <v>0</v>
      </c>
      <c r="E840" s="187"/>
      <c r="F840" s="187"/>
      <c r="G840" s="187"/>
      <c r="H840" s="188"/>
      <c r="L840" s="1" t="s">
        <v>233</v>
      </c>
      <c r="M840" s="29" t="s">
        <v>183</v>
      </c>
      <c r="N840" s="228" t="s">
        <v>235</v>
      </c>
    </row>
    <row r="841" spans="1:14" ht="15" customHeight="1" x14ac:dyDescent="0.25">
      <c r="B841" s="57" t="str">
        <f>StartYear &amp; " Surplus Applied to " &amp; (StartYear-1)</f>
        <v>2017 Surplus Applied to 2016</v>
      </c>
      <c r="C841" s="29"/>
      <c r="D841" s="189">
        <v>0</v>
      </c>
      <c r="E841" s="113"/>
      <c r="F841" s="113"/>
      <c r="G841" s="113"/>
      <c r="H841" s="117"/>
      <c r="L841" s="1" t="s">
        <v>233</v>
      </c>
      <c r="M841" s="29" t="s">
        <v>183</v>
      </c>
      <c r="N841" s="228" t="s">
        <v>236</v>
      </c>
    </row>
    <row r="842" spans="1:14" ht="15" customHeight="1" x14ac:dyDescent="0.25">
      <c r="B842" s="57" t="str">
        <f>( StartYear) &amp; " Surplus Applied to " &amp; ( StartYear + 1 )</f>
        <v>2017 Surplus Applied to 2018</v>
      </c>
      <c r="C842" s="29"/>
      <c r="D842" s="184">
        <v>0</v>
      </c>
      <c r="E842" s="185">
        <f>D842</f>
        <v>0</v>
      </c>
      <c r="F842" s="181"/>
      <c r="G842" s="181"/>
      <c r="H842" s="182"/>
      <c r="L842" s="1" t="s">
        <v>233</v>
      </c>
      <c r="M842" s="29" t="s">
        <v>183</v>
      </c>
      <c r="N842" s="228" t="s">
        <v>237</v>
      </c>
    </row>
    <row r="843" spans="1:14" ht="15" customHeight="1" x14ac:dyDescent="0.25">
      <c r="B843" s="57" t="str">
        <f xml:space="preserve"> ( StartYear + 1 ) &amp; " Surplus Applied to " &amp; ( StartYear )</f>
        <v>2018 Surplus Applied to 2017</v>
      </c>
      <c r="C843" s="52"/>
      <c r="D843" s="134">
        <v>0</v>
      </c>
      <c r="E843" s="9">
        <v>0</v>
      </c>
      <c r="F843" s="113"/>
      <c r="G843" s="113"/>
      <c r="H843" s="117"/>
      <c r="L843" s="1" t="s">
        <v>233</v>
      </c>
      <c r="M843" s="29" t="s">
        <v>183</v>
      </c>
      <c r="N843" s="228" t="s">
        <v>238</v>
      </c>
    </row>
    <row r="844" spans="1:14" ht="15" customHeight="1" x14ac:dyDescent="0.25">
      <c r="B844" s="119" t="str">
        <f xml:space="preserve"> ( StartYear + 1 ) &amp; " Surplus Applied to " &amp; ( StartYear + 2 )</f>
        <v>2018 Surplus Applied to 2019</v>
      </c>
      <c r="C844" s="52"/>
      <c r="D844" s="114"/>
      <c r="E844" s="9">
        <v>0</v>
      </c>
      <c r="F844" s="51">
        <f>E844</f>
        <v>0</v>
      </c>
      <c r="G844" s="113"/>
      <c r="H844" s="117"/>
      <c r="L844" s="1" t="s">
        <v>233</v>
      </c>
      <c r="M844" s="29" t="s">
        <v>183</v>
      </c>
      <c r="N844" s="228" t="s">
        <v>239</v>
      </c>
    </row>
    <row r="845" spans="1:14" ht="15" customHeight="1" x14ac:dyDescent="0.25">
      <c r="B845" s="119" t="str">
        <f xml:space="preserve"> ( StartYear + 2 ) &amp; " Surplus Applied to " &amp; ( StartYear + 1 )</f>
        <v>2019 Surplus Applied to 2018</v>
      </c>
      <c r="C845" s="52"/>
      <c r="D845" s="114"/>
      <c r="E845" s="51">
        <v>0</v>
      </c>
      <c r="F845" s="9">
        <v>0</v>
      </c>
      <c r="G845" s="113"/>
      <c r="H845" s="117"/>
      <c r="L845" s="1" t="s">
        <v>233</v>
      </c>
      <c r="M845" s="29" t="s">
        <v>183</v>
      </c>
      <c r="N845" s="228" t="s">
        <v>240</v>
      </c>
    </row>
    <row r="846" spans="1:14" ht="15" customHeight="1" x14ac:dyDescent="0.25">
      <c r="B846" s="165" t="str">
        <f xml:space="preserve"> ( StartYear + 2 ) &amp; " Surplus Applied to " &amp; ( StartYear + 3 )</f>
        <v>2019 Surplus Applied to 2020</v>
      </c>
      <c r="C846" s="29"/>
      <c r="D846" s="114"/>
      <c r="E846" s="113">
        <v>0</v>
      </c>
      <c r="F846" s="9">
        <v>3226</v>
      </c>
      <c r="G846" s="51">
        <f>F846</f>
        <v>3226</v>
      </c>
      <c r="H846" s="117"/>
      <c r="L846" s="1" t="s">
        <v>233</v>
      </c>
      <c r="M846" s="29" t="s">
        <v>183</v>
      </c>
      <c r="N846" s="228" t="s">
        <v>241</v>
      </c>
    </row>
    <row r="847" spans="1:14" ht="15" customHeight="1" x14ac:dyDescent="0.25">
      <c r="B847" s="165" t="str">
        <f xml:space="preserve"> ( StartYear + 3 ) &amp; " Surplus Applied to " &amp; ( StartYear + 2 )</f>
        <v>2020 Surplus Applied to 2019</v>
      </c>
      <c r="C847" s="29"/>
      <c r="D847" s="114"/>
      <c r="E847" s="113">
        <f>F847</f>
        <v>0</v>
      </c>
      <c r="F847" s="51">
        <v>0</v>
      </c>
      <c r="G847" s="9"/>
      <c r="H847" s="117"/>
      <c r="L847" s="1" t="s">
        <v>233</v>
      </c>
      <c r="M847" s="29" t="s">
        <v>183</v>
      </c>
      <c r="N847" s="228" t="s">
        <v>242</v>
      </c>
    </row>
    <row r="848" spans="1:14" ht="15" customHeight="1" x14ac:dyDescent="0.25">
      <c r="B848" s="165" t="str">
        <f xml:space="preserve"> ( StartYear + 3 ) &amp; " Surplus Applied to " &amp; ( StartYear + 4 )</f>
        <v>2020 Surplus Applied to 2021</v>
      </c>
      <c r="C848" s="29"/>
      <c r="D848" s="114"/>
      <c r="E848" s="113"/>
      <c r="F848" s="113"/>
      <c r="G848" s="9">
        <v>0</v>
      </c>
      <c r="H848" s="46">
        <f>G848</f>
        <v>0</v>
      </c>
      <c r="L848" s="1" t="s">
        <v>233</v>
      </c>
      <c r="M848" s="29" t="s">
        <v>183</v>
      </c>
      <c r="N848" s="228" t="s">
        <v>243</v>
      </c>
    </row>
    <row r="849" spans="1:14" ht="15" customHeight="1" x14ac:dyDescent="0.25">
      <c r="B849" s="165" t="str">
        <f xml:space="preserve"> ( StartYear + 4 ) &amp; " Surplus Applied to " &amp; ( StartYear + 3 )</f>
        <v>2021 Surplus Applied to 2020</v>
      </c>
      <c r="C849" s="29"/>
      <c r="D849" s="115"/>
      <c r="E849" s="116"/>
      <c r="F849" s="116"/>
      <c r="G849" s="47">
        <v>0</v>
      </c>
      <c r="H849" s="41">
        <v>0</v>
      </c>
      <c r="L849" s="1" t="s">
        <v>233</v>
      </c>
      <c r="M849" s="29" t="s">
        <v>183</v>
      </c>
      <c r="N849" s="228" t="s">
        <v>244</v>
      </c>
    </row>
    <row r="850" spans="1:14" ht="15" customHeight="1" x14ac:dyDescent="0.25">
      <c r="B850" s="32" t="s">
        <v>17</v>
      </c>
      <c r="D850" s="6">
        <f>D840-D841+D843-D842</f>
        <v>0</v>
      </c>
      <c r="E850" s="6">
        <f>E842+E845-E843-E844</f>
        <v>0</v>
      </c>
      <c r="F850" s="6">
        <f>F844+F847-F845-F846</f>
        <v>-3226</v>
      </c>
      <c r="G850" s="6">
        <f>G846+G849-G847-G848</f>
        <v>3226</v>
      </c>
      <c r="H850" s="6">
        <f>H848 - H849</f>
        <v>0</v>
      </c>
      <c r="L850" s="1" t="s">
        <v>233</v>
      </c>
      <c r="M850" s="29" t="s">
        <v>183</v>
      </c>
      <c r="N850" s="228" t="s">
        <v>17</v>
      </c>
    </row>
    <row r="851" spans="1:14" ht="15" customHeight="1" x14ac:dyDescent="0.25">
      <c r="B851" s="5"/>
      <c r="D851" s="6"/>
      <c r="E851" s="6"/>
      <c r="F851" s="6"/>
      <c r="G851" s="6"/>
      <c r="H851" s="6"/>
      <c r="L851" s="1" t="s">
        <v>233</v>
      </c>
      <c r="M851" s="29" t="s">
        <v>183</v>
      </c>
    </row>
    <row r="852" spans="1:14" ht="15" customHeight="1" x14ac:dyDescent="0.25">
      <c r="B852" s="54" t="s">
        <v>12</v>
      </c>
      <c r="C852" s="52"/>
      <c r="D852" s="75">
        <v>0</v>
      </c>
      <c r="E852" s="111">
        <v>0</v>
      </c>
      <c r="F852" s="111">
        <v>0</v>
      </c>
      <c r="G852" s="111">
        <v>0</v>
      </c>
      <c r="H852" s="76">
        <v>0</v>
      </c>
      <c r="L852" s="1" t="s">
        <v>233</v>
      </c>
      <c r="M852" s="29" t="s">
        <v>183</v>
      </c>
      <c r="N852" s="228" t="s">
        <v>12</v>
      </c>
    </row>
    <row r="853" spans="1:14" ht="15" customHeight="1" x14ac:dyDescent="0.25">
      <c r="B853" s="5"/>
      <c r="D853" s="6"/>
      <c r="E853" s="6"/>
      <c r="F853" s="6"/>
      <c r="G853" s="6"/>
      <c r="H853" s="6"/>
      <c r="L853" s="1" t="s">
        <v>233</v>
      </c>
      <c r="M853" s="29" t="s">
        <v>183</v>
      </c>
    </row>
    <row r="854" spans="1:14" ht="18.75" customHeight="1" x14ac:dyDescent="0.3">
      <c r="A854" s="38" t="s">
        <v>26</v>
      </c>
      <c r="C854" s="52">
        <f>A820</f>
        <v>21</v>
      </c>
      <c r="D854" s="112">
        <f ca="1" xml:space="preserve"> D826 + D831 - D837 + D850 + D852</f>
        <v>27</v>
      </c>
      <c r="E854" s="112">
        <f ca="1" xml:space="preserve"> E826 + E831 - E837 + E850 + E852</f>
        <v>0</v>
      </c>
      <c r="F854" s="112">
        <f ca="1" xml:space="preserve"> F826 + F831 - F837 + F850 + F852</f>
        <v>0</v>
      </c>
      <c r="G854" s="112">
        <f ca="1" xml:space="preserve"> G826 + G831 - G837 + G850 + G852</f>
        <v>16566</v>
      </c>
      <c r="H854" s="174">
        <f ca="1" xml:space="preserve"> H826 + H831 - H837 + H850 + H852</f>
        <v>0</v>
      </c>
      <c r="L854" s="1" t="s">
        <v>233</v>
      </c>
      <c r="M854" s="29" t="s">
        <v>183</v>
      </c>
      <c r="N854" s="228" t="s">
        <v>26</v>
      </c>
    </row>
    <row r="855" spans="1:14" ht="15" customHeight="1" x14ac:dyDescent="0.25">
      <c r="C855" s="108" t="s">
        <v>158</v>
      </c>
      <c r="D855" s="6">
        <v>27</v>
      </c>
      <c r="E855" s="28"/>
      <c r="F855" s="28"/>
      <c r="G855" s="28"/>
      <c r="H855" s="28"/>
      <c r="L855" s="1" t="s">
        <v>233</v>
      </c>
      <c r="M855" s="29" t="s">
        <v>183</v>
      </c>
      <c r="N855" s="228" t="s">
        <v>158</v>
      </c>
    </row>
    <row r="856" spans="1:14" ht="15" customHeight="1" x14ac:dyDescent="0.25">
      <c r="C856" s="125"/>
      <c r="D856" s="29"/>
      <c r="E856" s="29"/>
      <c r="F856" s="29"/>
      <c r="G856" s="29"/>
      <c r="H856" s="29"/>
      <c r="L856" s="1" t="s">
        <v>233</v>
      </c>
      <c r="M856" s="29" t="s">
        <v>183</v>
      </c>
    </row>
    <row r="857" spans="1:14" ht="15" customHeight="1" x14ac:dyDescent="0.25">
      <c r="A857" s="29"/>
      <c r="B857" s="29"/>
      <c r="C857" s="29"/>
      <c r="D857" s="29"/>
      <c r="E857" s="29"/>
      <c r="F857" s="29"/>
      <c r="G857" s="29"/>
      <c r="H857" s="29"/>
      <c r="L857" s="1" t="s">
        <v>233</v>
      </c>
      <c r="M857" s="29" t="s">
        <v>183</v>
      </c>
    </row>
    <row r="858" spans="1:14" ht="21" customHeight="1" x14ac:dyDescent="0.35">
      <c r="A858" s="12">
        <f>MAX(A$1:A857)+1</f>
        <v>22</v>
      </c>
      <c r="B858" s="12"/>
      <c r="C858" s="214" t="str">
        <f ca="1">OFFSET($B$4,A858-1,0)</f>
        <v>ID Solar 1</v>
      </c>
      <c r="D858" s="215"/>
      <c r="E858" s="216"/>
      <c r="F858" s="216"/>
      <c r="G858" s="217"/>
      <c r="H858" s="218"/>
      <c r="L858" s="1" t="s">
        <v>233</v>
      </c>
      <c r="M858" s="29" t="s">
        <v>186</v>
      </c>
      <c r="N858" s="228">
        <v>24</v>
      </c>
    </row>
    <row r="859" spans="1:14" ht="15" customHeight="1" x14ac:dyDescent="0.25">
      <c r="C859" s="1" t="str">
        <f ca="1">VLOOKUP(C858,Facilities,3,FALSE)</f>
        <v>REC only</v>
      </c>
      <c r="D859" s="1"/>
      <c r="L859" s="1" t="s">
        <v>233</v>
      </c>
      <c r="M859" s="29" t="s">
        <v>186</v>
      </c>
      <c r="N859" s="228" t="s">
        <v>181</v>
      </c>
    </row>
    <row r="860" spans="1:14" ht="18.75" customHeight="1" x14ac:dyDescent="0.3">
      <c r="A860" s="8" t="s">
        <v>21</v>
      </c>
      <c r="B860" s="8"/>
      <c r="D860" s="2">
        <f>D366</f>
        <v>2017</v>
      </c>
      <c r="E860" s="2">
        <f>D860+1</f>
        <v>2018</v>
      </c>
      <c r="F860" s="2">
        <f>E860+1</f>
        <v>2019</v>
      </c>
      <c r="G860" s="2">
        <f>F860+1</f>
        <v>2020</v>
      </c>
      <c r="H860" s="2">
        <f>G860+1</f>
        <v>2021</v>
      </c>
      <c r="L860" s="1" t="s">
        <v>233</v>
      </c>
      <c r="M860" s="29" t="s">
        <v>186</v>
      </c>
      <c r="N860" s="228" t="s">
        <v>21</v>
      </c>
    </row>
    <row r="861" spans="1:14" ht="15" customHeight="1" x14ac:dyDescent="0.25">
      <c r="B861" s="119" t="str">
        <f ca="1">IF(C897&lt;&gt;"REC only","Total MWh ","")&amp;IF(C859="PSE owned","Produced","Purchased")&amp;" from "&amp;C858</f>
        <v>Purchased from ID Solar 1</v>
      </c>
      <c r="C861" s="52"/>
      <c r="D861" s="3">
        <v>12048</v>
      </c>
      <c r="E861" s="3"/>
      <c r="F861" s="3"/>
      <c r="G861" s="3"/>
      <c r="H861" s="4"/>
      <c r="L861" s="1" t="s">
        <v>233</v>
      </c>
      <c r="M861" s="29" t="s">
        <v>186</v>
      </c>
      <c r="N861" s="228" t="s">
        <v>265</v>
      </c>
    </row>
    <row r="862" spans="1:14" ht="15" customHeight="1" x14ac:dyDescent="0.25">
      <c r="B862" s="57" t="s">
        <v>25</v>
      </c>
      <c r="C862" s="52"/>
      <c r="D862" s="132">
        <v>1</v>
      </c>
      <c r="E862" s="132"/>
      <c r="F862" s="132"/>
      <c r="G862" s="132"/>
      <c r="H862" s="133"/>
      <c r="L862" s="1" t="s">
        <v>233</v>
      </c>
      <c r="M862" s="29" t="s">
        <v>186</v>
      </c>
      <c r="N862" s="228" t="s">
        <v>25</v>
      </c>
    </row>
    <row r="863" spans="1:14" ht="15" customHeight="1" x14ac:dyDescent="0.25">
      <c r="B863" s="57" t="s">
        <v>20</v>
      </c>
      <c r="C863" s="52"/>
      <c r="D863" s="42">
        <v>1</v>
      </c>
      <c r="E863" s="42"/>
      <c r="F863" s="42"/>
      <c r="G863" s="42"/>
      <c r="H863" s="43"/>
      <c r="L863" s="1" t="s">
        <v>233</v>
      </c>
      <c r="M863" s="29" t="s">
        <v>186</v>
      </c>
      <c r="N863" s="228" t="s">
        <v>20</v>
      </c>
    </row>
    <row r="864" spans="1:14" ht="15" customHeight="1" x14ac:dyDescent="0.25">
      <c r="B864" s="54" t="s">
        <v>22</v>
      </c>
      <c r="C864" s="55"/>
      <c r="D864" s="131">
        <f xml:space="preserve"> D861 * D862 * D863</f>
        <v>12048</v>
      </c>
      <c r="E864" s="131">
        <f xml:space="preserve"> E861 * E862 * E863</f>
        <v>0</v>
      </c>
      <c r="F864" s="131">
        <f xml:space="preserve"> ROUNDDOWN(F861 * F862 * F863,0)</f>
        <v>0</v>
      </c>
      <c r="G864" s="131">
        <f xml:space="preserve"> ROUNDDOWN(G861 * G862 * G863,0)</f>
        <v>0</v>
      </c>
      <c r="H864" s="131">
        <f xml:space="preserve"> ROUNDDOWN(H861 * H862 * H863,0)</f>
        <v>0</v>
      </c>
      <c r="L864" s="1" t="s">
        <v>233</v>
      </c>
      <c r="M864" s="29" t="s">
        <v>186</v>
      </c>
      <c r="N864" s="228" t="s">
        <v>22</v>
      </c>
    </row>
    <row r="865" spans="1:14" ht="15" customHeight="1" x14ac:dyDescent="0.25">
      <c r="B865" s="22"/>
      <c r="C865" s="29"/>
      <c r="D865" s="36"/>
      <c r="E865" s="36"/>
      <c r="F865" s="36"/>
      <c r="G865" s="167"/>
      <c r="H865" s="36"/>
      <c r="L865" s="1" t="s">
        <v>233</v>
      </c>
      <c r="M865" s="29" t="s">
        <v>186</v>
      </c>
    </row>
    <row r="866" spans="1:14" ht="18.75" customHeight="1" x14ac:dyDescent="0.3">
      <c r="A866" s="39" t="s">
        <v>119</v>
      </c>
      <c r="C866" s="29"/>
      <c r="D866" s="2">
        <f>D860</f>
        <v>2017</v>
      </c>
      <c r="E866" s="2">
        <f>D866+1</f>
        <v>2018</v>
      </c>
      <c r="F866" s="2">
        <f>E866+1</f>
        <v>2019</v>
      </c>
      <c r="G866" s="2">
        <f>F866+1</f>
        <v>2020</v>
      </c>
      <c r="H866" s="2">
        <f>G866+1</f>
        <v>2021</v>
      </c>
      <c r="L866" s="1" t="s">
        <v>233</v>
      </c>
      <c r="M866" s="29" t="s">
        <v>186</v>
      </c>
      <c r="N866" s="228" t="s">
        <v>119</v>
      </c>
    </row>
    <row r="867" spans="1:14" x14ac:dyDescent="0.25">
      <c r="B867" s="57" t="s">
        <v>10</v>
      </c>
      <c r="C867" s="52"/>
      <c r="D867" s="10">
        <f ca="1">IF(VLOOKUP($C858,Facilities,5,FALSE)="Eligible", D864*ApprenticeshipBonus, 0 )</f>
        <v>0</v>
      </c>
      <c r="E867" s="109">
        <f ca="1">IF(VLOOKUP($C858,Facilities,5,FALSE)="Eligible", E864*ApprenticeshipBonus, 0 )</f>
        <v>0</v>
      </c>
      <c r="F867" s="109">
        <f ca="1">IF(VLOOKUP($C858,Facilities,5,FALSE)="Eligible", F864*ApprenticeshipBonus, 0 )</f>
        <v>0</v>
      </c>
      <c r="G867" s="109">
        <f ca="1">IF(VLOOKUP($C858,Facilities,5,FALSE)="Eligible", G864*ApprenticeshipBonus, 0 )</f>
        <v>0</v>
      </c>
      <c r="H867" s="11">
        <f ca="1">IF(VLOOKUP($C858,Facilities,5,FALSE)="Eligible", H864*ApprenticeshipBonus, 0 )</f>
        <v>0</v>
      </c>
      <c r="L867" s="1" t="s">
        <v>233</v>
      </c>
      <c r="M867" s="29" t="s">
        <v>186</v>
      </c>
      <c r="N867" s="228" t="s">
        <v>10</v>
      </c>
    </row>
    <row r="868" spans="1:14" ht="15" customHeight="1" x14ac:dyDescent="0.25">
      <c r="B868" s="57" t="s">
        <v>6</v>
      </c>
      <c r="C868" s="52"/>
      <c r="D868" s="44">
        <f ca="1">IF(VLOOKUP($C858,Facilities,6,FALSE)="Eligible", D864, 0 )</f>
        <v>0</v>
      </c>
      <c r="E868" s="110">
        <f ca="1">IF(VLOOKUP($C858,Facilities,6,FALSE)="Eligible", E864, 0 )</f>
        <v>0</v>
      </c>
      <c r="F868" s="110">
        <f ca="1">IF(VLOOKUP($C858,Facilities,6,FALSE)="Eligible", F864, 0 )</f>
        <v>0</v>
      </c>
      <c r="G868" s="110">
        <f ca="1">IF(VLOOKUP($C858,Facilities,6,FALSE)="Eligible", G864, 0 )</f>
        <v>0</v>
      </c>
      <c r="H868" s="45">
        <f ca="1">IF(VLOOKUP($C858,Facilities,6,FALSE)="Eligible", H864, 0 )</f>
        <v>0</v>
      </c>
      <c r="L868" s="1" t="s">
        <v>233</v>
      </c>
      <c r="M868" s="29" t="s">
        <v>186</v>
      </c>
      <c r="N868" s="228" t="s">
        <v>6</v>
      </c>
    </row>
    <row r="869" spans="1:14" ht="15" customHeight="1" x14ac:dyDescent="0.25">
      <c r="B869" s="56" t="s">
        <v>121</v>
      </c>
      <c r="C869" s="55"/>
      <c r="D869" s="37">
        <f ca="1">SUM(D867:D868)</f>
        <v>0</v>
      </c>
      <c r="E869" s="37">
        <f ca="1">SUM(E867:E868)</f>
        <v>0</v>
      </c>
      <c r="F869" s="37">
        <f ca="1">SUM(F867:F868)</f>
        <v>0</v>
      </c>
      <c r="G869" s="37">
        <f ca="1">SUM(G867:G868)</f>
        <v>0</v>
      </c>
      <c r="H869" s="37">
        <f ca="1">SUM(H867:H868)</f>
        <v>0</v>
      </c>
      <c r="L869" s="1" t="s">
        <v>233</v>
      </c>
      <c r="M869" s="29" t="s">
        <v>186</v>
      </c>
      <c r="N869" s="228" t="s">
        <v>121</v>
      </c>
    </row>
    <row r="870" spans="1:14" ht="15" customHeight="1" x14ac:dyDescent="0.25">
      <c r="B870" s="29"/>
      <c r="C870" s="29"/>
      <c r="D870" s="30"/>
      <c r="E870" s="30"/>
      <c r="F870" s="30"/>
      <c r="G870" s="169"/>
      <c r="H870" s="30"/>
      <c r="L870" s="1" t="s">
        <v>233</v>
      </c>
      <c r="M870" s="29" t="s">
        <v>186</v>
      </c>
    </row>
    <row r="871" spans="1:14" ht="18.75" customHeight="1" x14ac:dyDescent="0.3">
      <c r="A871" s="38" t="s">
        <v>30</v>
      </c>
      <c r="C871" s="29"/>
      <c r="D871" s="2">
        <f>D860</f>
        <v>2017</v>
      </c>
      <c r="E871" s="2">
        <f>D871+1</f>
        <v>2018</v>
      </c>
      <c r="F871" s="2">
        <f>E871+1</f>
        <v>2019</v>
      </c>
      <c r="G871" s="2">
        <f>F871+1</f>
        <v>2020</v>
      </c>
      <c r="H871" s="2">
        <f>G871+1</f>
        <v>2021</v>
      </c>
      <c r="L871" s="1" t="s">
        <v>233</v>
      </c>
      <c r="M871" s="29" t="s">
        <v>186</v>
      </c>
      <c r="N871" s="228" t="s">
        <v>30</v>
      </c>
    </row>
    <row r="872" spans="1:14" ht="15" customHeight="1" x14ac:dyDescent="0.25">
      <c r="B872" s="57" t="s">
        <v>47</v>
      </c>
      <c r="C872" s="52"/>
      <c r="D872" s="3">
        <v>0</v>
      </c>
      <c r="E872" s="3">
        <v>0</v>
      </c>
      <c r="F872" s="3">
        <v>0</v>
      </c>
      <c r="G872" s="3">
        <v>0</v>
      </c>
      <c r="H872" s="4">
        <v>0</v>
      </c>
      <c r="L872" s="1" t="s">
        <v>233</v>
      </c>
      <c r="M872" s="29" t="s">
        <v>186</v>
      </c>
      <c r="N872" s="228" t="s">
        <v>47</v>
      </c>
    </row>
    <row r="873" spans="1:14" ht="15" customHeight="1" x14ac:dyDescent="0.25">
      <c r="B873" s="58" t="s">
        <v>23</v>
      </c>
      <c r="C873" s="59"/>
      <c r="D873" s="137">
        <v>0</v>
      </c>
      <c r="E873" s="137">
        <v>0</v>
      </c>
      <c r="F873" s="137">
        <v>0</v>
      </c>
      <c r="G873" s="137">
        <v>0</v>
      </c>
      <c r="H873" s="138">
        <v>0</v>
      </c>
      <c r="L873" s="1" t="s">
        <v>233</v>
      </c>
      <c r="M873" s="29" t="s">
        <v>186</v>
      </c>
      <c r="N873" s="228" t="s">
        <v>23</v>
      </c>
    </row>
    <row r="874" spans="1:14" ht="15" customHeight="1" x14ac:dyDescent="0.25">
      <c r="B874" s="68" t="s">
        <v>89</v>
      </c>
      <c r="C874" s="67"/>
      <c r="D874" s="191">
        <v>0</v>
      </c>
      <c r="E874" s="139">
        <v>0</v>
      </c>
      <c r="F874" s="139">
        <v>0</v>
      </c>
      <c r="G874" s="139">
        <v>0</v>
      </c>
      <c r="H874" s="140">
        <v>0</v>
      </c>
      <c r="L874" s="1" t="s">
        <v>233</v>
      </c>
      <c r="M874" s="29" t="s">
        <v>186</v>
      </c>
      <c r="N874" s="228" t="s">
        <v>89</v>
      </c>
    </row>
    <row r="875" spans="1:14" ht="15" customHeight="1" x14ac:dyDescent="0.25">
      <c r="B875" s="32" t="s">
        <v>90</v>
      </c>
      <c r="D875" s="6">
        <f>SUM(D872:D874)</f>
        <v>0</v>
      </c>
      <c r="E875" s="6">
        <f>SUM(E872:E874)</f>
        <v>0</v>
      </c>
      <c r="F875" s="6">
        <f>SUM(F872:F874)</f>
        <v>0</v>
      </c>
      <c r="G875" s="6">
        <f>SUM(G872:G874)</f>
        <v>0</v>
      </c>
      <c r="H875" s="6">
        <f>SUM(H872:H874)</f>
        <v>0</v>
      </c>
      <c r="L875" s="1" t="s">
        <v>233</v>
      </c>
      <c r="M875" s="29" t="s">
        <v>186</v>
      </c>
      <c r="N875" s="228" t="s">
        <v>90</v>
      </c>
    </row>
    <row r="876" spans="1:14" ht="15" customHeight="1" x14ac:dyDescent="0.25">
      <c r="B876" s="5"/>
      <c r="D876" s="6"/>
      <c r="E876" s="6"/>
      <c r="F876" s="6"/>
      <c r="G876" s="167"/>
      <c r="H876" s="6"/>
      <c r="L876" s="1" t="s">
        <v>233</v>
      </c>
      <c r="M876" s="29" t="s">
        <v>186</v>
      </c>
    </row>
    <row r="877" spans="1:14" ht="18.75" customHeight="1" x14ac:dyDescent="0.3">
      <c r="A877" s="8" t="s">
        <v>100</v>
      </c>
      <c r="D877" s="2">
        <f>D860</f>
        <v>2017</v>
      </c>
      <c r="E877" s="2">
        <f>D877+1</f>
        <v>2018</v>
      </c>
      <c r="F877" s="2">
        <f>E877+1</f>
        <v>2019</v>
      </c>
      <c r="G877" s="2">
        <f>F877+1</f>
        <v>2020</v>
      </c>
      <c r="H877" s="2">
        <f>G877+1</f>
        <v>2021</v>
      </c>
      <c r="L877" s="1" t="s">
        <v>233</v>
      </c>
      <c r="M877" s="29" t="s">
        <v>186</v>
      </c>
      <c r="N877" s="228" t="s">
        <v>100</v>
      </c>
    </row>
    <row r="878" spans="1:14" ht="15" customHeight="1" x14ac:dyDescent="0.25">
      <c r="B878" s="57" t="str">
        <f>(StartYear-1) &amp; " Surplus Applied to " &amp; StartYear</f>
        <v>2016 Surplus Applied to 2017</v>
      </c>
      <c r="C878" s="29"/>
      <c r="D878" s="186">
        <v>0</v>
      </c>
      <c r="E878" s="187"/>
      <c r="F878" s="187"/>
      <c r="G878" s="187"/>
      <c r="H878" s="188"/>
      <c r="L878" s="1" t="s">
        <v>233</v>
      </c>
      <c r="M878" s="29" t="s">
        <v>186</v>
      </c>
      <c r="N878" s="228" t="s">
        <v>235</v>
      </c>
    </row>
    <row r="879" spans="1:14" ht="15" customHeight="1" x14ac:dyDescent="0.25">
      <c r="B879" s="57" t="str">
        <f>StartYear &amp; " Surplus Applied to " &amp; (StartYear-1)</f>
        <v>2017 Surplus Applied to 2016</v>
      </c>
      <c r="C879" s="29"/>
      <c r="D879" s="189">
        <v>0</v>
      </c>
      <c r="E879" s="113"/>
      <c r="F879" s="113"/>
      <c r="G879" s="113"/>
      <c r="H879" s="117"/>
      <c r="L879" s="1" t="s">
        <v>233</v>
      </c>
      <c r="M879" s="29" t="s">
        <v>186</v>
      </c>
      <c r="N879" s="228" t="s">
        <v>236</v>
      </c>
    </row>
    <row r="880" spans="1:14" ht="15" customHeight="1" x14ac:dyDescent="0.25">
      <c r="B880" s="57" t="str">
        <f>( StartYear) &amp; " Surplus Applied to " &amp; ( StartYear + 1 )</f>
        <v>2017 Surplus Applied to 2018</v>
      </c>
      <c r="C880" s="29"/>
      <c r="D880" s="184">
        <v>0</v>
      </c>
      <c r="E880" s="185">
        <f>D880</f>
        <v>0</v>
      </c>
      <c r="F880" s="181"/>
      <c r="G880" s="181"/>
      <c r="H880" s="182"/>
      <c r="L880" s="1" t="s">
        <v>233</v>
      </c>
      <c r="M880" s="29" t="s">
        <v>186</v>
      </c>
      <c r="N880" s="228" t="s">
        <v>237</v>
      </c>
    </row>
    <row r="881" spans="1:14" ht="15" customHeight="1" x14ac:dyDescent="0.25">
      <c r="B881" s="57" t="str">
        <f xml:space="preserve"> ( StartYear + 1 ) &amp; " Surplus Applied to " &amp; ( StartYear )</f>
        <v>2018 Surplus Applied to 2017</v>
      </c>
      <c r="C881" s="52"/>
      <c r="D881" s="134">
        <v>0</v>
      </c>
      <c r="E881" s="9">
        <v>0</v>
      </c>
      <c r="F881" s="113"/>
      <c r="G881" s="113"/>
      <c r="H881" s="117"/>
      <c r="L881" s="1" t="s">
        <v>233</v>
      </c>
      <c r="M881" s="29" t="s">
        <v>186</v>
      </c>
      <c r="N881" s="228" t="s">
        <v>238</v>
      </c>
    </row>
    <row r="882" spans="1:14" ht="15" customHeight="1" x14ac:dyDescent="0.25">
      <c r="B882" s="119" t="str">
        <f xml:space="preserve"> ( StartYear + 1 ) &amp; " Surplus Applied to " &amp; ( StartYear + 2 )</f>
        <v>2018 Surplus Applied to 2019</v>
      </c>
      <c r="C882" s="52"/>
      <c r="D882" s="114"/>
      <c r="E882" s="9">
        <v>0</v>
      </c>
      <c r="F882" s="51">
        <f>E882</f>
        <v>0</v>
      </c>
      <c r="G882" s="113"/>
      <c r="H882" s="117"/>
      <c r="L882" s="1" t="s">
        <v>233</v>
      </c>
      <c r="M882" s="29" t="s">
        <v>186</v>
      </c>
      <c r="N882" s="228" t="s">
        <v>239</v>
      </c>
    </row>
    <row r="883" spans="1:14" ht="15" customHeight="1" x14ac:dyDescent="0.25">
      <c r="B883" s="119" t="str">
        <f xml:space="preserve"> ( StartYear + 2 ) &amp; " Surplus Applied to " &amp; ( StartYear + 1 )</f>
        <v>2019 Surplus Applied to 2018</v>
      </c>
      <c r="C883" s="52"/>
      <c r="D883" s="114"/>
      <c r="E883" s="51">
        <v>0</v>
      </c>
      <c r="F883" s="9">
        <v>0</v>
      </c>
      <c r="G883" s="113"/>
      <c r="H883" s="117"/>
      <c r="L883" s="1" t="s">
        <v>233</v>
      </c>
      <c r="M883" s="29" t="s">
        <v>186</v>
      </c>
      <c r="N883" s="228" t="s">
        <v>240</v>
      </c>
    </row>
    <row r="884" spans="1:14" ht="15" customHeight="1" x14ac:dyDescent="0.25">
      <c r="B884" s="165" t="str">
        <f xml:space="preserve"> ( StartYear + 2 ) &amp; " Surplus Applied to " &amp; ( StartYear + 3 )</f>
        <v>2019 Surplus Applied to 2020</v>
      </c>
      <c r="C884" s="29"/>
      <c r="D884" s="114"/>
      <c r="E884" s="113"/>
      <c r="F884" s="9">
        <v>0</v>
      </c>
      <c r="G884" s="51">
        <f>F884</f>
        <v>0</v>
      </c>
      <c r="H884" s="117"/>
      <c r="L884" s="1" t="s">
        <v>233</v>
      </c>
      <c r="M884" s="29" t="s">
        <v>186</v>
      </c>
      <c r="N884" s="228" t="s">
        <v>241</v>
      </c>
    </row>
    <row r="885" spans="1:14" ht="15" customHeight="1" x14ac:dyDescent="0.25">
      <c r="B885" s="165" t="str">
        <f xml:space="preserve"> ( StartYear + 3 ) &amp; " Surplus Applied to " &amp; ( StartYear + 2 )</f>
        <v>2020 Surplus Applied to 2019</v>
      </c>
      <c r="C885" s="29"/>
      <c r="D885" s="114"/>
      <c r="E885" s="113"/>
      <c r="F885" s="51">
        <v>0</v>
      </c>
      <c r="G885" s="9">
        <v>0</v>
      </c>
      <c r="H885" s="117"/>
      <c r="L885" s="1" t="s">
        <v>233</v>
      </c>
      <c r="M885" s="29" t="s">
        <v>186</v>
      </c>
      <c r="N885" s="228" t="s">
        <v>242</v>
      </c>
    </row>
    <row r="886" spans="1:14" ht="15" customHeight="1" x14ac:dyDescent="0.25">
      <c r="B886" s="165" t="str">
        <f xml:space="preserve"> ( StartYear + 3 ) &amp; " Surplus Applied to " &amp; ( StartYear + 4 )</f>
        <v>2020 Surplus Applied to 2021</v>
      </c>
      <c r="C886" s="29"/>
      <c r="D886" s="114"/>
      <c r="E886" s="113"/>
      <c r="F886" s="113"/>
      <c r="G886" s="9">
        <f ca="1">G864+G869-G875</f>
        <v>0</v>
      </c>
      <c r="H886" s="46">
        <f ca="1">G886</f>
        <v>0</v>
      </c>
      <c r="L886" s="1" t="s">
        <v>233</v>
      </c>
      <c r="M886" s="29" t="s">
        <v>186</v>
      </c>
      <c r="N886" s="228" t="s">
        <v>243</v>
      </c>
    </row>
    <row r="887" spans="1:14" ht="15" customHeight="1" x14ac:dyDescent="0.25">
      <c r="B887" s="165" t="str">
        <f xml:space="preserve"> ( StartYear + 4 ) &amp; " Surplus Applied to " &amp; ( StartYear + 3 )</f>
        <v>2021 Surplus Applied to 2020</v>
      </c>
      <c r="C887" s="29"/>
      <c r="D887" s="115"/>
      <c r="E887" s="116"/>
      <c r="F887" s="116"/>
      <c r="G887" s="47">
        <v>0</v>
      </c>
      <c r="H887" s="41">
        <v>0</v>
      </c>
      <c r="L887" s="1" t="s">
        <v>233</v>
      </c>
      <c r="M887" s="29" t="s">
        <v>186</v>
      </c>
      <c r="N887" s="228" t="s">
        <v>244</v>
      </c>
    </row>
    <row r="888" spans="1:14" ht="15" customHeight="1" x14ac:dyDescent="0.25">
      <c r="B888" s="32" t="s">
        <v>17</v>
      </c>
      <c r="D888" s="6">
        <f>D878-D879+D881-D880</f>
        <v>0</v>
      </c>
      <c r="E888" s="6">
        <f>E880+E883-E881-E882</f>
        <v>0</v>
      </c>
      <c r="F888" s="6">
        <f>F882+F885-F883-F884</f>
        <v>0</v>
      </c>
      <c r="G888" s="6">
        <f ca="1">G884+G887-G885-G886</f>
        <v>0</v>
      </c>
      <c r="H888" s="6">
        <f ca="1">H886 - H887</f>
        <v>0</v>
      </c>
      <c r="L888" s="1" t="s">
        <v>233</v>
      </c>
      <c r="M888" s="29" t="s">
        <v>186</v>
      </c>
      <c r="N888" s="228" t="s">
        <v>17</v>
      </c>
    </row>
    <row r="889" spans="1:14" ht="15" customHeight="1" x14ac:dyDescent="0.25">
      <c r="B889" s="5"/>
      <c r="D889" s="6"/>
      <c r="E889" s="6"/>
      <c r="F889" s="6"/>
      <c r="G889" s="6"/>
      <c r="H889" s="6"/>
      <c r="L889" s="1" t="s">
        <v>233</v>
      </c>
      <c r="M889" s="29" t="s">
        <v>186</v>
      </c>
    </row>
    <row r="890" spans="1:14" ht="15" customHeight="1" x14ac:dyDescent="0.25">
      <c r="B890" s="54" t="s">
        <v>12</v>
      </c>
      <c r="C890" s="52"/>
      <c r="D890" s="75">
        <v>0</v>
      </c>
      <c r="E890" s="111">
        <v>0</v>
      </c>
      <c r="F890" s="111">
        <v>0</v>
      </c>
      <c r="G890" s="111">
        <v>0</v>
      </c>
      <c r="H890" s="76">
        <v>0</v>
      </c>
      <c r="L890" s="1" t="s">
        <v>233</v>
      </c>
      <c r="M890" s="29" t="s">
        <v>186</v>
      </c>
      <c r="N890" s="228" t="s">
        <v>12</v>
      </c>
    </row>
    <row r="891" spans="1:14" ht="15" customHeight="1" x14ac:dyDescent="0.25">
      <c r="B891" s="5"/>
      <c r="D891" s="6"/>
      <c r="E891" s="6"/>
      <c r="F891" s="6"/>
      <c r="G891" s="6"/>
      <c r="H891" s="6"/>
      <c r="L891" s="1" t="s">
        <v>233</v>
      </c>
      <c r="M891" s="29" t="s">
        <v>186</v>
      </c>
    </row>
    <row r="892" spans="1:14" ht="18.75" customHeight="1" x14ac:dyDescent="0.3">
      <c r="A892" s="38" t="s">
        <v>26</v>
      </c>
      <c r="C892" s="52">
        <f>A858</f>
        <v>22</v>
      </c>
      <c r="D892" s="112">
        <f ca="1" xml:space="preserve"> D864 + D869 - D875 + D888 + D890</f>
        <v>12048</v>
      </c>
      <c r="E892" s="112">
        <f ca="1" xml:space="preserve"> E864 + E869 - E875 + E888 + E890</f>
        <v>0</v>
      </c>
      <c r="F892" s="112">
        <f ca="1" xml:space="preserve"> F864 + F869 - F875 + F888 + F890</f>
        <v>0</v>
      </c>
      <c r="G892" s="112">
        <f ca="1" xml:space="preserve"> G864 + G869 - G875 + G888 + G890</f>
        <v>0</v>
      </c>
      <c r="H892" s="174">
        <f ca="1" xml:space="preserve"> H864 + H869 - H875 + H888 + H890</f>
        <v>0</v>
      </c>
      <c r="L892" s="1" t="s">
        <v>233</v>
      </c>
      <c r="M892" s="29" t="s">
        <v>186</v>
      </c>
      <c r="N892" s="228" t="s">
        <v>26</v>
      </c>
    </row>
    <row r="893" spans="1:14" ht="15" customHeight="1" x14ac:dyDescent="0.25">
      <c r="C893" s="108" t="s">
        <v>158</v>
      </c>
      <c r="D893" s="6">
        <v>12048</v>
      </c>
      <c r="E893" s="28"/>
      <c r="F893" s="28"/>
      <c r="G893" s="28"/>
      <c r="H893" s="28"/>
      <c r="L893" s="1" t="s">
        <v>233</v>
      </c>
      <c r="M893" s="29" t="s">
        <v>186</v>
      </c>
      <c r="N893" s="228" t="s">
        <v>158</v>
      </c>
    </row>
    <row r="894" spans="1:14" ht="15" customHeight="1" x14ac:dyDescent="0.25">
      <c r="C894" s="125"/>
      <c r="D894" s="6"/>
      <c r="E894" s="6"/>
      <c r="F894" s="28"/>
      <c r="G894" s="28"/>
      <c r="H894" s="28"/>
      <c r="L894" s="1" t="s">
        <v>233</v>
      </c>
      <c r="M894" s="29" t="s">
        <v>186</v>
      </c>
    </row>
    <row r="895" spans="1:14" ht="15" customHeight="1" x14ac:dyDescent="0.25">
      <c r="A895" s="29"/>
      <c r="B895" s="29"/>
      <c r="C895" s="29"/>
      <c r="D895" s="29"/>
      <c r="E895" s="29"/>
      <c r="F895" s="29"/>
      <c r="G895" s="29"/>
      <c r="H895" s="29"/>
      <c r="L895" s="1" t="s">
        <v>233</v>
      </c>
      <c r="M895" s="29" t="s">
        <v>186</v>
      </c>
    </row>
    <row r="896" spans="1:14" ht="21" customHeight="1" x14ac:dyDescent="0.35">
      <c r="A896" s="12">
        <f>MAX(A$1:A895)+1</f>
        <v>23</v>
      </c>
      <c r="B896" s="12"/>
      <c r="C896" s="214" t="str">
        <f ca="1">OFFSET($B$4,A896-1,0)</f>
        <v>Klondike 1</v>
      </c>
      <c r="D896" s="215"/>
      <c r="E896" s="216"/>
      <c r="F896" s="216"/>
      <c r="G896" s="217"/>
      <c r="H896" s="218"/>
      <c r="L896" s="1" t="s">
        <v>233</v>
      </c>
      <c r="M896" s="29" t="s">
        <v>182</v>
      </c>
      <c r="N896" s="228">
        <v>25</v>
      </c>
    </row>
    <row r="897" spans="1:14" ht="15" customHeight="1" x14ac:dyDescent="0.25">
      <c r="C897" s="1" t="str">
        <f ca="1">VLOOKUP(C896,Facilities,3,FALSE)</f>
        <v>REC only</v>
      </c>
      <c r="D897" s="1"/>
      <c r="L897" s="1" t="s">
        <v>233</v>
      </c>
      <c r="M897" s="29" t="s">
        <v>182</v>
      </c>
      <c r="N897" s="228" t="s">
        <v>181</v>
      </c>
    </row>
    <row r="898" spans="1:14" ht="18.75" customHeight="1" x14ac:dyDescent="0.3">
      <c r="A898" s="8" t="s">
        <v>21</v>
      </c>
      <c r="B898" s="8"/>
      <c r="D898" s="2">
        <f>D366</f>
        <v>2017</v>
      </c>
      <c r="E898" s="2">
        <f>D898+1</f>
        <v>2018</v>
      </c>
      <c r="F898" s="2">
        <f>E898+1</f>
        <v>2019</v>
      </c>
      <c r="G898" s="2">
        <f>F898+1</f>
        <v>2020</v>
      </c>
      <c r="H898" s="2">
        <f>G898+1</f>
        <v>2021</v>
      </c>
      <c r="L898" s="1" t="s">
        <v>233</v>
      </c>
      <c r="M898" s="29" t="s">
        <v>182</v>
      </c>
      <c r="N898" s="228" t="s">
        <v>21</v>
      </c>
    </row>
    <row r="899" spans="1:14" ht="15" customHeight="1" x14ac:dyDescent="0.25">
      <c r="B899" s="119" t="str">
        <f ca="1">IF(C935&lt;&gt;"REC only","Total MWh ","")&amp;IF(C897="PSE owned","Produced","Purchased")&amp;" from "&amp;C896</f>
        <v>Purchased from Klondike 1</v>
      </c>
      <c r="C899" s="52"/>
      <c r="D899" s="3">
        <v>968</v>
      </c>
      <c r="E899" s="3"/>
      <c r="F899" s="3">
        <v>755</v>
      </c>
      <c r="G899" s="3"/>
      <c r="H899" s="4"/>
      <c r="L899" s="1" t="s">
        <v>233</v>
      </c>
      <c r="M899" s="29" t="s">
        <v>182</v>
      </c>
      <c r="N899" s="228" t="s">
        <v>266</v>
      </c>
    </row>
    <row r="900" spans="1:14" ht="15" customHeight="1" x14ac:dyDescent="0.25">
      <c r="B900" s="57" t="s">
        <v>25</v>
      </c>
      <c r="C900" s="52"/>
      <c r="D900" s="132">
        <v>1</v>
      </c>
      <c r="E900" s="132"/>
      <c r="F900" s="132">
        <v>1</v>
      </c>
      <c r="G900" s="132"/>
      <c r="H900" s="133"/>
      <c r="L900" s="1" t="s">
        <v>233</v>
      </c>
      <c r="M900" s="29" t="s">
        <v>182</v>
      </c>
      <c r="N900" s="228" t="s">
        <v>25</v>
      </c>
    </row>
    <row r="901" spans="1:14" ht="15" customHeight="1" x14ac:dyDescent="0.25">
      <c r="B901" s="57" t="s">
        <v>20</v>
      </c>
      <c r="C901" s="52"/>
      <c r="D901" s="42">
        <v>1</v>
      </c>
      <c r="E901" s="42"/>
      <c r="F901" s="42">
        <v>1</v>
      </c>
      <c r="G901" s="42"/>
      <c r="H901" s="43"/>
      <c r="L901" s="1" t="s">
        <v>233</v>
      </c>
      <c r="M901" s="29" t="s">
        <v>182</v>
      </c>
      <c r="N901" s="228" t="s">
        <v>20</v>
      </c>
    </row>
    <row r="902" spans="1:14" ht="15" customHeight="1" x14ac:dyDescent="0.25">
      <c r="B902" s="54" t="s">
        <v>22</v>
      </c>
      <c r="C902" s="55"/>
      <c r="D902" s="131">
        <f xml:space="preserve"> D899 * D900 * D901</f>
        <v>968</v>
      </c>
      <c r="E902" s="131">
        <f xml:space="preserve"> E899 * E900 * E901</f>
        <v>0</v>
      </c>
      <c r="F902" s="131">
        <f xml:space="preserve"> ROUNDDOWN(F899 * F900 * F901,0)</f>
        <v>755</v>
      </c>
      <c r="G902" s="131">
        <f xml:space="preserve"> ROUNDDOWN(G899 * G900 * G901,0)</f>
        <v>0</v>
      </c>
      <c r="H902" s="131">
        <f xml:space="preserve"> ROUNDDOWN(H899 * H900 * H901,0)</f>
        <v>0</v>
      </c>
      <c r="L902" s="1" t="s">
        <v>233</v>
      </c>
      <c r="M902" s="29" t="s">
        <v>182</v>
      </c>
      <c r="N902" s="228" t="s">
        <v>22</v>
      </c>
    </row>
    <row r="903" spans="1:14" ht="15" customHeight="1" x14ac:dyDescent="0.25">
      <c r="B903" s="22"/>
      <c r="C903" s="29"/>
      <c r="D903" s="36"/>
      <c r="E903" s="36"/>
      <c r="F903" s="36"/>
      <c r="G903" s="167"/>
      <c r="H903" s="36"/>
      <c r="L903" s="1" t="s">
        <v>233</v>
      </c>
      <c r="M903" s="29" t="s">
        <v>182</v>
      </c>
    </row>
    <row r="904" spans="1:14" ht="18.75" customHeight="1" x14ac:dyDescent="0.3">
      <c r="A904" s="39" t="s">
        <v>119</v>
      </c>
      <c r="C904" s="29"/>
      <c r="D904" s="2">
        <f>D898</f>
        <v>2017</v>
      </c>
      <c r="E904" s="2">
        <f>D904+1</f>
        <v>2018</v>
      </c>
      <c r="F904" s="2">
        <f>E904+1</f>
        <v>2019</v>
      </c>
      <c r="G904" s="2">
        <f>F904+1</f>
        <v>2020</v>
      </c>
      <c r="H904" s="2">
        <f>G904+1</f>
        <v>2021</v>
      </c>
      <c r="L904" s="1" t="s">
        <v>233</v>
      </c>
      <c r="M904" s="29" t="s">
        <v>182</v>
      </c>
      <c r="N904" s="228" t="s">
        <v>119</v>
      </c>
    </row>
    <row r="905" spans="1:14" x14ac:dyDescent="0.25">
      <c r="B905" s="57" t="s">
        <v>10</v>
      </c>
      <c r="C905" s="52"/>
      <c r="D905" s="10">
        <f ca="1">IF(VLOOKUP($C896,Facilities,5,FALSE)="Eligible", D902*ApprenticeshipBonus, 0 )</f>
        <v>0</v>
      </c>
      <c r="E905" s="109">
        <f ca="1">IF(VLOOKUP($C896,Facilities,5,FALSE)="Eligible", E902*ApprenticeshipBonus, 0 )</f>
        <v>0</v>
      </c>
      <c r="F905" s="109">
        <f ca="1">IF(VLOOKUP($C896,Facilities,5,FALSE)="Eligible", F902*ApprenticeshipBonus, 0 )</f>
        <v>0</v>
      </c>
      <c r="G905" s="109">
        <f ca="1">IF(VLOOKUP($C896,Facilities,5,FALSE)="Eligible", G902*ApprenticeshipBonus, 0 )</f>
        <v>0</v>
      </c>
      <c r="H905" s="11">
        <f ca="1">IF(VLOOKUP($C896,Facilities,5,FALSE)="Eligible", H902*ApprenticeshipBonus, 0 )</f>
        <v>0</v>
      </c>
      <c r="L905" s="1" t="s">
        <v>233</v>
      </c>
      <c r="M905" s="29" t="s">
        <v>182</v>
      </c>
      <c r="N905" s="228" t="s">
        <v>10</v>
      </c>
    </row>
    <row r="906" spans="1:14" ht="15" customHeight="1" x14ac:dyDescent="0.25">
      <c r="B906" s="57" t="s">
        <v>6</v>
      </c>
      <c r="C906" s="52"/>
      <c r="D906" s="44">
        <f ca="1">IF(VLOOKUP($C896,Facilities,6,FALSE)="Eligible", D902, 0 )</f>
        <v>0</v>
      </c>
      <c r="E906" s="110">
        <f ca="1">IF(VLOOKUP($C896,Facilities,6,FALSE)="Eligible", E902, 0 )</f>
        <v>0</v>
      </c>
      <c r="F906" s="110">
        <f ca="1">IF(VLOOKUP($C896,Facilities,6,FALSE)="Eligible", F902, 0 )</f>
        <v>0</v>
      </c>
      <c r="G906" s="110">
        <f ca="1">IF(VLOOKUP($C896,Facilities,6,FALSE)="Eligible", G902, 0 )</f>
        <v>0</v>
      </c>
      <c r="H906" s="45">
        <f ca="1">IF(VLOOKUP($C896,Facilities,6,FALSE)="Eligible", H902, 0 )</f>
        <v>0</v>
      </c>
      <c r="L906" s="1" t="s">
        <v>233</v>
      </c>
      <c r="M906" s="29" t="s">
        <v>182</v>
      </c>
      <c r="N906" s="228" t="s">
        <v>6</v>
      </c>
    </row>
    <row r="907" spans="1:14" ht="15" customHeight="1" x14ac:dyDescent="0.25">
      <c r="B907" s="56" t="s">
        <v>121</v>
      </c>
      <c r="C907" s="55"/>
      <c r="D907" s="37">
        <f ca="1">SUM(D905:D906)</f>
        <v>0</v>
      </c>
      <c r="E907" s="37">
        <f ca="1">SUM(E905:E906)</f>
        <v>0</v>
      </c>
      <c r="F907" s="37">
        <f ca="1">SUM(F905:F906)</f>
        <v>0</v>
      </c>
      <c r="G907" s="37">
        <f ca="1">SUM(G905:G906)</f>
        <v>0</v>
      </c>
      <c r="H907" s="37">
        <f ca="1">SUM(H905:H906)</f>
        <v>0</v>
      </c>
      <c r="L907" s="1" t="s">
        <v>233</v>
      </c>
      <c r="M907" s="29" t="s">
        <v>182</v>
      </c>
      <c r="N907" s="228" t="s">
        <v>121</v>
      </c>
    </row>
    <row r="908" spans="1:14" ht="15" customHeight="1" x14ac:dyDescent="0.25">
      <c r="B908" s="29"/>
      <c r="C908" s="29"/>
      <c r="D908" s="30"/>
      <c r="E908" s="30"/>
      <c r="F908" s="30"/>
      <c r="G908" s="169"/>
      <c r="H908" s="30"/>
      <c r="L908" s="1" t="s">
        <v>233</v>
      </c>
      <c r="M908" s="29" t="s">
        <v>182</v>
      </c>
    </row>
    <row r="909" spans="1:14" ht="18.75" customHeight="1" x14ac:dyDescent="0.3">
      <c r="A909" s="38" t="s">
        <v>30</v>
      </c>
      <c r="C909" s="29"/>
      <c r="D909" s="2">
        <f>D904</f>
        <v>2017</v>
      </c>
      <c r="E909" s="2">
        <f>D909+1</f>
        <v>2018</v>
      </c>
      <c r="F909" s="2">
        <f>E909+1</f>
        <v>2019</v>
      </c>
      <c r="G909" s="2">
        <f>F909+1</f>
        <v>2020</v>
      </c>
      <c r="H909" s="2">
        <f>G909+1</f>
        <v>2021</v>
      </c>
      <c r="L909" s="1" t="s">
        <v>233</v>
      </c>
      <c r="M909" s="29" t="s">
        <v>182</v>
      </c>
      <c r="N909" s="228" t="s">
        <v>30</v>
      </c>
    </row>
    <row r="910" spans="1:14" ht="15" customHeight="1" x14ac:dyDescent="0.25">
      <c r="B910" s="57" t="s">
        <v>47</v>
      </c>
      <c r="C910" s="52"/>
      <c r="D910" s="3">
        <v>0</v>
      </c>
      <c r="E910" s="3">
        <v>0</v>
      </c>
      <c r="F910" s="3">
        <v>0</v>
      </c>
      <c r="G910" s="3">
        <v>0</v>
      </c>
      <c r="H910" s="4">
        <v>0</v>
      </c>
      <c r="L910" s="1" t="s">
        <v>233</v>
      </c>
      <c r="M910" s="29" t="s">
        <v>182</v>
      </c>
      <c r="N910" s="228" t="s">
        <v>47</v>
      </c>
    </row>
    <row r="911" spans="1:14" ht="15" customHeight="1" x14ac:dyDescent="0.25">
      <c r="B911" s="58" t="s">
        <v>23</v>
      </c>
      <c r="C911" s="59"/>
      <c r="D911" s="137">
        <v>0</v>
      </c>
      <c r="E911" s="137">
        <v>0</v>
      </c>
      <c r="F911" s="137">
        <v>0</v>
      </c>
      <c r="G911" s="137">
        <v>0</v>
      </c>
      <c r="H911" s="138">
        <v>0</v>
      </c>
      <c r="L911" s="1" t="s">
        <v>233</v>
      </c>
      <c r="M911" s="29" t="s">
        <v>182</v>
      </c>
      <c r="N911" s="228" t="s">
        <v>23</v>
      </c>
    </row>
    <row r="912" spans="1:14" ht="15" customHeight="1" x14ac:dyDescent="0.25">
      <c r="B912" s="68" t="s">
        <v>89</v>
      </c>
      <c r="C912" s="67"/>
      <c r="D912" s="191">
        <v>0</v>
      </c>
      <c r="E912" s="139">
        <v>0</v>
      </c>
      <c r="F912" s="139">
        <v>0</v>
      </c>
      <c r="G912" s="139">
        <v>0</v>
      </c>
      <c r="H912" s="140">
        <v>0</v>
      </c>
      <c r="L912" s="1" t="s">
        <v>233</v>
      </c>
      <c r="M912" s="29" t="s">
        <v>182</v>
      </c>
      <c r="N912" s="228" t="s">
        <v>89</v>
      </c>
    </row>
    <row r="913" spans="1:14" ht="15" customHeight="1" x14ac:dyDescent="0.25">
      <c r="B913" s="32" t="s">
        <v>90</v>
      </c>
      <c r="D913" s="6">
        <f>SUM(D910:D912)</f>
        <v>0</v>
      </c>
      <c r="E913" s="6">
        <f>SUM(E910:E912)</f>
        <v>0</v>
      </c>
      <c r="F913" s="6">
        <f>SUM(F910:F912)</f>
        <v>0</v>
      </c>
      <c r="G913" s="6">
        <f>SUM(G910:G912)</f>
        <v>0</v>
      </c>
      <c r="H913" s="6">
        <f>SUM(H910:H912)</f>
        <v>0</v>
      </c>
      <c r="L913" s="1" t="s">
        <v>233</v>
      </c>
      <c r="M913" s="29" t="s">
        <v>182</v>
      </c>
      <c r="N913" s="228" t="s">
        <v>90</v>
      </c>
    </row>
    <row r="914" spans="1:14" ht="15" customHeight="1" x14ac:dyDescent="0.25">
      <c r="B914" s="5"/>
      <c r="D914" s="6"/>
      <c r="E914" s="6"/>
      <c r="F914" s="6"/>
      <c r="G914" s="167"/>
      <c r="H914" s="6"/>
      <c r="L914" s="1" t="s">
        <v>233</v>
      </c>
      <c r="M914" s="29" t="s">
        <v>182</v>
      </c>
    </row>
    <row r="915" spans="1:14" ht="18.75" customHeight="1" x14ac:dyDescent="0.3">
      <c r="A915" s="8" t="s">
        <v>100</v>
      </c>
      <c r="D915" s="2">
        <f>D909</f>
        <v>2017</v>
      </c>
      <c r="E915" s="2">
        <f>D915+1</f>
        <v>2018</v>
      </c>
      <c r="F915" s="2">
        <f>E915+1</f>
        <v>2019</v>
      </c>
      <c r="G915" s="2">
        <f>F915+1</f>
        <v>2020</v>
      </c>
      <c r="H915" s="2">
        <f>G915+1</f>
        <v>2021</v>
      </c>
      <c r="L915" s="1" t="s">
        <v>233</v>
      </c>
      <c r="M915" s="29" t="s">
        <v>182</v>
      </c>
      <c r="N915" s="228" t="s">
        <v>100</v>
      </c>
    </row>
    <row r="916" spans="1:14" ht="15" customHeight="1" x14ac:dyDescent="0.25">
      <c r="B916" s="57" t="str">
        <f>(StartYear-1) &amp; " Surplus Applied to " &amp; StartYear</f>
        <v>2016 Surplus Applied to 2017</v>
      </c>
      <c r="C916" s="29"/>
      <c r="D916" s="186">
        <v>0</v>
      </c>
      <c r="E916" s="187"/>
      <c r="F916" s="187"/>
      <c r="G916" s="187"/>
      <c r="H916" s="188"/>
      <c r="L916" s="1" t="s">
        <v>233</v>
      </c>
      <c r="M916" s="29" t="s">
        <v>182</v>
      </c>
      <c r="N916" s="228" t="s">
        <v>235</v>
      </c>
    </row>
    <row r="917" spans="1:14" ht="15" customHeight="1" x14ac:dyDescent="0.25">
      <c r="B917" s="57" t="str">
        <f>StartYear &amp; " Surplus Applied to " &amp; (StartYear-1)</f>
        <v>2017 Surplus Applied to 2016</v>
      </c>
      <c r="C917" s="29"/>
      <c r="D917" s="189">
        <v>0</v>
      </c>
      <c r="E917" s="113"/>
      <c r="F917" s="113"/>
      <c r="G917" s="113"/>
      <c r="H917" s="117"/>
      <c r="L917" s="1" t="s">
        <v>233</v>
      </c>
      <c r="M917" s="29" t="s">
        <v>182</v>
      </c>
      <c r="N917" s="228" t="s">
        <v>236</v>
      </c>
    </row>
    <row r="918" spans="1:14" ht="15" customHeight="1" x14ac:dyDescent="0.25">
      <c r="B918" s="57" t="str">
        <f>( StartYear) &amp; " Surplus Applied to " &amp; ( StartYear + 1 )</f>
        <v>2017 Surplus Applied to 2018</v>
      </c>
      <c r="C918" s="29"/>
      <c r="D918" s="184">
        <v>0</v>
      </c>
      <c r="E918" s="185"/>
      <c r="F918" s="181"/>
      <c r="G918" s="181"/>
      <c r="H918" s="182"/>
      <c r="L918" s="1" t="s">
        <v>233</v>
      </c>
      <c r="M918" s="29" t="s">
        <v>182</v>
      </c>
      <c r="N918" s="228" t="s">
        <v>237</v>
      </c>
    </row>
    <row r="919" spans="1:14" ht="15" customHeight="1" x14ac:dyDescent="0.25">
      <c r="B919" s="57" t="str">
        <f xml:space="preserve"> ( StartYear + 1 ) &amp; " Surplus Applied to " &amp; ( StartYear )</f>
        <v>2018 Surplus Applied to 2017</v>
      </c>
      <c r="C919" s="29"/>
      <c r="D919" s="134">
        <v>0</v>
      </c>
      <c r="E919" s="9">
        <v>0</v>
      </c>
      <c r="F919" s="113"/>
      <c r="G919" s="113"/>
      <c r="H919" s="117"/>
      <c r="L919" s="1" t="s">
        <v>233</v>
      </c>
      <c r="M919" s="29" t="s">
        <v>182</v>
      </c>
      <c r="N919" s="228" t="s">
        <v>238</v>
      </c>
    </row>
    <row r="920" spans="1:14" ht="15" customHeight="1" x14ac:dyDescent="0.25">
      <c r="B920" s="119" t="str">
        <f xml:space="preserve"> ( StartYear + 1 ) &amp; " Surplus Applied to " &amp; ( StartYear + 2 )</f>
        <v>2018 Surplus Applied to 2019</v>
      </c>
      <c r="C920" s="29"/>
      <c r="D920" s="114"/>
      <c r="E920" s="9">
        <v>0</v>
      </c>
      <c r="F920" s="51">
        <f>E920</f>
        <v>0</v>
      </c>
      <c r="G920" s="113"/>
      <c r="H920" s="117"/>
      <c r="L920" s="1" t="s">
        <v>233</v>
      </c>
      <c r="M920" s="29" t="s">
        <v>182</v>
      </c>
      <c r="N920" s="228" t="s">
        <v>239</v>
      </c>
    </row>
    <row r="921" spans="1:14" ht="15" customHeight="1" x14ac:dyDescent="0.25">
      <c r="B921" s="119" t="str">
        <f xml:space="preserve"> ( StartYear + 2 ) &amp; " Surplus Applied to " &amp; ( StartYear + 1 )</f>
        <v>2019 Surplus Applied to 2018</v>
      </c>
      <c r="C921" s="29"/>
      <c r="D921" s="114"/>
      <c r="E921" s="51">
        <v>0</v>
      </c>
      <c r="F921" s="9">
        <v>0</v>
      </c>
      <c r="G921" s="113"/>
      <c r="H921" s="117"/>
      <c r="L921" s="1" t="s">
        <v>233</v>
      </c>
      <c r="M921" s="29" t="s">
        <v>182</v>
      </c>
      <c r="N921" s="228" t="s">
        <v>240</v>
      </c>
    </row>
    <row r="922" spans="1:14" ht="15" customHeight="1" x14ac:dyDescent="0.25">
      <c r="B922" s="165" t="str">
        <f xml:space="preserve"> ( StartYear + 2 ) &amp; " Surplus Applied to " &amp; ( StartYear + 3 )</f>
        <v>2019 Surplus Applied to 2020</v>
      </c>
      <c r="C922" s="29"/>
      <c r="D922" s="114"/>
      <c r="E922" s="113"/>
      <c r="F922" s="9">
        <v>755</v>
      </c>
      <c r="G922" s="51">
        <f>F922</f>
        <v>755</v>
      </c>
      <c r="H922" s="117"/>
      <c r="L922" s="1" t="s">
        <v>233</v>
      </c>
      <c r="M922" s="29" t="s">
        <v>182</v>
      </c>
      <c r="N922" s="228" t="s">
        <v>241</v>
      </c>
    </row>
    <row r="923" spans="1:14" ht="15" customHeight="1" x14ac:dyDescent="0.25">
      <c r="B923" s="165" t="str">
        <f xml:space="preserve"> ( StartYear + 3 ) &amp; " Surplus Applied to " &amp; ( StartYear + 2 )</f>
        <v>2020 Surplus Applied to 2019</v>
      </c>
      <c r="C923" s="29"/>
      <c r="D923" s="114"/>
      <c r="E923" s="113"/>
      <c r="F923" s="51">
        <v>0</v>
      </c>
      <c r="G923" s="9">
        <v>0</v>
      </c>
      <c r="H923" s="117"/>
      <c r="L923" s="1" t="s">
        <v>233</v>
      </c>
      <c r="M923" s="29" t="s">
        <v>182</v>
      </c>
      <c r="N923" s="228" t="s">
        <v>242</v>
      </c>
    </row>
    <row r="924" spans="1:14" ht="15" customHeight="1" x14ac:dyDescent="0.25">
      <c r="B924" s="165" t="str">
        <f xml:space="preserve"> ( StartYear + 3 ) &amp; " Surplus Applied to " &amp; ( StartYear + 4 )</f>
        <v>2020 Surplus Applied to 2021</v>
      </c>
      <c r="C924" s="29"/>
      <c r="D924" s="114"/>
      <c r="E924" s="113"/>
      <c r="F924" s="113"/>
      <c r="G924" s="9">
        <f ca="1">G902+G907-G913</f>
        <v>0</v>
      </c>
      <c r="H924" s="46">
        <f ca="1">G924</f>
        <v>0</v>
      </c>
      <c r="L924" s="1" t="s">
        <v>233</v>
      </c>
      <c r="M924" s="29" t="s">
        <v>182</v>
      </c>
      <c r="N924" s="228" t="s">
        <v>243</v>
      </c>
    </row>
    <row r="925" spans="1:14" ht="15" customHeight="1" x14ac:dyDescent="0.25">
      <c r="B925" s="165" t="str">
        <f xml:space="preserve"> ( StartYear + 4 ) &amp; " Surplus Applied to " &amp; ( StartYear + 3 )</f>
        <v>2021 Surplus Applied to 2020</v>
      </c>
      <c r="C925" s="29"/>
      <c r="D925" s="115"/>
      <c r="E925" s="116"/>
      <c r="F925" s="116"/>
      <c r="G925" s="47">
        <v>0</v>
      </c>
      <c r="H925" s="41">
        <v>0</v>
      </c>
      <c r="L925" s="1" t="s">
        <v>233</v>
      </c>
      <c r="M925" s="29" t="s">
        <v>182</v>
      </c>
      <c r="N925" s="228" t="s">
        <v>244</v>
      </c>
    </row>
    <row r="926" spans="1:14" ht="15" customHeight="1" x14ac:dyDescent="0.25">
      <c r="B926" s="120" t="s">
        <v>17</v>
      </c>
      <c r="D926" s="6">
        <f>D916-D917+D919-D918</f>
        <v>0</v>
      </c>
      <c r="E926" s="6">
        <f>E918+E921-E919-E920</f>
        <v>0</v>
      </c>
      <c r="F926" s="6">
        <f>F920+F923-F921-F922</f>
        <v>-755</v>
      </c>
      <c r="G926" s="6">
        <f ca="1">G922+G925-G923-G924</f>
        <v>755</v>
      </c>
      <c r="H926" s="6">
        <f ca="1">H924-H925</f>
        <v>0</v>
      </c>
      <c r="L926" s="1" t="s">
        <v>233</v>
      </c>
      <c r="M926" s="29" t="s">
        <v>182</v>
      </c>
      <c r="N926" s="228" t="s">
        <v>17</v>
      </c>
    </row>
    <row r="927" spans="1:14" ht="15" customHeight="1" x14ac:dyDescent="0.25">
      <c r="B927" s="119"/>
      <c r="C927" s="29"/>
      <c r="D927" s="6"/>
      <c r="E927" s="6"/>
      <c r="F927" s="6"/>
      <c r="G927" s="6"/>
      <c r="H927" s="6"/>
      <c r="L927" s="1" t="s">
        <v>233</v>
      </c>
      <c r="M927" s="29" t="s">
        <v>182</v>
      </c>
    </row>
    <row r="928" spans="1:14" ht="15" customHeight="1" x14ac:dyDescent="0.25">
      <c r="B928" s="5"/>
      <c r="D928" s="183">
        <v>0</v>
      </c>
      <c r="E928" s="111">
        <v>0</v>
      </c>
      <c r="F928" s="111">
        <v>0</v>
      </c>
      <c r="G928" s="111">
        <v>0</v>
      </c>
      <c r="H928" s="76">
        <v>0</v>
      </c>
      <c r="L928" s="1" t="s">
        <v>233</v>
      </c>
      <c r="M928" s="29" t="s">
        <v>182</v>
      </c>
    </row>
    <row r="929" spans="1:14" ht="15" customHeight="1" x14ac:dyDescent="0.25">
      <c r="B929" s="54" t="s">
        <v>12</v>
      </c>
      <c r="C929" s="29"/>
      <c r="D929" s="193"/>
      <c r="E929" s="6"/>
      <c r="F929" s="6"/>
      <c r="G929" s="6"/>
      <c r="H929" s="6"/>
      <c r="L929" s="1" t="s">
        <v>233</v>
      </c>
      <c r="M929" s="29" t="s">
        <v>182</v>
      </c>
      <c r="N929" s="228" t="s">
        <v>12</v>
      </c>
    </row>
    <row r="930" spans="1:14" ht="18.75" customHeight="1" x14ac:dyDescent="0.3">
      <c r="A930" s="38" t="s">
        <v>26</v>
      </c>
      <c r="C930" s="52">
        <f>A896</f>
        <v>23</v>
      </c>
      <c r="D930" s="194">
        <f ca="1" xml:space="preserve"> D902 + D907 - D913 + D926 + D929</f>
        <v>968</v>
      </c>
      <c r="E930" s="112">
        <f ca="1" xml:space="preserve"> E902 + E907 - E913 + E926 + E929</f>
        <v>0</v>
      </c>
      <c r="F930" s="112">
        <f ca="1" xml:space="preserve"> F902 + F907 - F913 + F926 + F929</f>
        <v>0</v>
      </c>
      <c r="G930" s="112">
        <f ca="1" xml:space="preserve"> G902 + G907 - G913 + G926 + G929</f>
        <v>755</v>
      </c>
      <c r="H930" s="174">
        <f ca="1" xml:space="preserve"> H902 + H907 - H913 + H926 + H929</f>
        <v>0</v>
      </c>
      <c r="L930" s="1" t="s">
        <v>233</v>
      </c>
      <c r="M930" s="29" t="s">
        <v>182</v>
      </c>
      <c r="N930" s="228" t="s">
        <v>26</v>
      </c>
    </row>
    <row r="931" spans="1:14" ht="15" customHeight="1" x14ac:dyDescent="0.25">
      <c r="C931" s="129" t="s">
        <v>158</v>
      </c>
      <c r="D931" s="6">
        <v>968</v>
      </c>
      <c r="E931" s="6"/>
      <c r="F931" s="28"/>
      <c r="G931" s="28"/>
      <c r="H931" s="28"/>
      <c r="L931" s="1" t="s">
        <v>233</v>
      </c>
      <c r="M931" s="29" t="s">
        <v>182</v>
      </c>
      <c r="N931" s="228" t="s">
        <v>158</v>
      </c>
    </row>
    <row r="932" spans="1:14" ht="15" customHeight="1" x14ac:dyDescent="0.25">
      <c r="C932" s="125"/>
      <c r="D932" s="1"/>
      <c r="L932" s="1" t="s">
        <v>233</v>
      </c>
      <c r="M932" s="29" t="s">
        <v>182</v>
      </c>
    </row>
    <row r="933" spans="1:14" ht="15" customHeight="1" x14ac:dyDescent="0.25">
      <c r="A933" s="29"/>
      <c r="B933" s="29"/>
      <c r="C933" s="29"/>
      <c r="D933" s="29"/>
      <c r="E933" s="29"/>
      <c r="F933" s="29"/>
      <c r="G933" s="29"/>
      <c r="H933" s="29"/>
      <c r="L933" s="1" t="s">
        <v>233</v>
      </c>
      <c r="M933" s="29" t="s">
        <v>182</v>
      </c>
    </row>
    <row r="934" spans="1:14" ht="21" customHeight="1" x14ac:dyDescent="0.35">
      <c r="A934" s="12">
        <f>MAX(A$1:A933)+1</f>
        <v>24</v>
      </c>
      <c r="B934" s="12"/>
      <c r="C934" s="214" t="str">
        <f ca="1">OFFSET($B$4,A934-1,0)</f>
        <v>Klondike III - Klondike Wind Power III LLC</v>
      </c>
      <c r="D934" s="215"/>
      <c r="E934" s="216"/>
      <c r="F934" s="216"/>
      <c r="G934" s="217"/>
      <c r="H934" s="218"/>
      <c r="I934" s="23"/>
      <c r="L934" s="1" t="s">
        <v>233</v>
      </c>
      <c r="M934" s="29" t="s">
        <v>190</v>
      </c>
      <c r="N934" s="228">
        <v>26</v>
      </c>
    </row>
    <row r="935" spans="1:14" ht="15" customHeight="1" x14ac:dyDescent="0.25">
      <c r="C935" s="1" t="str">
        <f ca="1">VLOOKUP(C934,Facilities,3,FALSE)</f>
        <v>REC only</v>
      </c>
      <c r="I935" s="23"/>
      <c r="L935" s="1" t="s">
        <v>233</v>
      </c>
      <c r="M935" s="29" t="s">
        <v>190</v>
      </c>
      <c r="N935" s="228" t="s">
        <v>181</v>
      </c>
    </row>
    <row r="936" spans="1:14" ht="18.75" customHeight="1" x14ac:dyDescent="0.3">
      <c r="A936" s="8" t="s">
        <v>21</v>
      </c>
      <c r="B936" s="8"/>
      <c r="D936" s="118">
        <f>StartYear</f>
        <v>2017</v>
      </c>
      <c r="E936" s="2">
        <f>D936+1</f>
        <v>2018</v>
      </c>
      <c r="F936" s="2">
        <f>E936+1</f>
        <v>2019</v>
      </c>
      <c r="G936" s="2">
        <f>F936+1</f>
        <v>2020</v>
      </c>
      <c r="H936" s="2">
        <f>G936+1</f>
        <v>2021</v>
      </c>
      <c r="I936" s="23"/>
      <c r="L936" s="1" t="s">
        <v>233</v>
      </c>
      <c r="M936" s="29" t="s">
        <v>190</v>
      </c>
      <c r="N936" s="228" t="s">
        <v>21</v>
      </c>
    </row>
    <row r="937" spans="1:14" ht="15" customHeight="1" x14ac:dyDescent="0.25">
      <c r="B937" s="119" t="str">
        <f ca="1">IF(C973&lt;&gt;"REC only","Total MWh ","")&amp;IF(C935="PSE owned","Produced","Purchased")&amp;" from "&amp;C934</f>
        <v>Purchased from Klondike III - Klondike Wind Power III LLC</v>
      </c>
      <c r="C937" s="52"/>
      <c r="D937" s="3"/>
      <c r="E937" s="3"/>
      <c r="F937" s="3">
        <v>19040</v>
      </c>
      <c r="G937" s="3"/>
      <c r="H937" s="4"/>
      <c r="I937" s="23"/>
      <c r="L937" s="190" t="s">
        <v>232</v>
      </c>
      <c r="M937" s="29" t="s">
        <v>190</v>
      </c>
      <c r="N937" s="228" t="s">
        <v>267</v>
      </c>
    </row>
    <row r="938" spans="1:14" ht="15" customHeight="1" x14ac:dyDescent="0.25">
      <c r="B938" s="57" t="s">
        <v>25</v>
      </c>
      <c r="C938" s="52"/>
      <c r="D938" s="132"/>
      <c r="E938" s="132"/>
      <c r="F938" s="132">
        <v>1</v>
      </c>
      <c r="G938" s="132"/>
      <c r="H938" s="133"/>
      <c r="I938" s="23"/>
      <c r="L938" s="190" t="s">
        <v>232</v>
      </c>
      <c r="M938" s="29" t="s">
        <v>190</v>
      </c>
      <c r="N938" s="228" t="s">
        <v>25</v>
      </c>
    </row>
    <row r="939" spans="1:14" ht="15" customHeight="1" x14ac:dyDescent="0.25">
      <c r="B939" s="57" t="s">
        <v>20</v>
      </c>
      <c r="C939" s="52"/>
      <c r="D939" s="42"/>
      <c r="E939" s="42"/>
      <c r="F939" s="42">
        <v>1</v>
      </c>
      <c r="G939" s="42"/>
      <c r="H939" s="43"/>
      <c r="I939" s="28"/>
      <c r="L939" s="190" t="s">
        <v>232</v>
      </c>
      <c r="M939" s="29" t="s">
        <v>190</v>
      </c>
      <c r="N939" s="228" t="s">
        <v>20</v>
      </c>
    </row>
    <row r="940" spans="1:14" ht="15" customHeight="1" x14ac:dyDescent="0.25">
      <c r="B940" s="54" t="s">
        <v>22</v>
      </c>
      <c r="C940" s="55"/>
      <c r="D940" s="131">
        <f xml:space="preserve"> D937 * D938 * D939</f>
        <v>0</v>
      </c>
      <c r="E940" s="131">
        <f xml:space="preserve"> E937 * E938 * E939</f>
        <v>0</v>
      </c>
      <c r="F940" s="131">
        <f xml:space="preserve"> ROUNDDOWN(F937 * F938 * F939,0)</f>
        <v>19040</v>
      </c>
      <c r="G940" s="131">
        <f xml:space="preserve"> ROUNDDOWN(G937 * G938 * G939,0)</f>
        <v>0</v>
      </c>
      <c r="H940" s="131">
        <f xml:space="preserve"> ROUNDDOWN(H937 * H938 * H939,0)</f>
        <v>0</v>
      </c>
      <c r="I940" s="28"/>
      <c r="L940" s="190" t="s">
        <v>232</v>
      </c>
      <c r="M940" s="29" t="s">
        <v>190</v>
      </c>
      <c r="N940" s="228" t="s">
        <v>22</v>
      </c>
    </row>
    <row r="941" spans="1:14" ht="15" customHeight="1" x14ac:dyDescent="0.25">
      <c r="B941" s="22"/>
      <c r="C941" s="29"/>
      <c r="D941" s="36"/>
      <c r="E941" s="36"/>
      <c r="F941" s="36"/>
      <c r="G941" s="167"/>
      <c r="H941" s="36"/>
      <c r="I941" s="28"/>
      <c r="L941" s="190" t="s">
        <v>232</v>
      </c>
      <c r="M941" s="29" t="s">
        <v>190</v>
      </c>
    </row>
    <row r="942" spans="1:14" ht="18.75" customHeight="1" x14ac:dyDescent="0.3">
      <c r="A942" s="39" t="s">
        <v>119</v>
      </c>
      <c r="C942" s="29"/>
      <c r="D942" s="2">
        <f>StartYear</f>
        <v>2017</v>
      </c>
      <c r="E942" s="2">
        <f>D942+1</f>
        <v>2018</v>
      </c>
      <c r="F942" s="2">
        <f>E942+1</f>
        <v>2019</v>
      </c>
      <c r="G942" s="2">
        <f>F942+1</f>
        <v>2020</v>
      </c>
      <c r="H942" s="2">
        <f>G942+1</f>
        <v>2021</v>
      </c>
      <c r="I942" s="29"/>
      <c r="L942" s="190" t="s">
        <v>232</v>
      </c>
      <c r="M942" s="29" t="s">
        <v>190</v>
      </c>
      <c r="N942" s="228" t="s">
        <v>119</v>
      </c>
    </row>
    <row r="943" spans="1:14" x14ac:dyDescent="0.25">
      <c r="B943" s="57" t="s">
        <v>10</v>
      </c>
      <c r="C943" s="52"/>
      <c r="D943" s="10">
        <f ca="1">IF(VLOOKUP($C934,Facilities,5,FALSE)="Eligible", D940*ApprenticeshipBonus, 0 )</f>
        <v>0</v>
      </c>
      <c r="E943" s="109">
        <f ca="1">IF(VLOOKUP($C934,Facilities,5,FALSE)="Eligible", E940*ApprenticeshipBonus, 0 )</f>
        <v>0</v>
      </c>
      <c r="F943" s="109">
        <f ca="1">IF(VLOOKUP($C934,Facilities,5,FALSE)="Eligible", F940*ApprenticeshipBonus, 0 )</f>
        <v>0</v>
      </c>
      <c r="G943" s="109">
        <f ca="1">IF(VLOOKUP($C934,Facilities,5,FALSE)="Eligible", G940*ApprenticeshipBonus, 0 )</f>
        <v>0</v>
      </c>
      <c r="H943" s="11">
        <f ca="1">IF(VLOOKUP($C934,Facilities,5,FALSE)="Eligible", H940*ApprenticeshipBonus, 0 )</f>
        <v>0</v>
      </c>
      <c r="L943" s="190" t="s">
        <v>232</v>
      </c>
      <c r="M943" s="29" t="s">
        <v>190</v>
      </c>
      <c r="N943" s="228" t="s">
        <v>10</v>
      </c>
    </row>
    <row r="944" spans="1:14" ht="15" customHeight="1" x14ac:dyDescent="0.25">
      <c r="B944" s="57" t="s">
        <v>6</v>
      </c>
      <c r="C944" s="52"/>
      <c r="D944" s="44">
        <f ca="1">IF(VLOOKUP($C934,Facilities,6,FALSE)="Eligible", D940, 0 )</f>
        <v>0</v>
      </c>
      <c r="E944" s="110">
        <f ca="1">IF(VLOOKUP($C934,Facilities,6,FALSE)="Eligible", E940, 0 )</f>
        <v>0</v>
      </c>
      <c r="F944" s="110">
        <f ca="1">IF(VLOOKUP($C934,Facilities,6,FALSE)="Eligible", F940, 0 )</f>
        <v>0</v>
      </c>
      <c r="G944" s="110">
        <f ca="1">IF(VLOOKUP($C934,Facilities,6,FALSE)="Eligible", G940, 0 )</f>
        <v>0</v>
      </c>
      <c r="H944" s="45">
        <f ca="1">IF(VLOOKUP($C934,Facilities,6,FALSE)="Eligible", H940, 0 )</f>
        <v>0</v>
      </c>
      <c r="L944" s="190" t="s">
        <v>232</v>
      </c>
      <c r="M944" s="29" t="s">
        <v>190</v>
      </c>
      <c r="N944" s="228" t="s">
        <v>6</v>
      </c>
    </row>
    <row r="945" spans="1:14" ht="15" customHeight="1" x14ac:dyDescent="0.25">
      <c r="B945" s="56" t="s">
        <v>121</v>
      </c>
      <c r="C945" s="55"/>
      <c r="D945" s="37">
        <f ca="1">SUM(D943:D944)</f>
        <v>0</v>
      </c>
      <c r="E945" s="37">
        <f ca="1">SUM(E943:E944)</f>
        <v>0</v>
      </c>
      <c r="F945" s="37">
        <f ca="1">SUM(F943:F944)</f>
        <v>0</v>
      </c>
      <c r="G945" s="37">
        <f ca="1">SUM(G943:G944)</f>
        <v>0</v>
      </c>
      <c r="H945" s="37">
        <f ca="1">SUM(H943:H944)</f>
        <v>0</v>
      </c>
      <c r="I945" s="24"/>
      <c r="L945" s="190" t="s">
        <v>232</v>
      </c>
      <c r="M945" s="29" t="s">
        <v>190</v>
      </c>
      <c r="N945" s="228" t="s">
        <v>121</v>
      </c>
    </row>
    <row r="946" spans="1:14" ht="15" customHeight="1" x14ac:dyDescent="0.25">
      <c r="B946" s="29"/>
      <c r="C946" s="29"/>
      <c r="D946" s="30"/>
      <c r="E946" s="30"/>
      <c r="F946" s="30"/>
      <c r="G946" s="169"/>
      <c r="H946" s="30"/>
      <c r="I946" s="23"/>
      <c r="L946" s="190" t="s">
        <v>232</v>
      </c>
      <c r="M946" s="29" t="s">
        <v>190</v>
      </c>
    </row>
    <row r="947" spans="1:14" ht="18.75" customHeight="1" x14ac:dyDescent="0.3">
      <c r="A947" s="38" t="s">
        <v>30</v>
      </c>
      <c r="C947" s="29"/>
      <c r="D947" s="2">
        <f>StartYear</f>
        <v>2017</v>
      </c>
      <c r="E947" s="2">
        <f>D947+1</f>
        <v>2018</v>
      </c>
      <c r="F947" s="2">
        <f>E947+1</f>
        <v>2019</v>
      </c>
      <c r="G947" s="2">
        <f>F947+1</f>
        <v>2020</v>
      </c>
      <c r="H947" s="2">
        <f>G947+1</f>
        <v>2021</v>
      </c>
      <c r="I947" s="23"/>
      <c r="L947" s="190" t="s">
        <v>232</v>
      </c>
      <c r="M947" s="29" t="s">
        <v>190</v>
      </c>
      <c r="N947" s="228" t="s">
        <v>30</v>
      </c>
    </row>
    <row r="948" spans="1:14" ht="15" customHeight="1" x14ac:dyDescent="0.25">
      <c r="B948" s="57" t="s">
        <v>47</v>
      </c>
      <c r="C948" s="52"/>
      <c r="D948" s="3"/>
      <c r="E948" s="3"/>
      <c r="F948" s="3"/>
      <c r="G948" s="3"/>
      <c r="H948" s="4"/>
      <c r="I948" s="23"/>
      <c r="L948" s="190" t="s">
        <v>232</v>
      </c>
      <c r="M948" s="29" t="s">
        <v>190</v>
      </c>
      <c r="N948" s="228" t="s">
        <v>47</v>
      </c>
    </row>
    <row r="949" spans="1:14" ht="15" customHeight="1" x14ac:dyDescent="0.25">
      <c r="B949" s="58" t="s">
        <v>23</v>
      </c>
      <c r="C949" s="59"/>
      <c r="D949" s="137"/>
      <c r="E949" s="137"/>
      <c r="F949" s="137"/>
      <c r="G949" s="137"/>
      <c r="H949" s="138"/>
      <c r="I949" s="23"/>
      <c r="L949" s="190" t="s">
        <v>232</v>
      </c>
      <c r="M949" s="29" t="s">
        <v>190</v>
      </c>
      <c r="N949" s="228" t="s">
        <v>23</v>
      </c>
    </row>
    <row r="950" spans="1:14" ht="15" customHeight="1" x14ac:dyDescent="0.25">
      <c r="B950" s="68" t="s">
        <v>89</v>
      </c>
      <c r="C950" s="67"/>
      <c r="D950" s="191"/>
      <c r="E950" s="139"/>
      <c r="F950" s="139"/>
      <c r="G950" s="139"/>
      <c r="H950" s="140"/>
      <c r="I950" s="23"/>
      <c r="L950" s="190" t="s">
        <v>232</v>
      </c>
      <c r="M950" s="29" t="s">
        <v>190</v>
      </c>
      <c r="N950" s="228" t="s">
        <v>89</v>
      </c>
    </row>
    <row r="951" spans="1:14" ht="15" customHeight="1" x14ac:dyDescent="0.25">
      <c r="B951" s="32" t="s">
        <v>90</v>
      </c>
      <c r="D951" s="6">
        <f>SUM(D948:D950)</f>
        <v>0</v>
      </c>
      <c r="E951" s="6">
        <f>SUM(E948:E950)</f>
        <v>0</v>
      </c>
      <c r="F951" s="6">
        <f>SUM(F948:F950)</f>
        <v>0</v>
      </c>
      <c r="G951" s="6">
        <f>SUM(G948:G950)</f>
        <v>0</v>
      </c>
      <c r="H951" s="6">
        <f>SUM(H948:H950)</f>
        <v>0</v>
      </c>
      <c r="I951" s="23"/>
      <c r="L951" s="190" t="s">
        <v>232</v>
      </c>
      <c r="M951" s="29" t="s">
        <v>190</v>
      </c>
      <c r="N951" s="228" t="s">
        <v>90</v>
      </c>
    </row>
    <row r="952" spans="1:14" ht="15" customHeight="1" x14ac:dyDescent="0.25">
      <c r="B952" s="5"/>
      <c r="D952" s="6"/>
      <c r="E952" s="6"/>
      <c r="F952" s="6"/>
      <c r="G952" s="167"/>
      <c r="H952" s="6"/>
      <c r="I952" s="23"/>
      <c r="L952" s="190" t="s">
        <v>232</v>
      </c>
      <c r="M952" s="29" t="s">
        <v>190</v>
      </c>
    </row>
    <row r="953" spans="1:14" ht="18.75" customHeight="1" x14ac:dyDescent="0.3">
      <c r="A953" s="8" t="s">
        <v>100</v>
      </c>
      <c r="D953" s="2">
        <f>StartYear</f>
        <v>2017</v>
      </c>
      <c r="E953" s="2">
        <f>D953+1</f>
        <v>2018</v>
      </c>
      <c r="F953" s="2">
        <f>E953+1</f>
        <v>2019</v>
      </c>
      <c r="G953" s="2">
        <f>F953+1</f>
        <v>2020</v>
      </c>
      <c r="H953" s="2">
        <f>G953+1</f>
        <v>2021</v>
      </c>
      <c r="I953" s="23"/>
      <c r="L953" s="190" t="s">
        <v>232</v>
      </c>
      <c r="M953" s="29" t="s">
        <v>190</v>
      </c>
      <c r="N953" s="228" t="s">
        <v>100</v>
      </c>
    </row>
    <row r="954" spans="1:14" ht="15" customHeight="1" x14ac:dyDescent="0.25">
      <c r="B954" s="57" t="str">
        <f>(StartYear-1) &amp; " Surplus Applied to " &amp; StartYear</f>
        <v>2016 Surplus Applied to 2017</v>
      </c>
      <c r="C954" s="29"/>
      <c r="D954" s="186">
        <v>0</v>
      </c>
      <c r="E954" s="187"/>
      <c r="F954" s="187"/>
      <c r="G954" s="187"/>
      <c r="H954" s="188"/>
      <c r="L954" s="190" t="s">
        <v>232</v>
      </c>
      <c r="M954" s="29" t="s">
        <v>190</v>
      </c>
      <c r="N954" s="228" t="s">
        <v>235</v>
      </c>
    </row>
    <row r="955" spans="1:14" ht="15" customHeight="1" x14ac:dyDescent="0.25">
      <c r="B955" s="57" t="str">
        <f>StartYear &amp; " Surplus Applied to " &amp; (StartYear-1)</f>
        <v>2017 Surplus Applied to 2016</v>
      </c>
      <c r="C955" s="29"/>
      <c r="D955" s="189">
        <v>0</v>
      </c>
      <c r="E955" s="113"/>
      <c r="F955" s="113"/>
      <c r="G955" s="113"/>
      <c r="H955" s="117"/>
      <c r="L955" s="190" t="s">
        <v>232</v>
      </c>
      <c r="M955" s="29" t="s">
        <v>190</v>
      </c>
      <c r="N955" s="228" t="s">
        <v>236</v>
      </c>
    </row>
    <row r="956" spans="1:14" ht="15" customHeight="1" x14ac:dyDescent="0.25">
      <c r="B956" s="57" t="str">
        <f>( StartYear) &amp; " Surplus Applied to " &amp; ( StartYear + 1 )</f>
        <v>2017 Surplus Applied to 2018</v>
      </c>
      <c r="C956" s="29"/>
      <c r="D956" s="184">
        <f ca="1">D940+D945-D951</f>
        <v>0</v>
      </c>
      <c r="E956" s="185">
        <f ca="1">D956</f>
        <v>0</v>
      </c>
      <c r="F956" s="181"/>
      <c r="G956" s="181"/>
      <c r="H956" s="182"/>
      <c r="L956" s="190" t="s">
        <v>232</v>
      </c>
      <c r="M956" s="29" t="s">
        <v>190</v>
      </c>
      <c r="N956" s="228" t="s">
        <v>237</v>
      </c>
    </row>
    <row r="957" spans="1:14" ht="15" customHeight="1" x14ac:dyDescent="0.25">
      <c r="B957" s="57" t="str">
        <f xml:space="preserve"> ( StartYear + 1 ) &amp; " Surplus Applied to " &amp; ( StartYear )</f>
        <v>2018 Surplus Applied to 2017</v>
      </c>
      <c r="C957" s="52"/>
      <c r="D957" s="134">
        <v>0</v>
      </c>
      <c r="E957" s="9">
        <v>0</v>
      </c>
      <c r="F957" s="113"/>
      <c r="G957" s="113"/>
      <c r="H957" s="117"/>
      <c r="L957" s="190" t="s">
        <v>232</v>
      </c>
      <c r="M957" s="29" t="s">
        <v>190</v>
      </c>
      <c r="N957" s="228" t="s">
        <v>238</v>
      </c>
    </row>
    <row r="958" spans="1:14" ht="15" customHeight="1" x14ac:dyDescent="0.25">
      <c r="B958" s="119" t="str">
        <f xml:space="preserve"> ( StartYear + 1 ) &amp; " Surplus Applied to " &amp; ( StartYear + 2 )</f>
        <v>2018 Surplus Applied to 2019</v>
      </c>
      <c r="C958" s="52"/>
      <c r="D958" s="114"/>
      <c r="E958" s="9">
        <v>0</v>
      </c>
      <c r="F958" s="51">
        <f>E958</f>
        <v>0</v>
      </c>
      <c r="G958" s="113"/>
      <c r="H958" s="117"/>
      <c r="L958" s="190" t="s">
        <v>232</v>
      </c>
      <c r="M958" s="29" t="s">
        <v>190</v>
      </c>
      <c r="N958" s="228" t="s">
        <v>239</v>
      </c>
    </row>
    <row r="959" spans="1:14" ht="15" customHeight="1" x14ac:dyDescent="0.25">
      <c r="B959" s="119" t="str">
        <f xml:space="preserve"> ( StartYear + 2 ) &amp; " Surplus Applied to " &amp; ( StartYear + 1 )</f>
        <v>2019 Surplus Applied to 2018</v>
      </c>
      <c r="C959" s="52"/>
      <c r="D959" s="114"/>
      <c r="E959" s="51">
        <v>0</v>
      </c>
      <c r="F959" s="9">
        <v>0</v>
      </c>
      <c r="G959" s="113"/>
      <c r="H959" s="117"/>
      <c r="L959" s="190" t="s">
        <v>232</v>
      </c>
      <c r="M959" s="29" t="s">
        <v>190</v>
      </c>
      <c r="N959" s="228" t="s">
        <v>240</v>
      </c>
    </row>
    <row r="960" spans="1:14" ht="15" customHeight="1" x14ac:dyDescent="0.25">
      <c r="B960" s="165" t="str">
        <f xml:space="preserve"> ( StartYear + 2 ) &amp; " Surplus Applied to " &amp; ( StartYear + 3 )</f>
        <v>2019 Surplus Applied to 2020</v>
      </c>
      <c r="C960" s="29"/>
      <c r="D960" s="114"/>
      <c r="E960" s="113"/>
      <c r="F960" s="9">
        <v>19040</v>
      </c>
      <c r="G960" s="51">
        <f>F960</f>
        <v>19040</v>
      </c>
      <c r="H960" s="117"/>
      <c r="L960" s="190" t="s">
        <v>232</v>
      </c>
      <c r="M960" s="29" t="s">
        <v>190</v>
      </c>
      <c r="N960" s="228" t="s">
        <v>241</v>
      </c>
    </row>
    <row r="961" spans="1:14" ht="15" customHeight="1" x14ac:dyDescent="0.25">
      <c r="B961" s="165" t="str">
        <f xml:space="preserve"> ( StartYear + 3 ) &amp; " Surplus Applied to " &amp; ( StartYear + 2 )</f>
        <v>2020 Surplus Applied to 2019</v>
      </c>
      <c r="C961" s="29"/>
      <c r="D961" s="114"/>
      <c r="E961" s="113"/>
      <c r="F961" s="51">
        <v>0</v>
      </c>
      <c r="G961" s="9">
        <v>0</v>
      </c>
      <c r="H961" s="117"/>
      <c r="L961" s="190" t="s">
        <v>232</v>
      </c>
      <c r="M961" s="29" t="s">
        <v>190</v>
      </c>
      <c r="N961" s="228" t="s">
        <v>242</v>
      </c>
    </row>
    <row r="962" spans="1:14" ht="15" customHeight="1" x14ac:dyDescent="0.25">
      <c r="B962" s="165" t="str">
        <f xml:space="preserve"> ( StartYear + 3 ) &amp; " Surplus Applied to " &amp; ( StartYear + 4 )</f>
        <v>2020 Surplus Applied to 2021</v>
      </c>
      <c r="C962" s="29"/>
      <c r="D962" s="114"/>
      <c r="E962" s="113"/>
      <c r="F962" s="113"/>
      <c r="G962" s="9">
        <f ca="1">G940+G945-G951</f>
        <v>0</v>
      </c>
      <c r="H962" s="46">
        <f ca="1">G962</f>
        <v>0</v>
      </c>
      <c r="L962" s="190" t="s">
        <v>232</v>
      </c>
      <c r="M962" s="29" t="s">
        <v>190</v>
      </c>
      <c r="N962" s="228" t="s">
        <v>243</v>
      </c>
    </row>
    <row r="963" spans="1:14" ht="15" customHeight="1" x14ac:dyDescent="0.25">
      <c r="B963" s="165" t="str">
        <f xml:space="preserve"> ( StartYear + 4 ) &amp; " Surplus Applied to " &amp; ( StartYear + 3 )</f>
        <v>2021 Surplus Applied to 2020</v>
      </c>
      <c r="C963" s="29"/>
      <c r="D963" s="115"/>
      <c r="E963" s="116"/>
      <c r="F963" s="116"/>
      <c r="G963" s="47">
        <v>0</v>
      </c>
      <c r="H963" s="41">
        <v>0</v>
      </c>
      <c r="L963" s="190" t="s">
        <v>232</v>
      </c>
      <c r="M963" s="29" t="s">
        <v>190</v>
      </c>
      <c r="N963" s="228" t="s">
        <v>244</v>
      </c>
    </row>
    <row r="964" spans="1:14" ht="15" customHeight="1" x14ac:dyDescent="0.25">
      <c r="B964" s="32" t="s">
        <v>17</v>
      </c>
      <c r="D964" s="6">
        <f ca="1">D954-D955+D957-D956</f>
        <v>0</v>
      </c>
      <c r="E964" s="6">
        <f ca="1">E956+E959-E957-E958</f>
        <v>0</v>
      </c>
      <c r="F964" s="6">
        <f>F958+F961-F959-F960</f>
        <v>-19040</v>
      </c>
      <c r="G964" s="6">
        <f ca="1">G960+G963-G961-G962</f>
        <v>19040</v>
      </c>
      <c r="H964" s="6">
        <f ca="1">H962 - H963</f>
        <v>0</v>
      </c>
      <c r="L964" s="190" t="s">
        <v>232</v>
      </c>
      <c r="M964" s="29" t="s">
        <v>190</v>
      </c>
      <c r="N964" s="228" t="s">
        <v>17</v>
      </c>
    </row>
    <row r="965" spans="1:14" ht="15" customHeight="1" x14ac:dyDescent="0.25">
      <c r="B965" s="5"/>
      <c r="D965" s="6"/>
      <c r="E965" s="6"/>
      <c r="F965" s="6"/>
      <c r="G965" s="6"/>
      <c r="H965" s="6"/>
      <c r="I965" s="23"/>
      <c r="L965" s="190" t="s">
        <v>232</v>
      </c>
      <c r="M965" s="29" t="s">
        <v>190</v>
      </c>
    </row>
    <row r="966" spans="1:14" ht="15" customHeight="1" x14ac:dyDescent="0.25">
      <c r="B966" s="54" t="s">
        <v>12</v>
      </c>
      <c r="C966" s="52"/>
      <c r="D966" s="75"/>
      <c r="E966" s="111"/>
      <c r="F966" s="111"/>
      <c r="G966" s="111"/>
      <c r="H966" s="76"/>
      <c r="I966" s="23"/>
      <c r="L966" s="190" t="s">
        <v>232</v>
      </c>
      <c r="M966" s="29" t="s">
        <v>190</v>
      </c>
      <c r="N966" s="228" t="s">
        <v>12</v>
      </c>
    </row>
    <row r="967" spans="1:14" ht="15" customHeight="1" x14ac:dyDescent="0.25">
      <c r="B967" s="5"/>
      <c r="D967" s="6"/>
      <c r="E967" s="6"/>
      <c r="F967" s="6"/>
      <c r="G967" s="6"/>
      <c r="H967" s="6"/>
      <c r="I967" s="23"/>
      <c r="L967" s="190" t="s">
        <v>232</v>
      </c>
      <c r="M967" s="29" t="s">
        <v>190</v>
      </c>
    </row>
    <row r="968" spans="1:14" ht="18.75" customHeight="1" x14ac:dyDescent="0.3">
      <c r="A968" s="38" t="s">
        <v>26</v>
      </c>
      <c r="C968" s="52">
        <f>A934</f>
        <v>24</v>
      </c>
      <c r="D968" s="112">
        <f ca="1" xml:space="preserve"> D940 + D945 - D951 + D964 + D966</f>
        <v>0</v>
      </c>
      <c r="E968" s="112">
        <f ca="1" xml:space="preserve"> E940 + E945 - E951 + E964 + E966</f>
        <v>0</v>
      </c>
      <c r="F968" s="112">
        <f ca="1" xml:space="preserve"> F940 + F945 - F951 + F964 + F966</f>
        <v>0</v>
      </c>
      <c r="G968" s="112">
        <f ca="1" xml:space="preserve"> G940 + G945 - G951 + G964 + G966</f>
        <v>19040</v>
      </c>
      <c r="H968" s="174">
        <f ca="1" xml:space="preserve"> H940 + H945 - H951 + H964 + H966</f>
        <v>0</v>
      </c>
      <c r="I968" s="28"/>
      <c r="L968" s="190" t="s">
        <v>232</v>
      </c>
      <c r="M968" s="29" t="s">
        <v>190</v>
      </c>
      <c r="N968" s="228" t="s">
        <v>26</v>
      </c>
    </row>
    <row r="969" spans="1:14" ht="15" customHeight="1" x14ac:dyDescent="0.25">
      <c r="B969" s="5"/>
      <c r="C969" s="108" t="s">
        <v>158</v>
      </c>
      <c r="D969" s="6"/>
      <c r="E969" s="6"/>
      <c r="F969" s="28"/>
      <c r="G969" s="28"/>
      <c r="H969" s="28"/>
      <c r="I969" s="28"/>
      <c r="L969" s="190" t="s">
        <v>232</v>
      </c>
      <c r="M969" s="29" t="s">
        <v>190</v>
      </c>
      <c r="N969" s="228" t="s">
        <v>158</v>
      </c>
    </row>
    <row r="970" spans="1:14" ht="15.75" customHeight="1" thickBot="1" x14ac:dyDescent="0.3">
      <c r="I970" s="29"/>
      <c r="L970" s="190" t="s">
        <v>232</v>
      </c>
      <c r="M970" s="29" t="s">
        <v>190</v>
      </c>
    </row>
    <row r="971" spans="1:14" ht="15" customHeight="1" x14ac:dyDescent="0.25">
      <c r="A971" s="7"/>
      <c r="B971" s="7"/>
      <c r="C971" s="7"/>
      <c r="D971" s="170"/>
      <c r="E971" s="7"/>
      <c r="F971" s="7"/>
      <c r="G971" s="7"/>
      <c r="H971" s="7"/>
      <c r="L971" s="190" t="s">
        <v>232</v>
      </c>
      <c r="M971" s="29" t="s">
        <v>190</v>
      </c>
    </row>
    <row r="972" spans="1:14" ht="21" customHeight="1" x14ac:dyDescent="0.35">
      <c r="A972" s="12">
        <f>MAX(A$1:A971)+1</f>
        <v>25</v>
      </c>
      <c r="B972" s="12"/>
      <c r="C972" s="214" t="str">
        <f ca="1">OFFSET($B$4,A972-1,0)</f>
        <v>Klondike IIIa - Klondike Wind Power IIIa</v>
      </c>
      <c r="D972" s="215"/>
      <c r="E972" s="216"/>
      <c r="F972" s="216"/>
      <c r="G972" s="217"/>
      <c r="H972" s="218"/>
      <c r="I972" s="23"/>
      <c r="L972" s="190" t="s">
        <v>232</v>
      </c>
      <c r="M972" s="29" t="s">
        <v>209</v>
      </c>
      <c r="N972" s="228">
        <v>27</v>
      </c>
    </row>
    <row r="973" spans="1:14" ht="15" customHeight="1" x14ac:dyDescent="0.25">
      <c r="C973" s="1" t="str">
        <f ca="1">VLOOKUP(C972,Facilities,3,FALSE)</f>
        <v>REC only</v>
      </c>
      <c r="I973" s="23"/>
      <c r="L973" s="190" t="s">
        <v>232</v>
      </c>
      <c r="M973" s="29" t="s">
        <v>209</v>
      </c>
      <c r="N973" s="228" t="s">
        <v>181</v>
      </c>
    </row>
    <row r="974" spans="1:14" ht="18.75" customHeight="1" x14ac:dyDescent="0.3">
      <c r="A974" s="8" t="s">
        <v>21</v>
      </c>
      <c r="B974" s="8"/>
      <c r="D974" s="118">
        <f>StartYear</f>
        <v>2017</v>
      </c>
      <c r="E974" s="2">
        <f>D974+1</f>
        <v>2018</v>
      </c>
      <c r="F974" s="2">
        <f>E974+1</f>
        <v>2019</v>
      </c>
      <c r="G974" s="2">
        <f>F974+1</f>
        <v>2020</v>
      </c>
      <c r="H974" s="2">
        <f>G974+1</f>
        <v>2021</v>
      </c>
      <c r="I974" s="23"/>
      <c r="L974" s="190" t="s">
        <v>232</v>
      </c>
      <c r="M974" s="29" t="s">
        <v>209</v>
      </c>
      <c r="N974" s="228" t="s">
        <v>21</v>
      </c>
    </row>
    <row r="975" spans="1:14" ht="15" customHeight="1" x14ac:dyDescent="0.25">
      <c r="B975" s="119" t="str">
        <f ca="1">IF(C1011&lt;&gt;"REC only","Total MWh ","")&amp;IF(C973="PSE owned","Produced","Purchased")&amp;" from "&amp;C972</f>
        <v>Purchased from Klondike IIIa - Klondike Wind Power IIIa</v>
      </c>
      <c r="C975" s="52"/>
      <c r="D975" s="3"/>
      <c r="E975" s="3"/>
      <c r="F975" s="3">
        <v>1852</v>
      </c>
      <c r="G975" s="3"/>
      <c r="H975" s="4"/>
      <c r="I975" s="23"/>
      <c r="L975" s="1" t="s">
        <v>233</v>
      </c>
      <c r="M975" s="29" t="s">
        <v>209</v>
      </c>
      <c r="N975" s="228" t="s">
        <v>268</v>
      </c>
    </row>
    <row r="976" spans="1:14" ht="15" customHeight="1" x14ac:dyDescent="0.25">
      <c r="B976" s="57" t="s">
        <v>25</v>
      </c>
      <c r="C976" s="52"/>
      <c r="D976" s="132"/>
      <c r="E976" s="132"/>
      <c r="F976" s="132">
        <v>1</v>
      </c>
      <c r="G976" s="132"/>
      <c r="H976" s="133"/>
      <c r="I976" s="23"/>
      <c r="L976" s="1" t="s">
        <v>233</v>
      </c>
      <c r="M976" s="29" t="s">
        <v>209</v>
      </c>
      <c r="N976" s="228" t="s">
        <v>25</v>
      </c>
    </row>
    <row r="977" spans="1:14" ht="15" customHeight="1" x14ac:dyDescent="0.25">
      <c r="B977" s="57" t="s">
        <v>20</v>
      </c>
      <c r="C977" s="52"/>
      <c r="D977" s="42"/>
      <c r="E977" s="42"/>
      <c r="F977" s="42">
        <v>1</v>
      </c>
      <c r="G977" s="42"/>
      <c r="H977" s="43"/>
      <c r="I977" s="28"/>
      <c r="L977" s="1" t="s">
        <v>233</v>
      </c>
      <c r="M977" s="29" t="s">
        <v>209</v>
      </c>
      <c r="N977" s="228" t="s">
        <v>20</v>
      </c>
    </row>
    <row r="978" spans="1:14" ht="15" customHeight="1" x14ac:dyDescent="0.25">
      <c r="B978" s="54" t="s">
        <v>22</v>
      </c>
      <c r="C978" s="55"/>
      <c r="D978" s="131">
        <f xml:space="preserve"> D975 * D976 * D977</f>
        <v>0</v>
      </c>
      <c r="E978" s="131">
        <f xml:space="preserve"> E975 * E976 * E977</f>
        <v>0</v>
      </c>
      <c r="F978" s="131">
        <f xml:space="preserve"> ROUNDDOWN(F975 * F976 * F977,0)</f>
        <v>1852</v>
      </c>
      <c r="G978" s="131">
        <f xml:space="preserve"> ROUNDDOWN(G975 * G976 * G977,0)</f>
        <v>0</v>
      </c>
      <c r="H978" s="131">
        <f xml:space="preserve"> ROUNDDOWN(H975 * H976 * H977,0)</f>
        <v>0</v>
      </c>
      <c r="I978" s="28"/>
      <c r="L978" s="1" t="s">
        <v>233</v>
      </c>
      <c r="M978" s="29" t="s">
        <v>209</v>
      </c>
      <c r="N978" s="228" t="s">
        <v>22</v>
      </c>
    </row>
    <row r="979" spans="1:14" ht="15" customHeight="1" x14ac:dyDescent="0.25">
      <c r="B979" s="22"/>
      <c r="C979" s="29"/>
      <c r="D979" s="36"/>
      <c r="E979" s="36"/>
      <c r="F979" s="36"/>
      <c r="G979" s="167"/>
      <c r="H979" s="36"/>
      <c r="I979" s="28"/>
      <c r="L979" s="1" t="s">
        <v>233</v>
      </c>
      <c r="M979" s="29" t="s">
        <v>209</v>
      </c>
    </row>
    <row r="980" spans="1:14" ht="18.75" customHeight="1" x14ac:dyDescent="0.3">
      <c r="A980" s="39" t="s">
        <v>119</v>
      </c>
      <c r="C980" s="29"/>
      <c r="D980" s="2">
        <f>StartYear</f>
        <v>2017</v>
      </c>
      <c r="E980" s="2">
        <f>D980+1</f>
        <v>2018</v>
      </c>
      <c r="F980" s="2">
        <f>E980+1</f>
        <v>2019</v>
      </c>
      <c r="G980" s="2">
        <f>F980+1</f>
        <v>2020</v>
      </c>
      <c r="H980" s="2">
        <f>G980+1</f>
        <v>2021</v>
      </c>
      <c r="I980" s="29"/>
      <c r="L980" s="1" t="s">
        <v>233</v>
      </c>
      <c r="M980" s="29" t="s">
        <v>209</v>
      </c>
      <c r="N980" s="228" t="s">
        <v>119</v>
      </c>
    </row>
    <row r="981" spans="1:14" x14ac:dyDescent="0.25">
      <c r="B981" s="57" t="s">
        <v>10</v>
      </c>
      <c r="C981" s="52"/>
      <c r="D981" s="10">
        <f ca="1">IF(VLOOKUP($C972,Facilities,5,FALSE)="Eligible", D978*ApprenticeshipBonus, 0 )</f>
        <v>0</v>
      </c>
      <c r="E981" s="109">
        <f ca="1">IF(VLOOKUP($C972,Facilities,5,FALSE)="Eligible", E978*ApprenticeshipBonus, 0 )</f>
        <v>0</v>
      </c>
      <c r="F981" s="109">
        <f ca="1">IF(VLOOKUP($C972,Facilities,5,FALSE)="Eligible", F978*ApprenticeshipBonus, 0 )</f>
        <v>0</v>
      </c>
      <c r="G981" s="109">
        <f ca="1">IF(VLOOKUP($C972,Facilities,5,FALSE)="Eligible", G978*ApprenticeshipBonus, 0 )</f>
        <v>0</v>
      </c>
      <c r="H981" s="11">
        <f ca="1">IF(VLOOKUP($C972,Facilities,5,FALSE)="Eligible", H978*ApprenticeshipBonus, 0 )</f>
        <v>0</v>
      </c>
      <c r="L981" s="1" t="s">
        <v>233</v>
      </c>
      <c r="M981" s="29" t="s">
        <v>209</v>
      </c>
      <c r="N981" s="228" t="s">
        <v>10</v>
      </c>
    </row>
    <row r="982" spans="1:14" ht="15" customHeight="1" x14ac:dyDescent="0.25">
      <c r="B982" s="57" t="s">
        <v>6</v>
      </c>
      <c r="C982" s="52"/>
      <c r="D982" s="44">
        <f ca="1">IF(VLOOKUP($C972,Facilities,6,FALSE)="Eligible", D978, 0 )</f>
        <v>0</v>
      </c>
      <c r="E982" s="110">
        <f ca="1">IF(VLOOKUP($C972,Facilities,6,FALSE)="Eligible", E978, 0 )</f>
        <v>0</v>
      </c>
      <c r="F982" s="110">
        <f ca="1">IF(VLOOKUP($C972,Facilities,6,FALSE)="Eligible", F978, 0 )</f>
        <v>0</v>
      </c>
      <c r="G982" s="110">
        <f ca="1">IF(VLOOKUP($C972,Facilities,6,FALSE)="Eligible", G978, 0 )</f>
        <v>0</v>
      </c>
      <c r="H982" s="45">
        <f ca="1">IF(VLOOKUP($C972,Facilities,6,FALSE)="Eligible", H978, 0 )</f>
        <v>0</v>
      </c>
      <c r="L982" s="1" t="s">
        <v>233</v>
      </c>
      <c r="M982" s="29" t="s">
        <v>209</v>
      </c>
      <c r="N982" s="228" t="s">
        <v>6</v>
      </c>
    </row>
    <row r="983" spans="1:14" ht="15" customHeight="1" x14ac:dyDescent="0.25">
      <c r="B983" s="56" t="s">
        <v>121</v>
      </c>
      <c r="C983" s="55"/>
      <c r="D983" s="37">
        <f ca="1">SUM(D981:D982)</f>
        <v>0</v>
      </c>
      <c r="E983" s="37">
        <f ca="1">SUM(E981:E982)</f>
        <v>0</v>
      </c>
      <c r="F983" s="37">
        <f ca="1">SUM(F981:F982)</f>
        <v>0</v>
      </c>
      <c r="G983" s="37">
        <f ca="1">SUM(G981:G982)</f>
        <v>0</v>
      </c>
      <c r="H983" s="37">
        <f ca="1">SUM(H981:H982)</f>
        <v>0</v>
      </c>
      <c r="I983" s="24"/>
      <c r="L983" s="1" t="s">
        <v>233</v>
      </c>
      <c r="M983" s="29" t="s">
        <v>209</v>
      </c>
      <c r="N983" s="228" t="s">
        <v>121</v>
      </c>
    </row>
    <row r="984" spans="1:14" ht="15" customHeight="1" x14ac:dyDescent="0.25">
      <c r="B984" s="29"/>
      <c r="C984" s="29"/>
      <c r="D984" s="30"/>
      <c r="E984" s="30"/>
      <c r="F984" s="30"/>
      <c r="G984" s="169"/>
      <c r="H984" s="30"/>
      <c r="I984" s="23"/>
      <c r="L984" s="1" t="s">
        <v>233</v>
      </c>
      <c r="M984" s="29" t="s">
        <v>209</v>
      </c>
    </row>
    <row r="985" spans="1:14" ht="18.75" customHeight="1" x14ac:dyDescent="0.3">
      <c r="A985" s="38" t="s">
        <v>30</v>
      </c>
      <c r="C985" s="29"/>
      <c r="D985" s="2">
        <f>StartYear</f>
        <v>2017</v>
      </c>
      <c r="E985" s="2">
        <f>D985+1</f>
        <v>2018</v>
      </c>
      <c r="F985" s="2">
        <f>E985+1</f>
        <v>2019</v>
      </c>
      <c r="G985" s="2">
        <f>F985+1</f>
        <v>2020</v>
      </c>
      <c r="H985" s="2">
        <f>G985+1</f>
        <v>2021</v>
      </c>
      <c r="I985" s="23"/>
      <c r="L985" s="1" t="s">
        <v>233</v>
      </c>
      <c r="M985" s="29" t="s">
        <v>209</v>
      </c>
      <c r="N985" s="228" t="s">
        <v>30</v>
      </c>
    </row>
    <row r="986" spans="1:14" ht="15" customHeight="1" x14ac:dyDescent="0.25">
      <c r="B986" s="57" t="s">
        <v>47</v>
      </c>
      <c r="C986" s="52"/>
      <c r="D986" s="3"/>
      <c r="E986" s="3"/>
      <c r="F986" s="3"/>
      <c r="G986" s="3"/>
      <c r="H986" s="4"/>
      <c r="I986" s="23"/>
      <c r="L986" s="1" t="s">
        <v>233</v>
      </c>
      <c r="M986" s="29" t="s">
        <v>209</v>
      </c>
      <c r="N986" s="228" t="s">
        <v>47</v>
      </c>
    </row>
    <row r="987" spans="1:14" ht="15" customHeight="1" x14ac:dyDescent="0.25">
      <c r="B987" s="58" t="s">
        <v>23</v>
      </c>
      <c r="C987" s="59"/>
      <c r="D987" s="137"/>
      <c r="E987" s="137"/>
      <c r="F987" s="137"/>
      <c r="G987" s="137"/>
      <c r="H987" s="138"/>
      <c r="I987" s="23"/>
      <c r="L987" s="1" t="s">
        <v>233</v>
      </c>
      <c r="M987" s="29" t="s">
        <v>209</v>
      </c>
      <c r="N987" s="228" t="s">
        <v>23</v>
      </c>
    </row>
    <row r="988" spans="1:14" ht="15" customHeight="1" x14ac:dyDescent="0.25">
      <c r="B988" s="68" t="s">
        <v>89</v>
      </c>
      <c r="C988" s="67"/>
      <c r="D988" s="191"/>
      <c r="E988" s="139"/>
      <c r="F988" s="139"/>
      <c r="G988" s="139"/>
      <c r="H988" s="140"/>
      <c r="I988" s="23"/>
      <c r="L988" s="1" t="s">
        <v>233</v>
      </c>
      <c r="M988" s="29" t="s">
        <v>209</v>
      </c>
      <c r="N988" s="228" t="s">
        <v>89</v>
      </c>
    </row>
    <row r="989" spans="1:14" ht="15" customHeight="1" x14ac:dyDescent="0.25">
      <c r="B989" s="32" t="s">
        <v>90</v>
      </c>
      <c r="D989" s="6">
        <f>SUM(D986:D988)</f>
        <v>0</v>
      </c>
      <c r="E989" s="6">
        <f>SUM(E986:E988)</f>
        <v>0</v>
      </c>
      <c r="F989" s="6">
        <f>SUM(F986:F988)</f>
        <v>0</v>
      </c>
      <c r="G989" s="6">
        <f>SUM(G986:G988)</f>
        <v>0</v>
      </c>
      <c r="H989" s="6">
        <f>SUM(H986:H988)</f>
        <v>0</v>
      </c>
      <c r="I989" s="23"/>
      <c r="L989" s="1" t="s">
        <v>233</v>
      </c>
      <c r="M989" s="29" t="s">
        <v>209</v>
      </c>
      <c r="N989" s="228" t="s">
        <v>90</v>
      </c>
    </row>
    <row r="990" spans="1:14" ht="15" customHeight="1" x14ac:dyDescent="0.25">
      <c r="B990" s="5"/>
      <c r="D990" s="6"/>
      <c r="E990" s="6"/>
      <c r="F990" s="6"/>
      <c r="G990" s="167"/>
      <c r="H990" s="6"/>
      <c r="I990" s="23"/>
      <c r="L990" s="1" t="s">
        <v>233</v>
      </c>
      <c r="M990" s="29" t="s">
        <v>209</v>
      </c>
    </row>
    <row r="991" spans="1:14" ht="18.75" customHeight="1" x14ac:dyDescent="0.3">
      <c r="A991" s="8" t="s">
        <v>100</v>
      </c>
      <c r="D991" s="2">
        <f>StartYear</f>
        <v>2017</v>
      </c>
      <c r="E991" s="2">
        <f>D991+1</f>
        <v>2018</v>
      </c>
      <c r="F991" s="2">
        <f>E991+1</f>
        <v>2019</v>
      </c>
      <c r="G991" s="2">
        <f>F991+1</f>
        <v>2020</v>
      </c>
      <c r="H991" s="2">
        <f>G991+1</f>
        <v>2021</v>
      </c>
      <c r="I991" s="23"/>
      <c r="L991" s="1" t="s">
        <v>233</v>
      </c>
      <c r="M991" s="29" t="s">
        <v>209</v>
      </c>
      <c r="N991" s="228" t="s">
        <v>100</v>
      </c>
    </row>
    <row r="992" spans="1:14" ht="15" customHeight="1" x14ac:dyDescent="0.25">
      <c r="B992" s="57" t="str">
        <f>(StartYear-1) &amp; " Surplus Applied to " &amp; StartYear</f>
        <v>2016 Surplus Applied to 2017</v>
      </c>
      <c r="C992" s="29"/>
      <c r="D992" s="186">
        <v>0</v>
      </c>
      <c r="E992" s="187"/>
      <c r="F992" s="187"/>
      <c r="G992" s="187"/>
      <c r="H992" s="188"/>
      <c r="L992" s="1" t="s">
        <v>233</v>
      </c>
      <c r="M992" s="29" t="s">
        <v>209</v>
      </c>
      <c r="N992" s="228" t="s">
        <v>235</v>
      </c>
    </row>
    <row r="993" spans="1:14" ht="15" customHeight="1" x14ac:dyDescent="0.25">
      <c r="B993" s="57" t="str">
        <f>StartYear &amp; " Surplus Applied to " &amp; (StartYear-1)</f>
        <v>2017 Surplus Applied to 2016</v>
      </c>
      <c r="C993" s="29"/>
      <c r="D993" s="189">
        <v>0</v>
      </c>
      <c r="E993" s="113"/>
      <c r="F993" s="113"/>
      <c r="G993" s="113"/>
      <c r="H993" s="117"/>
      <c r="L993" s="1" t="s">
        <v>233</v>
      </c>
      <c r="M993" s="29" t="s">
        <v>209</v>
      </c>
      <c r="N993" s="228" t="s">
        <v>236</v>
      </c>
    </row>
    <row r="994" spans="1:14" ht="15" customHeight="1" x14ac:dyDescent="0.25">
      <c r="B994" s="57" t="str">
        <f>( StartYear) &amp; " Surplus Applied to " &amp; ( StartYear + 1 )</f>
        <v>2017 Surplus Applied to 2018</v>
      </c>
      <c r="C994" s="29"/>
      <c r="D994" s="184">
        <f ca="1">D978+D983-D989</f>
        <v>0</v>
      </c>
      <c r="E994" s="185">
        <f ca="1">D994</f>
        <v>0</v>
      </c>
      <c r="F994" s="181"/>
      <c r="G994" s="181"/>
      <c r="H994" s="182"/>
      <c r="L994" s="1" t="s">
        <v>233</v>
      </c>
      <c r="M994" s="29" t="s">
        <v>209</v>
      </c>
      <c r="N994" s="228" t="s">
        <v>237</v>
      </c>
    </row>
    <row r="995" spans="1:14" ht="15" customHeight="1" x14ac:dyDescent="0.25">
      <c r="B995" s="57" t="str">
        <f xml:space="preserve"> ( StartYear + 1 ) &amp; " Surplus Applied to " &amp; ( StartYear )</f>
        <v>2018 Surplus Applied to 2017</v>
      </c>
      <c r="C995" s="52"/>
      <c r="D995" s="134">
        <v>0</v>
      </c>
      <c r="E995" s="9">
        <v>0</v>
      </c>
      <c r="F995" s="113"/>
      <c r="G995" s="113"/>
      <c r="H995" s="117"/>
      <c r="L995" s="1" t="s">
        <v>233</v>
      </c>
      <c r="M995" s="29" t="s">
        <v>209</v>
      </c>
      <c r="N995" s="228" t="s">
        <v>238</v>
      </c>
    </row>
    <row r="996" spans="1:14" ht="15" customHeight="1" x14ac:dyDescent="0.25">
      <c r="B996" s="119" t="str">
        <f xml:space="preserve"> ( StartYear + 1 ) &amp; " Surplus Applied to " &amp; ( StartYear + 2 )</f>
        <v>2018 Surplus Applied to 2019</v>
      </c>
      <c r="C996" s="52"/>
      <c r="D996" s="114"/>
      <c r="E996" s="9">
        <v>0</v>
      </c>
      <c r="F996" s="51">
        <f>E996</f>
        <v>0</v>
      </c>
      <c r="G996" s="113"/>
      <c r="H996" s="117"/>
      <c r="L996" s="1" t="s">
        <v>233</v>
      </c>
      <c r="M996" s="29" t="s">
        <v>209</v>
      </c>
      <c r="N996" s="228" t="s">
        <v>239</v>
      </c>
    </row>
    <row r="997" spans="1:14" ht="15" customHeight="1" x14ac:dyDescent="0.25">
      <c r="B997" s="119" t="str">
        <f xml:space="preserve"> ( StartYear + 2 ) &amp; " Surplus Applied to " &amp; ( StartYear + 1 )</f>
        <v>2019 Surplus Applied to 2018</v>
      </c>
      <c r="C997" s="52"/>
      <c r="D997" s="114"/>
      <c r="E997" s="51">
        <v>0</v>
      </c>
      <c r="F997" s="9">
        <v>0</v>
      </c>
      <c r="G997" s="113"/>
      <c r="H997" s="117"/>
      <c r="L997" s="1" t="s">
        <v>233</v>
      </c>
      <c r="M997" s="29" t="s">
        <v>209</v>
      </c>
      <c r="N997" s="228" t="s">
        <v>240</v>
      </c>
    </row>
    <row r="998" spans="1:14" ht="15" customHeight="1" x14ac:dyDescent="0.25">
      <c r="B998" s="165" t="str">
        <f xml:space="preserve"> ( StartYear + 2 ) &amp; " Surplus Applied to " &amp; ( StartYear + 3 )</f>
        <v>2019 Surplus Applied to 2020</v>
      </c>
      <c r="C998" s="29"/>
      <c r="D998" s="114"/>
      <c r="E998" s="113"/>
      <c r="F998" s="9">
        <v>1852</v>
      </c>
      <c r="G998" s="51">
        <f>F998</f>
        <v>1852</v>
      </c>
      <c r="H998" s="117"/>
      <c r="L998" s="1" t="s">
        <v>233</v>
      </c>
      <c r="M998" s="29" t="s">
        <v>209</v>
      </c>
      <c r="N998" s="228" t="s">
        <v>241</v>
      </c>
    </row>
    <row r="999" spans="1:14" ht="15" customHeight="1" x14ac:dyDescent="0.25">
      <c r="B999" s="165" t="str">
        <f xml:space="preserve"> ( StartYear + 3 ) &amp; " Surplus Applied to " &amp; ( StartYear + 2 )</f>
        <v>2020 Surplus Applied to 2019</v>
      </c>
      <c r="C999" s="29"/>
      <c r="D999" s="114"/>
      <c r="E999" s="113"/>
      <c r="F999" s="51">
        <v>0</v>
      </c>
      <c r="G999" s="9">
        <v>0</v>
      </c>
      <c r="H999" s="117"/>
      <c r="L999" s="1" t="s">
        <v>233</v>
      </c>
      <c r="M999" s="29" t="s">
        <v>209</v>
      </c>
      <c r="N999" s="228" t="s">
        <v>242</v>
      </c>
    </row>
    <row r="1000" spans="1:14" ht="15" customHeight="1" x14ac:dyDescent="0.25">
      <c r="B1000" s="165" t="str">
        <f xml:space="preserve"> ( StartYear + 3 ) &amp; " Surplus Applied to " &amp; ( StartYear + 4 )</f>
        <v>2020 Surplus Applied to 2021</v>
      </c>
      <c r="C1000" s="29"/>
      <c r="D1000" s="114"/>
      <c r="E1000" s="113"/>
      <c r="F1000" s="113"/>
      <c r="G1000" s="9">
        <f ca="1">G978+G983-G989</f>
        <v>0</v>
      </c>
      <c r="H1000" s="46">
        <f ca="1">G1000</f>
        <v>0</v>
      </c>
      <c r="L1000" s="1" t="s">
        <v>233</v>
      </c>
      <c r="M1000" s="29" t="s">
        <v>209</v>
      </c>
      <c r="N1000" s="228" t="s">
        <v>243</v>
      </c>
    </row>
    <row r="1001" spans="1:14" ht="15" customHeight="1" x14ac:dyDescent="0.25">
      <c r="B1001" s="165" t="str">
        <f xml:space="preserve"> ( StartYear + 4 ) &amp; " Surplus Applied to " &amp; ( StartYear + 3 )</f>
        <v>2021 Surplus Applied to 2020</v>
      </c>
      <c r="C1001" s="29"/>
      <c r="D1001" s="115"/>
      <c r="E1001" s="116"/>
      <c r="F1001" s="116"/>
      <c r="G1001" s="47">
        <v>0</v>
      </c>
      <c r="H1001" s="41">
        <v>0</v>
      </c>
      <c r="L1001" s="1" t="s">
        <v>233</v>
      </c>
      <c r="M1001" s="29" t="s">
        <v>209</v>
      </c>
      <c r="N1001" s="228" t="s">
        <v>244</v>
      </c>
    </row>
    <row r="1002" spans="1:14" ht="15" customHeight="1" x14ac:dyDescent="0.25">
      <c r="B1002" s="32" t="s">
        <v>17</v>
      </c>
      <c r="D1002" s="6">
        <f ca="1">D992-D993+D995-D994</f>
        <v>0</v>
      </c>
      <c r="E1002" s="6">
        <f ca="1">E994+E997-E995-E996</f>
        <v>0</v>
      </c>
      <c r="F1002" s="6">
        <f>F996+F999-F997-F998</f>
        <v>-1852</v>
      </c>
      <c r="G1002" s="6">
        <f ca="1">G998+G1001-G999-G1000</f>
        <v>1852</v>
      </c>
      <c r="H1002" s="6">
        <f ca="1">H1000 - H1001</f>
        <v>0</v>
      </c>
      <c r="L1002" s="1" t="s">
        <v>233</v>
      </c>
      <c r="M1002" s="29" t="s">
        <v>209</v>
      </c>
      <c r="N1002" s="228" t="s">
        <v>17</v>
      </c>
    </row>
    <row r="1003" spans="1:14" ht="15" customHeight="1" x14ac:dyDescent="0.25">
      <c r="B1003" s="5"/>
      <c r="D1003" s="6"/>
      <c r="E1003" s="6"/>
      <c r="F1003" s="6"/>
      <c r="G1003" s="6"/>
      <c r="H1003" s="6"/>
      <c r="I1003" s="23"/>
      <c r="L1003" s="1" t="s">
        <v>233</v>
      </c>
      <c r="M1003" s="29" t="s">
        <v>209</v>
      </c>
    </row>
    <row r="1004" spans="1:14" ht="15" customHeight="1" x14ac:dyDescent="0.25">
      <c r="B1004" s="54" t="s">
        <v>12</v>
      </c>
      <c r="C1004" s="52"/>
      <c r="D1004" s="75"/>
      <c r="E1004" s="111"/>
      <c r="F1004" s="111"/>
      <c r="G1004" s="111"/>
      <c r="H1004" s="76"/>
      <c r="I1004" s="23"/>
      <c r="L1004" s="1" t="s">
        <v>233</v>
      </c>
      <c r="M1004" s="29" t="s">
        <v>209</v>
      </c>
      <c r="N1004" s="228" t="s">
        <v>12</v>
      </c>
    </row>
    <row r="1005" spans="1:14" ht="15" customHeight="1" x14ac:dyDescent="0.25">
      <c r="B1005" s="5"/>
      <c r="D1005" s="6"/>
      <c r="E1005" s="6"/>
      <c r="F1005" s="6"/>
      <c r="G1005" s="6"/>
      <c r="H1005" s="6"/>
      <c r="I1005" s="23"/>
      <c r="L1005" s="1" t="s">
        <v>233</v>
      </c>
      <c r="M1005" s="29" t="s">
        <v>209</v>
      </c>
    </row>
    <row r="1006" spans="1:14" ht="18.75" customHeight="1" x14ac:dyDescent="0.3">
      <c r="A1006" s="38" t="s">
        <v>26</v>
      </c>
      <c r="C1006" s="52">
        <f>A972</f>
        <v>25</v>
      </c>
      <c r="D1006" s="112">
        <f ca="1" xml:space="preserve"> D978 + D983 - D989 + D1002 + D1004</f>
        <v>0</v>
      </c>
      <c r="E1006" s="112">
        <f ca="1" xml:space="preserve"> E978 + E983 - E989 + E1002 + E1004</f>
        <v>0</v>
      </c>
      <c r="F1006" s="112">
        <f ca="1" xml:space="preserve"> F978 + F983 - F989 + F1002 + F1004</f>
        <v>0</v>
      </c>
      <c r="G1006" s="112">
        <f ca="1" xml:space="preserve"> G978 + G983 - G989 + G1002 + G1004</f>
        <v>1852</v>
      </c>
      <c r="H1006" s="174">
        <f ca="1" xml:space="preserve"> H978 + H983 - H989 + H1002 + H1004</f>
        <v>0</v>
      </c>
      <c r="I1006" s="28"/>
      <c r="L1006" s="1" t="s">
        <v>233</v>
      </c>
      <c r="M1006" s="29" t="s">
        <v>209</v>
      </c>
      <c r="N1006" s="228" t="s">
        <v>26</v>
      </c>
    </row>
    <row r="1007" spans="1:14" ht="15" customHeight="1" x14ac:dyDescent="0.25">
      <c r="B1007" s="5"/>
      <c r="C1007" s="108" t="s">
        <v>158</v>
      </c>
      <c r="D1007" s="6"/>
      <c r="E1007" s="6"/>
      <c r="F1007" s="28"/>
      <c r="G1007" s="28"/>
      <c r="H1007" s="28"/>
      <c r="I1007" s="28"/>
      <c r="L1007" s="1" t="s">
        <v>233</v>
      </c>
      <c r="M1007" s="29" t="s">
        <v>209</v>
      </c>
      <c r="N1007" s="228" t="s">
        <v>158</v>
      </c>
    </row>
    <row r="1008" spans="1:14" ht="15.75" customHeight="1" thickBot="1" x14ac:dyDescent="0.3">
      <c r="I1008" s="29"/>
      <c r="L1008" s="1" t="s">
        <v>233</v>
      </c>
      <c r="M1008" s="29" t="s">
        <v>209</v>
      </c>
    </row>
    <row r="1009" spans="1:14" ht="15" customHeight="1" x14ac:dyDescent="0.25">
      <c r="A1009" s="7"/>
      <c r="B1009" s="7"/>
      <c r="C1009" s="7"/>
      <c r="D1009" s="170"/>
      <c r="E1009" s="7"/>
      <c r="F1009" s="7"/>
      <c r="G1009" s="7"/>
      <c r="H1009" s="7"/>
      <c r="L1009" s="1" t="s">
        <v>233</v>
      </c>
      <c r="M1009" s="29" t="s">
        <v>209</v>
      </c>
    </row>
    <row r="1010" spans="1:14" ht="21" customHeight="1" x14ac:dyDescent="0.35">
      <c r="A1010" s="12">
        <f>MAX(A$1:A1009)+1</f>
        <v>26</v>
      </c>
      <c r="B1010" s="12"/>
      <c r="C1010" s="214" t="str">
        <f ca="1">OFFSET($B$4,A1010-1,0)</f>
        <v>Marengo - Marengo</v>
      </c>
      <c r="D1010" s="215"/>
      <c r="E1010" s="216"/>
      <c r="F1010" s="216"/>
      <c r="G1010" s="217"/>
      <c r="H1010" s="218"/>
      <c r="I1010" s="23"/>
      <c r="L1010" s="1" t="s">
        <v>233</v>
      </c>
      <c r="M1010" s="29" t="s">
        <v>210</v>
      </c>
      <c r="N1010" s="228">
        <v>28</v>
      </c>
    </row>
    <row r="1011" spans="1:14" ht="15" customHeight="1" x14ac:dyDescent="0.25">
      <c r="C1011" s="1" t="str">
        <f ca="1">VLOOKUP(C1010,Facilities,3,FALSE)</f>
        <v>REC only</v>
      </c>
      <c r="I1011" s="23"/>
      <c r="L1011" s="1" t="s">
        <v>233</v>
      </c>
      <c r="M1011" s="29" t="s">
        <v>210</v>
      </c>
      <c r="N1011" s="228" t="s">
        <v>181</v>
      </c>
    </row>
    <row r="1012" spans="1:14" ht="18.75" customHeight="1" x14ac:dyDescent="0.3">
      <c r="A1012" s="8" t="s">
        <v>21</v>
      </c>
      <c r="B1012" s="8"/>
      <c r="D1012" s="118">
        <f>StartYear</f>
        <v>2017</v>
      </c>
      <c r="E1012" s="2">
        <f>D1012+1</f>
        <v>2018</v>
      </c>
      <c r="F1012" s="2">
        <f>E1012+1</f>
        <v>2019</v>
      </c>
      <c r="G1012" s="2">
        <f>F1012+1</f>
        <v>2020</v>
      </c>
      <c r="H1012" s="2">
        <f>G1012+1</f>
        <v>2021</v>
      </c>
      <c r="I1012" s="23"/>
      <c r="L1012" s="1" t="s">
        <v>233</v>
      </c>
      <c r="M1012" s="29" t="s">
        <v>210</v>
      </c>
      <c r="N1012" s="228" t="s">
        <v>21</v>
      </c>
    </row>
    <row r="1013" spans="1:14" ht="15" customHeight="1" x14ac:dyDescent="0.25">
      <c r="B1013" s="119" t="str">
        <f ca="1">IF(C1049&lt;&gt;"REC only","Total MWh ","")&amp;IF(C1011="PSE owned","Produced","Purchased")&amp;" from "&amp;C1010</f>
        <v>Purchased from Marengo - Marengo</v>
      </c>
      <c r="C1013" s="52"/>
      <c r="D1013" s="3"/>
      <c r="E1013" s="3"/>
      <c r="F1013" s="3"/>
      <c r="G1013" s="3">
        <v>10937</v>
      </c>
      <c r="H1013" s="4"/>
      <c r="I1013" s="23"/>
      <c r="L1013" s="1" t="s">
        <v>233</v>
      </c>
      <c r="M1013" s="231" t="s">
        <v>210</v>
      </c>
      <c r="N1013" s="228" t="s">
        <v>269</v>
      </c>
    </row>
    <row r="1014" spans="1:14" ht="15" customHeight="1" x14ac:dyDescent="0.25">
      <c r="B1014" s="57" t="s">
        <v>25</v>
      </c>
      <c r="C1014" s="52"/>
      <c r="D1014" s="132"/>
      <c r="E1014" s="132"/>
      <c r="F1014" s="132"/>
      <c r="G1014" s="132">
        <v>1</v>
      </c>
      <c r="H1014" s="133"/>
      <c r="I1014" s="23"/>
      <c r="L1014" s="1" t="s">
        <v>233</v>
      </c>
      <c r="M1014" s="29" t="s">
        <v>210</v>
      </c>
      <c r="N1014" s="228" t="s">
        <v>25</v>
      </c>
    </row>
    <row r="1015" spans="1:14" ht="15" customHeight="1" x14ac:dyDescent="0.25">
      <c r="B1015" s="57" t="s">
        <v>20</v>
      </c>
      <c r="C1015" s="52"/>
      <c r="D1015" s="42"/>
      <c r="E1015" s="42"/>
      <c r="F1015" s="42"/>
      <c r="G1015" s="42">
        <v>1</v>
      </c>
      <c r="H1015" s="43"/>
      <c r="I1015" s="28"/>
      <c r="L1015" s="1" t="s">
        <v>233</v>
      </c>
      <c r="M1015" s="29" t="s">
        <v>210</v>
      </c>
      <c r="N1015" s="228" t="s">
        <v>20</v>
      </c>
    </row>
    <row r="1016" spans="1:14" ht="15" customHeight="1" x14ac:dyDescent="0.25">
      <c r="B1016" s="54" t="s">
        <v>22</v>
      </c>
      <c r="C1016" s="55"/>
      <c r="D1016" s="131">
        <f xml:space="preserve"> D1013 * D1014 * D1015</f>
        <v>0</v>
      </c>
      <c r="E1016" s="131">
        <f xml:space="preserve"> E1013 * E1014 * E1015</f>
        <v>0</v>
      </c>
      <c r="F1016" s="131">
        <f xml:space="preserve"> ROUNDDOWN(F1013 * F1014 * F1015,0)</f>
        <v>0</v>
      </c>
      <c r="G1016" s="131">
        <f xml:space="preserve"> ROUNDDOWN(G1013 * G1014 * G1015,0)</f>
        <v>10937</v>
      </c>
      <c r="H1016" s="131">
        <f xml:space="preserve"> ROUNDDOWN(H1013 * H1014 * H1015,0)</f>
        <v>0</v>
      </c>
      <c r="I1016" s="28"/>
      <c r="L1016" s="1" t="s">
        <v>233</v>
      </c>
      <c r="M1016" s="29" t="s">
        <v>210</v>
      </c>
      <c r="N1016" s="228" t="s">
        <v>22</v>
      </c>
    </row>
    <row r="1017" spans="1:14" ht="15" customHeight="1" x14ac:dyDescent="0.25">
      <c r="B1017" s="22"/>
      <c r="C1017" s="29"/>
      <c r="D1017" s="36"/>
      <c r="E1017" s="36"/>
      <c r="F1017" s="36"/>
      <c r="G1017" s="167"/>
      <c r="H1017" s="36"/>
      <c r="I1017" s="28"/>
      <c r="L1017" s="1" t="s">
        <v>233</v>
      </c>
      <c r="M1017" s="29" t="s">
        <v>210</v>
      </c>
    </row>
    <row r="1018" spans="1:14" ht="18.75" customHeight="1" x14ac:dyDescent="0.3">
      <c r="A1018" s="39" t="s">
        <v>119</v>
      </c>
      <c r="C1018" s="29"/>
      <c r="D1018" s="2">
        <f>StartYear</f>
        <v>2017</v>
      </c>
      <c r="E1018" s="2">
        <f>D1018+1</f>
        <v>2018</v>
      </c>
      <c r="F1018" s="2">
        <f>E1018+1</f>
        <v>2019</v>
      </c>
      <c r="G1018" s="2">
        <f>F1018+1</f>
        <v>2020</v>
      </c>
      <c r="H1018" s="2">
        <f>G1018+1</f>
        <v>2021</v>
      </c>
      <c r="I1018" s="29"/>
      <c r="L1018" s="1" t="s">
        <v>233</v>
      </c>
      <c r="M1018" s="29" t="s">
        <v>210</v>
      </c>
      <c r="N1018" s="228" t="s">
        <v>119</v>
      </c>
    </row>
    <row r="1019" spans="1:14" x14ac:dyDescent="0.25">
      <c r="B1019" s="57" t="s">
        <v>10</v>
      </c>
      <c r="C1019" s="52"/>
      <c r="D1019" s="10">
        <f ca="1">IF(VLOOKUP($C1010,Facilities,5,FALSE)="Eligible", D1016*ApprenticeshipBonus, 0 )</f>
        <v>0</v>
      </c>
      <c r="E1019" s="109">
        <f ca="1">IF(VLOOKUP($C1010,Facilities,5,FALSE)="Eligible", E1016*ApprenticeshipBonus, 0 )</f>
        <v>0</v>
      </c>
      <c r="F1019" s="109">
        <f ca="1">IF(VLOOKUP($C1010,Facilities,5,FALSE)="Eligible", F1016*ApprenticeshipBonus, 0 )</f>
        <v>0</v>
      </c>
      <c r="G1019" s="109">
        <f ca="1">IF(VLOOKUP($C1010,Facilities,5,FALSE)="Eligible", G1016*ApprenticeshipBonus, 0 )</f>
        <v>0</v>
      </c>
      <c r="H1019" s="11">
        <f ca="1">IF(VLOOKUP($C1010,Facilities,5,FALSE)="Eligible", H1016*ApprenticeshipBonus, 0 )</f>
        <v>0</v>
      </c>
      <c r="L1019" s="1" t="s">
        <v>233</v>
      </c>
      <c r="M1019" s="29" t="s">
        <v>210</v>
      </c>
      <c r="N1019" s="228" t="s">
        <v>10</v>
      </c>
    </row>
    <row r="1020" spans="1:14" ht="15" customHeight="1" x14ac:dyDescent="0.25">
      <c r="B1020" s="57" t="s">
        <v>6</v>
      </c>
      <c r="C1020" s="52"/>
      <c r="D1020" s="44">
        <f ca="1">IF(VLOOKUP($C1010,Facilities,6,FALSE)="Eligible", D1016, 0 )</f>
        <v>0</v>
      </c>
      <c r="E1020" s="110">
        <f ca="1">IF(VLOOKUP($C1010,Facilities,6,FALSE)="Eligible", E1016, 0 )</f>
        <v>0</v>
      </c>
      <c r="F1020" s="110">
        <f ca="1">IF(VLOOKUP($C1010,Facilities,6,FALSE)="Eligible", F1016, 0 )</f>
        <v>0</v>
      </c>
      <c r="G1020" s="110">
        <f ca="1">IF(VLOOKUP($C1010,Facilities,6,FALSE)="Eligible", G1016, 0 )</f>
        <v>0</v>
      </c>
      <c r="H1020" s="45">
        <f ca="1">IF(VLOOKUP($C1010,Facilities,6,FALSE)="Eligible", H1016, 0 )</f>
        <v>0</v>
      </c>
      <c r="L1020" s="1" t="s">
        <v>233</v>
      </c>
      <c r="M1020" s="29" t="s">
        <v>210</v>
      </c>
      <c r="N1020" s="228" t="s">
        <v>6</v>
      </c>
    </row>
    <row r="1021" spans="1:14" ht="15" customHeight="1" x14ac:dyDescent="0.25">
      <c r="B1021" s="56" t="s">
        <v>121</v>
      </c>
      <c r="C1021" s="55"/>
      <c r="D1021" s="37">
        <f ca="1">SUM(D1019:D1020)</f>
        <v>0</v>
      </c>
      <c r="E1021" s="37">
        <f ca="1">SUM(E1019:E1020)</f>
        <v>0</v>
      </c>
      <c r="F1021" s="37">
        <f ca="1">SUM(F1019:F1020)</f>
        <v>0</v>
      </c>
      <c r="G1021" s="37">
        <f ca="1">SUM(G1019:G1020)</f>
        <v>0</v>
      </c>
      <c r="H1021" s="37">
        <f ca="1">SUM(H1019:H1020)</f>
        <v>0</v>
      </c>
      <c r="I1021" s="24"/>
      <c r="L1021" s="1" t="s">
        <v>233</v>
      </c>
      <c r="M1021" s="29" t="s">
        <v>210</v>
      </c>
      <c r="N1021" s="228" t="s">
        <v>121</v>
      </c>
    </row>
    <row r="1022" spans="1:14" ht="15" customHeight="1" x14ac:dyDescent="0.25">
      <c r="B1022" s="29"/>
      <c r="C1022" s="29"/>
      <c r="D1022" s="30"/>
      <c r="E1022" s="30"/>
      <c r="F1022" s="30"/>
      <c r="G1022" s="169"/>
      <c r="H1022" s="30"/>
      <c r="I1022" s="23"/>
      <c r="L1022" s="1" t="s">
        <v>233</v>
      </c>
      <c r="M1022" s="29" t="s">
        <v>210</v>
      </c>
    </row>
    <row r="1023" spans="1:14" ht="18.75" customHeight="1" x14ac:dyDescent="0.3">
      <c r="A1023" s="38" t="s">
        <v>30</v>
      </c>
      <c r="C1023" s="29"/>
      <c r="D1023" s="2">
        <f>StartYear</f>
        <v>2017</v>
      </c>
      <c r="E1023" s="2">
        <f>D1023+1</f>
        <v>2018</v>
      </c>
      <c r="F1023" s="2">
        <f>E1023+1</f>
        <v>2019</v>
      </c>
      <c r="G1023" s="2">
        <f>F1023+1</f>
        <v>2020</v>
      </c>
      <c r="H1023" s="2">
        <f>G1023+1</f>
        <v>2021</v>
      </c>
      <c r="I1023" s="23"/>
      <c r="L1023" s="1" t="s">
        <v>233</v>
      </c>
      <c r="M1023" s="29" t="s">
        <v>210</v>
      </c>
      <c r="N1023" s="228" t="s">
        <v>30</v>
      </c>
    </row>
    <row r="1024" spans="1:14" ht="15" customHeight="1" x14ac:dyDescent="0.25">
      <c r="B1024" s="57" t="s">
        <v>47</v>
      </c>
      <c r="C1024" s="52"/>
      <c r="D1024" s="3"/>
      <c r="E1024" s="3"/>
      <c r="F1024" s="3"/>
      <c r="G1024" s="3"/>
      <c r="H1024" s="4"/>
      <c r="I1024" s="23"/>
      <c r="L1024" s="1" t="s">
        <v>233</v>
      </c>
      <c r="M1024" s="29" t="s">
        <v>210</v>
      </c>
      <c r="N1024" s="228" t="s">
        <v>47</v>
      </c>
    </row>
    <row r="1025" spans="1:14" ht="15" customHeight="1" x14ac:dyDescent="0.25">
      <c r="B1025" s="58" t="s">
        <v>23</v>
      </c>
      <c r="C1025" s="59"/>
      <c r="D1025" s="137"/>
      <c r="E1025" s="137"/>
      <c r="F1025" s="137"/>
      <c r="G1025" s="137"/>
      <c r="H1025" s="138"/>
      <c r="I1025" s="23"/>
      <c r="L1025" s="1" t="s">
        <v>233</v>
      </c>
      <c r="M1025" s="29" t="s">
        <v>210</v>
      </c>
      <c r="N1025" s="228" t="s">
        <v>23</v>
      </c>
    </row>
    <row r="1026" spans="1:14" ht="15" customHeight="1" x14ac:dyDescent="0.25">
      <c r="B1026" s="68" t="s">
        <v>89</v>
      </c>
      <c r="C1026" s="67"/>
      <c r="D1026" s="191"/>
      <c r="E1026" s="139"/>
      <c r="F1026" s="139"/>
      <c r="G1026" s="139"/>
      <c r="H1026" s="140"/>
      <c r="I1026" s="23"/>
      <c r="L1026" s="1" t="s">
        <v>233</v>
      </c>
      <c r="M1026" s="29" t="s">
        <v>210</v>
      </c>
      <c r="N1026" s="228" t="s">
        <v>89</v>
      </c>
    </row>
    <row r="1027" spans="1:14" ht="15" customHeight="1" x14ac:dyDescent="0.25">
      <c r="B1027" s="32" t="s">
        <v>90</v>
      </c>
      <c r="D1027" s="6">
        <f>SUM(D1024:D1026)</f>
        <v>0</v>
      </c>
      <c r="E1027" s="6">
        <f>SUM(E1024:E1026)</f>
        <v>0</v>
      </c>
      <c r="F1027" s="6">
        <f>SUM(F1024:F1026)</f>
        <v>0</v>
      </c>
      <c r="G1027" s="6">
        <f>SUM(G1024:G1026)</f>
        <v>0</v>
      </c>
      <c r="H1027" s="6">
        <f>SUM(H1024:H1026)</f>
        <v>0</v>
      </c>
      <c r="I1027" s="23"/>
      <c r="L1027" s="1" t="s">
        <v>233</v>
      </c>
      <c r="M1027" s="29" t="s">
        <v>210</v>
      </c>
      <c r="N1027" s="228" t="s">
        <v>90</v>
      </c>
    </row>
    <row r="1028" spans="1:14" ht="15" customHeight="1" x14ac:dyDescent="0.25">
      <c r="B1028" s="5"/>
      <c r="D1028" s="6"/>
      <c r="E1028" s="6"/>
      <c r="F1028" s="6"/>
      <c r="G1028" s="167"/>
      <c r="H1028" s="6"/>
      <c r="I1028" s="23"/>
      <c r="L1028" s="1" t="s">
        <v>233</v>
      </c>
      <c r="M1028" s="29" t="s">
        <v>210</v>
      </c>
    </row>
    <row r="1029" spans="1:14" ht="18.75" customHeight="1" x14ac:dyDescent="0.3">
      <c r="A1029" s="8" t="s">
        <v>100</v>
      </c>
      <c r="D1029" s="2">
        <f>StartYear</f>
        <v>2017</v>
      </c>
      <c r="E1029" s="2">
        <f>D1029+1</f>
        <v>2018</v>
      </c>
      <c r="F1029" s="2">
        <f>E1029+1</f>
        <v>2019</v>
      </c>
      <c r="G1029" s="2">
        <f>F1029+1</f>
        <v>2020</v>
      </c>
      <c r="H1029" s="2">
        <f>G1029+1</f>
        <v>2021</v>
      </c>
      <c r="I1029" s="23"/>
      <c r="L1029" s="1" t="s">
        <v>233</v>
      </c>
      <c r="M1029" s="29" t="s">
        <v>210</v>
      </c>
      <c r="N1029" s="228" t="s">
        <v>100</v>
      </c>
    </row>
    <row r="1030" spans="1:14" ht="15" customHeight="1" x14ac:dyDescent="0.25">
      <c r="B1030" s="57" t="str">
        <f>(StartYear-1) &amp; " Surplus Applied to " &amp; StartYear</f>
        <v>2016 Surplus Applied to 2017</v>
      </c>
      <c r="C1030" s="29"/>
      <c r="D1030" s="186">
        <v>0</v>
      </c>
      <c r="E1030" s="187"/>
      <c r="F1030" s="187"/>
      <c r="G1030" s="187"/>
      <c r="H1030" s="188"/>
      <c r="L1030" s="1" t="s">
        <v>233</v>
      </c>
      <c r="M1030" s="29" t="s">
        <v>210</v>
      </c>
      <c r="N1030" s="228" t="s">
        <v>235</v>
      </c>
    </row>
    <row r="1031" spans="1:14" ht="15" customHeight="1" x14ac:dyDescent="0.25">
      <c r="B1031" s="57" t="str">
        <f>StartYear &amp; " Surplus Applied to " &amp; (StartYear-1)</f>
        <v>2017 Surplus Applied to 2016</v>
      </c>
      <c r="C1031" s="29"/>
      <c r="D1031" s="189">
        <v>0</v>
      </c>
      <c r="E1031" s="113"/>
      <c r="F1031" s="113"/>
      <c r="G1031" s="113"/>
      <c r="H1031" s="117"/>
      <c r="L1031" s="1" t="s">
        <v>233</v>
      </c>
      <c r="M1031" s="29" t="s">
        <v>210</v>
      </c>
      <c r="N1031" s="228" t="s">
        <v>236</v>
      </c>
    </row>
    <row r="1032" spans="1:14" ht="15" customHeight="1" x14ac:dyDescent="0.25">
      <c r="B1032" s="57" t="str">
        <f>( StartYear) &amp; " Surplus Applied to " &amp; ( StartYear + 1 )</f>
        <v>2017 Surplus Applied to 2018</v>
      </c>
      <c r="C1032" s="29"/>
      <c r="D1032" s="184">
        <f ca="1">D1016+D1021-D1027</f>
        <v>0</v>
      </c>
      <c r="E1032" s="185">
        <f ca="1">D1032</f>
        <v>0</v>
      </c>
      <c r="F1032" s="181"/>
      <c r="G1032" s="181"/>
      <c r="H1032" s="182"/>
      <c r="L1032" s="1" t="s">
        <v>233</v>
      </c>
      <c r="M1032" s="29" t="s">
        <v>210</v>
      </c>
      <c r="N1032" s="228" t="s">
        <v>237</v>
      </c>
    </row>
    <row r="1033" spans="1:14" ht="15" customHeight="1" x14ac:dyDescent="0.25">
      <c r="B1033" s="57" t="str">
        <f xml:space="preserve"> ( StartYear + 1 ) &amp; " Surplus Applied to " &amp; ( StartYear )</f>
        <v>2018 Surplus Applied to 2017</v>
      </c>
      <c r="C1033" s="52"/>
      <c r="D1033" s="134">
        <v>0</v>
      </c>
      <c r="E1033" s="9">
        <v>0</v>
      </c>
      <c r="F1033" s="113"/>
      <c r="G1033" s="113"/>
      <c r="H1033" s="117"/>
      <c r="L1033" s="1" t="s">
        <v>233</v>
      </c>
      <c r="M1033" s="29" t="s">
        <v>210</v>
      </c>
      <c r="N1033" s="228" t="s">
        <v>238</v>
      </c>
    </row>
    <row r="1034" spans="1:14" ht="15" customHeight="1" x14ac:dyDescent="0.25">
      <c r="B1034" s="119" t="str">
        <f xml:space="preserve"> ( StartYear + 1 ) &amp; " Surplus Applied to " &amp; ( StartYear + 2 )</f>
        <v>2018 Surplus Applied to 2019</v>
      </c>
      <c r="C1034" s="52"/>
      <c r="D1034" s="114"/>
      <c r="E1034" s="9">
        <v>0</v>
      </c>
      <c r="F1034" s="51">
        <f>E1034</f>
        <v>0</v>
      </c>
      <c r="G1034" s="113"/>
      <c r="H1034" s="117"/>
      <c r="L1034" s="1" t="s">
        <v>233</v>
      </c>
      <c r="M1034" s="29" t="s">
        <v>210</v>
      </c>
      <c r="N1034" s="228" t="s">
        <v>239</v>
      </c>
    </row>
    <row r="1035" spans="1:14" ht="15" customHeight="1" x14ac:dyDescent="0.25">
      <c r="B1035" s="119" t="str">
        <f xml:space="preserve"> ( StartYear + 2 ) &amp; " Surplus Applied to " &amp; ( StartYear + 1 )</f>
        <v>2019 Surplus Applied to 2018</v>
      </c>
      <c r="C1035" s="52"/>
      <c r="D1035" s="114"/>
      <c r="E1035" s="51">
        <v>0</v>
      </c>
      <c r="F1035" s="9">
        <v>0</v>
      </c>
      <c r="G1035" s="113"/>
      <c r="H1035" s="117"/>
      <c r="L1035" s="1" t="s">
        <v>233</v>
      </c>
      <c r="M1035" s="29" t="s">
        <v>210</v>
      </c>
      <c r="N1035" s="228" t="s">
        <v>240</v>
      </c>
    </row>
    <row r="1036" spans="1:14" ht="15" customHeight="1" x14ac:dyDescent="0.25">
      <c r="B1036" s="165" t="str">
        <f xml:space="preserve"> ( StartYear + 2 ) &amp; " Surplus Applied to " &amp; ( StartYear + 3 )</f>
        <v>2019 Surplus Applied to 2020</v>
      </c>
      <c r="C1036" s="29"/>
      <c r="D1036" s="114"/>
      <c r="E1036" s="113"/>
      <c r="F1036" s="9">
        <v>0</v>
      </c>
      <c r="G1036" s="51">
        <f>F1036</f>
        <v>0</v>
      </c>
      <c r="H1036" s="117"/>
      <c r="L1036" s="1" t="s">
        <v>233</v>
      </c>
      <c r="M1036" s="29" t="s">
        <v>210</v>
      </c>
      <c r="N1036" s="228" t="s">
        <v>241</v>
      </c>
    </row>
    <row r="1037" spans="1:14" ht="15" customHeight="1" x14ac:dyDescent="0.25">
      <c r="B1037" s="165" t="str">
        <f xml:space="preserve"> ( StartYear + 3 ) &amp; " Surplus Applied to " &amp; ( StartYear + 2 )</f>
        <v>2020 Surplus Applied to 2019</v>
      </c>
      <c r="C1037" s="29"/>
      <c r="D1037" s="114"/>
      <c r="E1037" s="113"/>
      <c r="F1037" s="51">
        <v>0</v>
      </c>
      <c r="G1037" s="9">
        <v>0</v>
      </c>
      <c r="H1037" s="117"/>
      <c r="L1037" s="1" t="s">
        <v>233</v>
      </c>
      <c r="M1037" s="29" t="s">
        <v>210</v>
      </c>
      <c r="N1037" s="228" t="s">
        <v>242</v>
      </c>
    </row>
    <row r="1038" spans="1:14" ht="15" customHeight="1" x14ac:dyDescent="0.25">
      <c r="B1038" s="165" t="str">
        <f xml:space="preserve"> ( StartYear + 3 ) &amp; " Surplus Applied to " &amp; ( StartYear + 4 )</f>
        <v>2020 Surplus Applied to 2021</v>
      </c>
      <c r="C1038" s="29"/>
      <c r="D1038" s="114"/>
      <c r="E1038" s="113"/>
      <c r="F1038" s="113"/>
      <c r="G1038" s="9">
        <v>0</v>
      </c>
      <c r="H1038" s="46">
        <f>G1038</f>
        <v>0</v>
      </c>
      <c r="L1038" s="1" t="s">
        <v>233</v>
      </c>
      <c r="M1038" s="29" t="s">
        <v>210</v>
      </c>
      <c r="N1038" s="228" t="s">
        <v>243</v>
      </c>
    </row>
    <row r="1039" spans="1:14" ht="15" customHeight="1" x14ac:dyDescent="0.25">
      <c r="B1039" s="165" t="str">
        <f xml:space="preserve"> ( StartYear + 4 ) &amp; " Surplus Applied to " &amp; ( StartYear + 3 )</f>
        <v>2021 Surplus Applied to 2020</v>
      </c>
      <c r="C1039" s="29"/>
      <c r="D1039" s="115"/>
      <c r="E1039" s="116"/>
      <c r="F1039" s="116"/>
      <c r="G1039" s="47">
        <v>0</v>
      </c>
      <c r="H1039" s="41">
        <v>0</v>
      </c>
      <c r="L1039" s="1" t="s">
        <v>233</v>
      </c>
      <c r="M1039" s="29" t="s">
        <v>210</v>
      </c>
      <c r="N1039" s="228" t="s">
        <v>244</v>
      </c>
    </row>
    <row r="1040" spans="1:14" ht="15" customHeight="1" x14ac:dyDescent="0.25">
      <c r="B1040" s="32" t="s">
        <v>17</v>
      </c>
      <c r="D1040" s="6">
        <f ca="1">D1030-D1031+D1033-D1032</f>
        <v>0</v>
      </c>
      <c r="E1040" s="6">
        <f ca="1">E1032+E1035-E1033-E1034</f>
        <v>0</v>
      </c>
      <c r="F1040" s="6">
        <f>F1034+F1037-F1035-F1036</f>
        <v>0</v>
      </c>
      <c r="G1040" s="6">
        <f>G1036+G1039-G1037-G1038</f>
        <v>0</v>
      </c>
      <c r="H1040" s="6">
        <f>H1038 - H1039</f>
        <v>0</v>
      </c>
      <c r="L1040" s="1" t="s">
        <v>233</v>
      </c>
      <c r="M1040" s="29" t="s">
        <v>210</v>
      </c>
      <c r="N1040" s="228" t="s">
        <v>17</v>
      </c>
    </row>
    <row r="1041" spans="1:14" ht="15" customHeight="1" x14ac:dyDescent="0.25">
      <c r="B1041" s="5"/>
      <c r="D1041" s="6"/>
      <c r="E1041" s="6"/>
      <c r="F1041" s="6"/>
      <c r="G1041" s="6"/>
      <c r="H1041" s="6"/>
      <c r="I1041" s="23"/>
      <c r="L1041" s="1" t="s">
        <v>233</v>
      </c>
      <c r="M1041" s="29" t="s">
        <v>210</v>
      </c>
    </row>
    <row r="1042" spans="1:14" ht="15" customHeight="1" x14ac:dyDescent="0.25">
      <c r="B1042" s="54" t="s">
        <v>12</v>
      </c>
      <c r="C1042" s="52"/>
      <c r="D1042" s="75"/>
      <c r="E1042" s="111"/>
      <c r="F1042" s="111"/>
      <c r="G1042" s="111"/>
      <c r="H1042" s="76"/>
      <c r="I1042" s="23"/>
      <c r="L1042" s="1" t="s">
        <v>233</v>
      </c>
      <c r="M1042" s="29" t="s">
        <v>210</v>
      </c>
      <c r="N1042" s="228" t="s">
        <v>12</v>
      </c>
    </row>
    <row r="1043" spans="1:14" ht="15" customHeight="1" x14ac:dyDescent="0.25">
      <c r="B1043" s="5"/>
      <c r="D1043" s="6"/>
      <c r="E1043" s="6"/>
      <c r="F1043" s="6"/>
      <c r="G1043" s="6"/>
      <c r="H1043" s="6"/>
      <c r="I1043" s="23"/>
      <c r="L1043" s="1" t="s">
        <v>233</v>
      </c>
      <c r="M1043" s="29" t="s">
        <v>210</v>
      </c>
    </row>
    <row r="1044" spans="1:14" ht="18.75" customHeight="1" x14ac:dyDescent="0.3">
      <c r="A1044" s="38" t="s">
        <v>26</v>
      </c>
      <c r="C1044" s="52">
        <f>A1010</f>
        <v>26</v>
      </c>
      <c r="D1044" s="112">
        <f ca="1" xml:space="preserve"> D1016 + D1021 - D1027 + D1040 + D1042</f>
        <v>0</v>
      </c>
      <c r="E1044" s="112">
        <f ca="1" xml:space="preserve"> E1016 + E1021 - E1027 + E1040 + E1042</f>
        <v>0</v>
      </c>
      <c r="F1044" s="112">
        <f ca="1" xml:space="preserve"> F1016 + F1021 - F1027 + F1040 + F1042</f>
        <v>0</v>
      </c>
      <c r="G1044" s="112">
        <f ca="1" xml:space="preserve"> G1016 + G1021 - G1027 + G1040 + G1042</f>
        <v>10937</v>
      </c>
      <c r="H1044" s="174">
        <f ca="1" xml:space="preserve"> H1016 + H1021 - H1027 + H1040 + H1042</f>
        <v>0</v>
      </c>
      <c r="I1044" s="28"/>
      <c r="L1044" s="1" t="s">
        <v>233</v>
      </c>
      <c r="M1044" s="29" t="s">
        <v>210</v>
      </c>
      <c r="N1044" s="228" t="s">
        <v>26</v>
      </c>
    </row>
    <row r="1045" spans="1:14" ht="15" customHeight="1" x14ac:dyDescent="0.25">
      <c r="B1045" s="5"/>
      <c r="C1045" s="108" t="s">
        <v>158</v>
      </c>
      <c r="D1045" s="6"/>
      <c r="E1045" s="6"/>
      <c r="F1045" s="28"/>
      <c r="G1045" s="28"/>
      <c r="H1045" s="28"/>
      <c r="I1045" s="28"/>
      <c r="L1045" s="1" t="s">
        <v>233</v>
      </c>
      <c r="M1045" s="29" t="s">
        <v>210</v>
      </c>
      <c r="N1045" s="228" t="s">
        <v>158</v>
      </c>
    </row>
    <row r="1046" spans="1:14" ht="15.75" customHeight="1" thickBot="1" x14ac:dyDescent="0.3">
      <c r="I1046" s="29"/>
      <c r="L1046" s="1" t="s">
        <v>233</v>
      </c>
      <c r="M1046" s="29" t="s">
        <v>210</v>
      </c>
    </row>
    <row r="1047" spans="1:14" ht="15" customHeight="1" x14ac:dyDescent="0.25">
      <c r="A1047" s="7"/>
      <c r="B1047" s="7"/>
      <c r="C1047" s="7"/>
      <c r="D1047" s="170"/>
      <c r="E1047" s="7"/>
      <c r="F1047" s="7"/>
      <c r="G1047" s="7"/>
      <c r="H1047" s="7"/>
      <c r="L1047" s="1" t="s">
        <v>233</v>
      </c>
      <c r="M1047" s="29" t="s">
        <v>210</v>
      </c>
    </row>
    <row r="1048" spans="1:14" ht="21" customHeight="1" x14ac:dyDescent="0.35">
      <c r="A1048" s="12">
        <f>MAX(A$1:A1047)+1</f>
        <v>27</v>
      </c>
      <c r="B1048" s="12"/>
      <c r="C1048" s="214" t="str">
        <f ca="1">OFFSET($B$4,A1048-1,0)</f>
        <v>Meadow Creek Wind Farm - Five Pine Project</v>
      </c>
      <c r="D1048" s="215"/>
      <c r="E1048" s="216"/>
      <c r="F1048" s="216"/>
      <c r="G1048" s="217"/>
      <c r="H1048" s="218"/>
      <c r="I1048" s="24"/>
      <c r="L1048" s="1" t="s">
        <v>233</v>
      </c>
      <c r="M1048" s="29" t="s">
        <v>175</v>
      </c>
      <c r="N1048" s="228">
        <v>29</v>
      </c>
    </row>
    <row r="1049" spans="1:14" ht="15" customHeight="1" x14ac:dyDescent="0.25">
      <c r="C1049" s="1" t="str">
        <f ca="1">VLOOKUP(C1048,Facilities,3,FALSE)</f>
        <v>REC only</v>
      </c>
      <c r="I1049" s="23"/>
      <c r="L1049" s="1" t="s">
        <v>233</v>
      </c>
      <c r="M1049" s="29" t="s">
        <v>175</v>
      </c>
      <c r="N1049" s="228" t="s">
        <v>181</v>
      </c>
    </row>
    <row r="1050" spans="1:14" ht="18.75" customHeight="1" x14ac:dyDescent="0.3">
      <c r="A1050" s="8" t="s">
        <v>21</v>
      </c>
      <c r="B1050" s="8"/>
      <c r="D1050" s="118">
        <f>StartYear</f>
        <v>2017</v>
      </c>
      <c r="E1050" s="2">
        <f>D1050+1</f>
        <v>2018</v>
      </c>
      <c r="F1050" s="2">
        <f>E1050+1</f>
        <v>2019</v>
      </c>
      <c r="G1050" s="2">
        <f>F1050+1</f>
        <v>2020</v>
      </c>
      <c r="H1050" s="2">
        <f>G1050+1</f>
        <v>2021</v>
      </c>
      <c r="I1050" s="23"/>
      <c r="L1050" s="1" t="s">
        <v>233</v>
      </c>
      <c r="M1050" s="29" t="s">
        <v>175</v>
      </c>
      <c r="N1050" s="228" t="s">
        <v>21</v>
      </c>
    </row>
    <row r="1051" spans="1:14" ht="15" customHeight="1" x14ac:dyDescent="0.25">
      <c r="B1051" s="119" t="str">
        <f ca="1">IF(C1087&lt;&gt;"REC only","Total MWh ","")&amp;IF(C1049="PSE owned","Produced","Purchased")&amp;" from "&amp;C1048</f>
        <v>Purchased from Meadow Creek Wind Farm - Five Pine Project</v>
      </c>
      <c r="C1051" s="52"/>
      <c r="D1051" s="3"/>
      <c r="E1051" s="3"/>
      <c r="F1051" s="3">
        <v>25276</v>
      </c>
      <c r="G1051" s="3"/>
      <c r="H1051" s="4"/>
      <c r="I1051" s="23"/>
      <c r="L1051" s="1" t="s">
        <v>233</v>
      </c>
      <c r="M1051" s="29" t="s">
        <v>175</v>
      </c>
      <c r="N1051" s="228" t="s">
        <v>270</v>
      </c>
    </row>
    <row r="1052" spans="1:14" ht="15" customHeight="1" x14ac:dyDescent="0.25">
      <c r="B1052" s="57" t="s">
        <v>25</v>
      </c>
      <c r="C1052" s="52"/>
      <c r="D1052" s="132"/>
      <c r="E1052" s="132"/>
      <c r="F1052" s="132">
        <v>1</v>
      </c>
      <c r="G1052" s="132"/>
      <c r="H1052" s="133"/>
      <c r="I1052" s="23"/>
      <c r="L1052" s="1" t="s">
        <v>233</v>
      </c>
      <c r="M1052" s="29" t="s">
        <v>175</v>
      </c>
      <c r="N1052" s="228" t="s">
        <v>25</v>
      </c>
    </row>
    <row r="1053" spans="1:14" ht="15" customHeight="1" x14ac:dyDescent="0.25">
      <c r="B1053" s="57" t="s">
        <v>20</v>
      </c>
      <c r="C1053" s="52"/>
      <c r="D1053" s="42"/>
      <c r="E1053" s="42"/>
      <c r="F1053" s="42">
        <v>1</v>
      </c>
      <c r="G1053" s="42"/>
      <c r="H1053" s="43"/>
      <c r="I1053" s="23"/>
      <c r="L1053" s="1" t="s">
        <v>233</v>
      </c>
      <c r="M1053" s="29" t="s">
        <v>175</v>
      </c>
      <c r="N1053" s="228" t="s">
        <v>20</v>
      </c>
    </row>
    <row r="1054" spans="1:14" ht="15" customHeight="1" x14ac:dyDescent="0.25">
      <c r="B1054" s="54" t="s">
        <v>22</v>
      </c>
      <c r="C1054" s="55"/>
      <c r="D1054" s="131">
        <f xml:space="preserve"> D1051 * D1052 * D1053</f>
        <v>0</v>
      </c>
      <c r="E1054" s="131">
        <f xml:space="preserve"> E1051 * E1052 * E1053</f>
        <v>0</v>
      </c>
      <c r="F1054" s="131">
        <f xml:space="preserve"> ROUNDDOWN(F1051 * F1052 * F1053,0)</f>
        <v>25276</v>
      </c>
      <c r="G1054" s="131">
        <f xml:space="preserve"> ROUNDDOWN(G1051 * G1052 * G1053,0)</f>
        <v>0</v>
      </c>
      <c r="H1054" s="131">
        <f xml:space="preserve"> ROUNDDOWN(H1051 * H1052 * H1053,0)</f>
        <v>0</v>
      </c>
      <c r="I1054" s="23"/>
      <c r="L1054" s="1" t="s">
        <v>233</v>
      </c>
      <c r="M1054" s="29" t="s">
        <v>175</v>
      </c>
      <c r="N1054" s="228" t="s">
        <v>22</v>
      </c>
    </row>
    <row r="1055" spans="1:14" ht="15" customHeight="1" x14ac:dyDescent="0.25">
      <c r="B1055" s="22"/>
      <c r="C1055" s="29"/>
      <c r="D1055" s="36"/>
      <c r="E1055" s="36"/>
      <c r="F1055" s="36"/>
      <c r="G1055" s="167"/>
      <c r="H1055" s="36"/>
      <c r="I1055" s="23"/>
      <c r="L1055" s="1" t="s">
        <v>233</v>
      </c>
      <c r="M1055" s="29" t="s">
        <v>175</v>
      </c>
    </row>
    <row r="1056" spans="1:14" ht="18.75" customHeight="1" x14ac:dyDescent="0.3">
      <c r="A1056" s="39" t="s">
        <v>119</v>
      </c>
      <c r="C1056" s="29"/>
      <c r="D1056" s="2">
        <f>StartYear</f>
        <v>2017</v>
      </c>
      <c r="E1056" s="2">
        <f>D1056+1</f>
        <v>2018</v>
      </c>
      <c r="F1056" s="2">
        <f>E1056+1</f>
        <v>2019</v>
      </c>
      <c r="G1056" s="2">
        <f>F1056+1</f>
        <v>2020</v>
      </c>
      <c r="H1056" s="2">
        <f>G1056+1</f>
        <v>2021</v>
      </c>
      <c r="I1056" s="28"/>
      <c r="L1056" s="1" t="s">
        <v>233</v>
      </c>
      <c r="M1056" s="29" t="s">
        <v>175</v>
      </c>
      <c r="N1056" s="228" t="s">
        <v>119</v>
      </c>
    </row>
    <row r="1057" spans="1:14" x14ac:dyDescent="0.25">
      <c r="B1057" s="57" t="s">
        <v>10</v>
      </c>
      <c r="C1057" s="52"/>
      <c r="D1057" s="10">
        <f ca="1">IF(VLOOKUP($C1048,Facilities,5,FALSE)="Eligible", D1054*ApprenticeshipBonus, 0 )</f>
        <v>0</v>
      </c>
      <c r="E1057" s="109">
        <f ca="1">IF(VLOOKUP($C1048,Facilities,5,FALSE)="Eligible", E1054*ApprenticeshipBonus, 0 )</f>
        <v>0</v>
      </c>
      <c r="F1057" s="109">
        <f ca="1">IF(VLOOKUP($C1048,Facilities,5,FALSE)="Eligible", F1054*ApprenticeshipBonus, 0 )</f>
        <v>0</v>
      </c>
      <c r="G1057" s="109">
        <f ca="1">IF(VLOOKUP($C1048,Facilities,5,FALSE)="Eligible", G1054*ApprenticeshipBonus, 0 )</f>
        <v>0</v>
      </c>
      <c r="H1057" s="11">
        <f ca="1">IF(VLOOKUP($C1048,Facilities,5,FALSE)="Eligible", H1054*ApprenticeshipBonus, 0 )</f>
        <v>0</v>
      </c>
      <c r="L1057" s="1" t="s">
        <v>233</v>
      </c>
      <c r="M1057" s="29" t="s">
        <v>175</v>
      </c>
      <c r="N1057" s="228" t="s">
        <v>10</v>
      </c>
    </row>
    <row r="1058" spans="1:14" ht="15" customHeight="1" x14ac:dyDescent="0.25">
      <c r="B1058" s="57" t="s">
        <v>6</v>
      </c>
      <c r="C1058" s="52"/>
      <c r="D1058" s="44">
        <f ca="1">IF(VLOOKUP($C1048,Facilities,6,FALSE)="Eligible", D1054, 0 )</f>
        <v>0</v>
      </c>
      <c r="E1058" s="110">
        <f ca="1">IF(VLOOKUP($C1048,Facilities,6,FALSE)="Eligible", E1054, 0 )</f>
        <v>0</v>
      </c>
      <c r="F1058" s="110">
        <f ca="1">IF(VLOOKUP($C1048,Facilities,6,FALSE)="Eligible", F1054, 0 )</f>
        <v>0</v>
      </c>
      <c r="G1058" s="110">
        <f ca="1">IF(VLOOKUP($C1048,Facilities,6,FALSE)="Eligible", G1054, 0 )</f>
        <v>0</v>
      </c>
      <c r="H1058" s="45">
        <f ca="1">IF(VLOOKUP($C1048,Facilities,6,FALSE)="Eligible", H1054, 0 )</f>
        <v>0</v>
      </c>
      <c r="L1058" s="1" t="s">
        <v>233</v>
      </c>
      <c r="M1058" s="29" t="s">
        <v>175</v>
      </c>
      <c r="N1058" s="228" t="s">
        <v>6</v>
      </c>
    </row>
    <row r="1059" spans="1:14" ht="15" customHeight="1" x14ac:dyDescent="0.25">
      <c r="B1059" s="56" t="s">
        <v>121</v>
      </c>
      <c r="C1059" s="55"/>
      <c r="D1059" s="37">
        <f ca="1">SUM(D1057:D1058)</f>
        <v>0</v>
      </c>
      <c r="E1059" s="37">
        <f ca="1">SUM(E1057:E1058)</f>
        <v>0</v>
      </c>
      <c r="F1059" s="37">
        <f ca="1">SUM(F1057:F1058)</f>
        <v>0</v>
      </c>
      <c r="G1059" s="37">
        <f ca="1">SUM(G1057:G1058)</f>
        <v>0</v>
      </c>
      <c r="H1059" s="37">
        <f ca="1">SUM(H1057:H1058)</f>
        <v>0</v>
      </c>
      <c r="L1059" s="1" t="s">
        <v>233</v>
      </c>
      <c r="M1059" s="29" t="s">
        <v>175</v>
      </c>
      <c r="N1059" s="228" t="s">
        <v>121</v>
      </c>
    </row>
    <row r="1060" spans="1:14" ht="15" customHeight="1" x14ac:dyDescent="0.25">
      <c r="B1060" s="29"/>
      <c r="C1060" s="29"/>
      <c r="D1060" s="30"/>
      <c r="E1060" s="30"/>
      <c r="F1060" s="30"/>
      <c r="G1060" s="169"/>
      <c r="H1060" s="30"/>
      <c r="L1060" s="1" t="s">
        <v>233</v>
      </c>
      <c r="M1060" s="29" t="s">
        <v>175</v>
      </c>
    </row>
    <row r="1061" spans="1:14" ht="18.75" customHeight="1" x14ac:dyDescent="0.3">
      <c r="A1061" s="38" t="s">
        <v>30</v>
      </c>
      <c r="C1061" s="29"/>
      <c r="D1061" s="2">
        <f>StartYear</f>
        <v>2017</v>
      </c>
      <c r="E1061" s="2">
        <f>D1061+1</f>
        <v>2018</v>
      </c>
      <c r="F1061" s="2">
        <f>E1061+1</f>
        <v>2019</v>
      </c>
      <c r="G1061" s="2">
        <f>F1061+1</f>
        <v>2020</v>
      </c>
      <c r="H1061" s="2">
        <f>G1061+1</f>
        <v>2021</v>
      </c>
      <c r="L1061" s="1" t="s">
        <v>233</v>
      </c>
      <c r="M1061" s="29" t="s">
        <v>175</v>
      </c>
      <c r="N1061" s="228" t="s">
        <v>30</v>
      </c>
    </row>
    <row r="1062" spans="1:14" ht="15" customHeight="1" x14ac:dyDescent="0.25">
      <c r="B1062" s="57" t="s">
        <v>47</v>
      </c>
      <c r="C1062" s="52"/>
      <c r="D1062" s="3"/>
      <c r="E1062" s="3"/>
      <c r="F1062" s="3"/>
      <c r="G1062" s="3"/>
      <c r="H1062" s="4"/>
      <c r="L1062" s="1" t="s">
        <v>233</v>
      </c>
      <c r="M1062" s="29" t="s">
        <v>175</v>
      </c>
      <c r="N1062" s="228" t="s">
        <v>47</v>
      </c>
    </row>
    <row r="1063" spans="1:14" ht="15" customHeight="1" x14ac:dyDescent="0.25">
      <c r="B1063" s="58" t="s">
        <v>23</v>
      </c>
      <c r="C1063" s="59"/>
      <c r="D1063" s="137"/>
      <c r="E1063" s="137"/>
      <c r="F1063" s="137"/>
      <c r="G1063" s="137"/>
      <c r="H1063" s="138"/>
      <c r="L1063" s="1" t="s">
        <v>233</v>
      </c>
      <c r="M1063" s="29" t="s">
        <v>175</v>
      </c>
      <c r="N1063" s="228" t="s">
        <v>23</v>
      </c>
    </row>
    <row r="1064" spans="1:14" ht="15" customHeight="1" x14ac:dyDescent="0.25">
      <c r="B1064" s="68" t="s">
        <v>89</v>
      </c>
      <c r="C1064" s="67"/>
      <c r="D1064" s="191"/>
      <c r="E1064" s="139"/>
      <c r="F1064" s="139"/>
      <c r="G1064" s="139"/>
      <c r="H1064" s="140"/>
      <c r="L1064" s="1" t="s">
        <v>233</v>
      </c>
      <c r="M1064" s="29" t="s">
        <v>175</v>
      </c>
      <c r="N1064" s="228" t="s">
        <v>89</v>
      </c>
    </row>
    <row r="1065" spans="1:14" ht="15" customHeight="1" x14ac:dyDescent="0.25">
      <c r="B1065" s="32" t="s">
        <v>90</v>
      </c>
      <c r="D1065" s="6">
        <f>SUM(D1062:D1064)</f>
        <v>0</v>
      </c>
      <c r="E1065" s="6">
        <f>SUM(E1062:E1064)</f>
        <v>0</v>
      </c>
      <c r="F1065" s="6">
        <f>SUM(F1062:F1064)</f>
        <v>0</v>
      </c>
      <c r="G1065" s="6">
        <f>SUM(G1062:G1064)</f>
        <v>0</v>
      </c>
      <c r="H1065" s="6">
        <f>SUM(H1062:H1064)</f>
        <v>0</v>
      </c>
      <c r="L1065" s="1" t="s">
        <v>233</v>
      </c>
      <c r="M1065" s="29" t="s">
        <v>175</v>
      </c>
      <c r="N1065" s="228" t="s">
        <v>90</v>
      </c>
    </row>
    <row r="1066" spans="1:14" ht="15" customHeight="1" x14ac:dyDescent="0.25">
      <c r="B1066" s="5"/>
      <c r="D1066" s="6"/>
      <c r="E1066" s="6"/>
      <c r="F1066" s="6"/>
      <c r="G1066" s="167"/>
      <c r="H1066" s="6"/>
      <c r="L1066" s="1" t="s">
        <v>233</v>
      </c>
      <c r="M1066" s="29" t="s">
        <v>175</v>
      </c>
    </row>
    <row r="1067" spans="1:14" ht="18.75" customHeight="1" x14ac:dyDescent="0.3">
      <c r="A1067" s="8" t="s">
        <v>100</v>
      </c>
      <c r="D1067" s="2">
        <f>StartYear</f>
        <v>2017</v>
      </c>
      <c r="E1067" s="2">
        <f>D1067+1</f>
        <v>2018</v>
      </c>
      <c r="F1067" s="2">
        <f>E1067+1</f>
        <v>2019</v>
      </c>
      <c r="G1067" s="2">
        <f>F1067+1</f>
        <v>2020</v>
      </c>
      <c r="H1067" s="2">
        <f>G1067+1</f>
        <v>2021</v>
      </c>
      <c r="L1067" s="1" t="s">
        <v>233</v>
      </c>
      <c r="M1067" s="29" t="s">
        <v>175</v>
      </c>
      <c r="N1067" s="228" t="s">
        <v>100</v>
      </c>
    </row>
    <row r="1068" spans="1:14" ht="15" customHeight="1" x14ac:dyDescent="0.25">
      <c r="B1068" s="57" t="str">
        <f>(StartYear-1) &amp; " Surplus Applied to " &amp; StartYear</f>
        <v>2016 Surplus Applied to 2017</v>
      </c>
      <c r="C1068" s="29"/>
      <c r="D1068" s="186">
        <v>0</v>
      </c>
      <c r="E1068" s="187"/>
      <c r="F1068" s="187"/>
      <c r="G1068" s="187"/>
      <c r="H1068" s="188"/>
      <c r="L1068" s="1" t="s">
        <v>233</v>
      </c>
      <c r="M1068" s="29" t="s">
        <v>175</v>
      </c>
      <c r="N1068" s="228" t="s">
        <v>235</v>
      </c>
    </row>
    <row r="1069" spans="1:14" ht="15" customHeight="1" x14ac:dyDescent="0.25">
      <c r="B1069" s="57" t="str">
        <f>StartYear &amp; " Surplus Applied to " &amp; (StartYear-1)</f>
        <v>2017 Surplus Applied to 2016</v>
      </c>
      <c r="C1069" s="29"/>
      <c r="D1069" s="189">
        <v>0</v>
      </c>
      <c r="E1069" s="113"/>
      <c r="F1069" s="113"/>
      <c r="G1069" s="113"/>
      <c r="H1069" s="117"/>
      <c r="L1069" s="1" t="s">
        <v>233</v>
      </c>
      <c r="M1069" s="29" t="s">
        <v>175</v>
      </c>
      <c r="N1069" s="228" t="s">
        <v>236</v>
      </c>
    </row>
    <row r="1070" spans="1:14" ht="15" customHeight="1" x14ac:dyDescent="0.25">
      <c r="B1070" s="57" t="str">
        <f>( StartYear) &amp; " Surplus Applied to " &amp; ( StartYear + 1 )</f>
        <v>2017 Surplus Applied to 2018</v>
      </c>
      <c r="C1070" s="29"/>
      <c r="D1070" s="184">
        <f ca="1">D1054+D1059-D1065</f>
        <v>0</v>
      </c>
      <c r="E1070" s="185">
        <f ca="1">D1070</f>
        <v>0</v>
      </c>
      <c r="F1070" s="181"/>
      <c r="G1070" s="181"/>
      <c r="H1070" s="182"/>
      <c r="L1070" s="1" t="s">
        <v>233</v>
      </c>
      <c r="M1070" s="29" t="s">
        <v>175</v>
      </c>
      <c r="N1070" s="228" t="s">
        <v>237</v>
      </c>
    </row>
    <row r="1071" spans="1:14" ht="15" customHeight="1" x14ac:dyDescent="0.25">
      <c r="B1071" s="57" t="str">
        <f xml:space="preserve"> ( StartYear + 1 ) &amp; " Surplus Applied to " &amp; ( StartYear )</f>
        <v>2018 Surplus Applied to 2017</v>
      </c>
      <c r="C1071" s="52"/>
      <c r="D1071" s="134">
        <v>0</v>
      </c>
      <c r="E1071" s="9">
        <v>0</v>
      </c>
      <c r="F1071" s="113"/>
      <c r="G1071" s="113"/>
      <c r="H1071" s="117"/>
      <c r="L1071" s="1" t="s">
        <v>233</v>
      </c>
      <c r="M1071" s="29" t="s">
        <v>175</v>
      </c>
      <c r="N1071" s="228" t="s">
        <v>238</v>
      </c>
    </row>
    <row r="1072" spans="1:14" ht="15" customHeight="1" x14ac:dyDescent="0.25">
      <c r="B1072" s="119" t="str">
        <f xml:space="preserve"> ( StartYear + 1 ) &amp; " Surplus Applied to " &amp; ( StartYear + 2 )</f>
        <v>2018 Surplus Applied to 2019</v>
      </c>
      <c r="C1072" s="52"/>
      <c r="D1072" s="114"/>
      <c r="E1072" s="9">
        <v>0</v>
      </c>
      <c r="F1072" s="51">
        <f>E1072</f>
        <v>0</v>
      </c>
      <c r="G1072" s="113"/>
      <c r="H1072" s="117"/>
      <c r="L1072" s="1" t="s">
        <v>233</v>
      </c>
      <c r="M1072" s="29" t="s">
        <v>175</v>
      </c>
      <c r="N1072" s="228" t="s">
        <v>239</v>
      </c>
    </row>
    <row r="1073" spans="1:14" ht="15" customHeight="1" x14ac:dyDescent="0.25">
      <c r="B1073" s="119" t="str">
        <f xml:space="preserve"> ( StartYear + 2 ) &amp; " Surplus Applied to " &amp; ( StartYear + 1 )</f>
        <v>2019 Surplus Applied to 2018</v>
      </c>
      <c r="C1073" s="52"/>
      <c r="D1073" s="114"/>
      <c r="E1073" s="51">
        <v>0</v>
      </c>
      <c r="F1073" s="9">
        <v>0</v>
      </c>
      <c r="G1073" s="113"/>
      <c r="H1073" s="117"/>
      <c r="L1073" s="1" t="s">
        <v>233</v>
      </c>
      <c r="M1073" s="29" t="s">
        <v>175</v>
      </c>
      <c r="N1073" s="228" t="s">
        <v>240</v>
      </c>
    </row>
    <row r="1074" spans="1:14" ht="15" customHeight="1" x14ac:dyDescent="0.25">
      <c r="B1074" s="165" t="str">
        <f xml:space="preserve"> ( StartYear + 2 ) &amp; " Surplus Applied to " &amp; ( StartYear + 3 )</f>
        <v>2019 Surplus Applied to 2020</v>
      </c>
      <c r="C1074" s="29"/>
      <c r="D1074" s="114"/>
      <c r="E1074" s="113"/>
      <c r="F1074" s="9">
        <v>25276</v>
      </c>
      <c r="G1074" s="51">
        <f>F1074</f>
        <v>25276</v>
      </c>
      <c r="H1074" s="117"/>
      <c r="L1074" s="1" t="s">
        <v>233</v>
      </c>
      <c r="M1074" s="29" t="s">
        <v>175</v>
      </c>
      <c r="N1074" s="228" t="s">
        <v>241</v>
      </c>
    </row>
    <row r="1075" spans="1:14" ht="15" customHeight="1" x14ac:dyDescent="0.25">
      <c r="B1075" s="165" t="str">
        <f xml:space="preserve"> ( StartYear + 3 ) &amp; " Surplus Applied to " &amp; ( StartYear + 2 )</f>
        <v>2020 Surplus Applied to 2019</v>
      </c>
      <c r="C1075" s="29"/>
      <c r="D1075" s="114"/>
      <c r="E1075" s="113"/>
      <c r="F1075" s="51">
        <v>0</v>
      </c>
      <c r="G1075" s="9">
        <v>0</v>
      </c>
      <c r="H1075" s="117"/>
      <c r="L1075" s="1" t="s">
        <v>233</v>
      </c>
      <c r="M1075" s="29" t="s">
        <v>175</v>
      </c>
      <c r="N1075" s="228" t="s">
        <v>242</v>
      </c>
    </row>
    <row r="1076" spans="1:14" ht="15" customHeight="1" x14ac:dyDescent="0.25">
      <c r="B1076" s="165" t="str">
        <f xml:space="preserve"> ( StartYear + 3 ) &amp; " Surplus Applied to " &amp; ( StartYear + 4 )</f>
        <v>2020 Surplus Applied to 2021</v>
      </c>
      <c r="C1076" s="29"/>
      <c r="D1076" s="114"/>
      <c r="E1076" s="113"/>
      <c r="F1076" s="113"/>
      <c r="G1076" s="9">
        <f ca="1">G1054+G1059-G1065</f>
        <v>0</v>
      </c>
      <c r="H1076" s="46">
        <f ca="1">G1076</f>
        <v>0</v>
      </c>
      <c r="L1076" s="1" t="s">
        <v>233</v>
      </c>
      <c r="M1076" s="29" t="s">
        <v>175</v>
      </c>
      <c r="N1076" s="228" t="s">
        <v>243</v>
      </c>
    </row>
    <row r="1077" spans="1:14" ht="15" customHeight="1" x14ac:dyDescent="0.25">
      <c r="B1077" s="165" t="str">
        <f xml:space="preserve"> ( StartYear + 4 ) &amp; " Surplus Applied to " &amp; ( StartYear + 3 )</f>
        <v>2021 Surplus Applied to 2020</v>
      </c>
      <c r="C1077" s="29"/>
      <c r="D1077" s="115"/>
      <c r="E1077" s="116"/>
      <c r="F1077" s="116"/>
      <c r="G1077" s="47">
        <v>0</v>
      </c>
      <c r="H1077" s="41">
        <v>0</v>
      </c>
      <c r="L1077" s="1" t="s">
        <v>233</v>
      </c>
      <c r="M1077" s="29" t="s">
        <v>175</v>
      </c>
      <c r="N1077" s="228" t="s">
        <v>244</v>
      </c>
    </row>
    <row r="1078" spans="1:14" ht="15" customHeight="1" x14ac:dyDescent="0.25">
      <c r="B1078" s="32" t="s">
        <v>17</v>
      </c>
      <c r="D1078" s="6">
        <f ca="1">D1068-D1069+D1071-D1070</f>
        <v>0</v>
      </c>
      <c r="E1078" s="6">
        <f ca="1">E1070+E1073-E1071-E1072</f>
        <v>0</v>
      </c>
      <c r="F1078" s="6">
        <f>F1072+F1075-F1073-F1074</f>
        <v>-25276</v>
      </c>
      <c r="G1078" s="6">
        <f ca="1">G1074+G1077-G1075-G1076</f>
        <v>25276</v>
      </c>
      <c r="H1078" s="6">
        <f ca="1">H1076 - H1077</f>
        <v>0</v>
      </c>
      <c r="L1078" s="1" t="s">
        <v>233</v>
      </c>
      <c r="M1078" s="29" t="s">
        <v>175</v>
      </c>
      <c r="N1078" s="228" t="s">
        <v>17</v>
      </c>
    </row>
    <row r="1079" spans="1:14" ht="15" customHeight="1" x14ac:dyDescent="0.25">
      <c r="B1079" s="5"/>
      <c r="D1079" s="6"/>
      <c r="E1079" s="6"/>
      <c r="F1079" s="6"/>
      <c r="G1079" s="6"/>
      <c r="H1079" s="6"/>
      <c r="L1079" s="1" t="s">
        <v>233</v>
      </c>
      <c r="M1079" s="29" t="s">
        <v>175</v>
      </c>
    </row>
    <row r="1080" spans="1:14" ht="15" customHeight="1" x14ac:dyDescent="0.25">
      <c r="B1080" s="54" t="s">
        <v>12</v>
      </c>
      <c r="C1080" s="52"/>
      <c r="D1080" s="75"/>
      <c r="E1080" s="111"/>
      <c r="F1080" s="111"/>
      <c r="G1080" s="111"/>
      <c r="H1080" s="76"/>
      <c r="L1080" s="1" t="s">
        <v>233</v>
      </c>
      <c r="M1080" s="29" t="s">
        <v>175</v>
      </c>
      <c r="N1080" s="228" t="s">
        <v>12</v>
      </c>
    </row>
    <row r="1081" spans="1:14" ht="15" customHeight="1" x14ac:dyDescent="0.25">
      <c r="B1081" s="5"/>
      <c r="D1081" s="6"/>
      <c r="E1081" s="6"/>
      <c r="F1081" s="6"/>
      <c r="G1081" s="6"/>
      <c r="H1081" s="6"/>
      <c r="L1081" s="1" t="s">
        <v>233</v>
      </c>
      <c r="M1081" s="29" t="s">
        <v>175</v>
      </c>
    </row>
    <row r="1082" spans="1:14" ht="18.75" customHeight="1" x14ac:dyDescent="0.3">
      <c r="A1082" s="38" t="s">
        <v>26</v>
      </c>
      <c r="C1082" s="52">
        <f>A1048</f>
        <v>27</v>
      </c>
      <c r="D1082" s="112">
        <f ca="1" xml:space="preserve"> D1054 + D1059 - D1065 + D1078 + D1080</f>
        <v>0</v>
      </c>
      <c r="E1082" s="112">
        <f ca="1" xml:space="preserve"> E1054 + E1059 - E1065 + E1078 + E1080</f>
        <v>0</v>
      </c>
      <c r="F1082" s="112">
        <f ca="1" xml:space="preserve"> F1054 + F1059 - F1065 + F1078 + F1080</f>
        <v>0</v>
      </c>
      <c r="G1082" s="112">
        <f ca="1" xml:space="preserve"> G1054 + G1059 - G1065 + G1078 + G1080</f>
        <v>25276</v>
      </c>
      <c r="H1082" s="174">
        <f ca="1" xml:space="preserve"> H1054 + H1059 - H1065 + H1078 + H1080</f>
        <v>0</v>
      </c>
      <c r="L1082" s="1" t="s">
        <v>233</v>
      </c>
      <c r="M1082" s="29" t="s">
        <v>175</v>
      </c>
      <c r="N1082" s="228" t="s">
        <v>26</v>
      </c>
    </row>
    <row r="1083" spans="1:14" ht="15" customHeight="1" x14ac:dyDescent="0.25">
      <c r="B1083" s="5"/>
      <c r="C1083" s="108" t="s">
        <v>158</v>
      </c>
      <c r="D1083" s="6"/>
      <c r="E1083" s="6"/>
      <c r="F1083" s="28"/>
      <c r="G1083" s="28"/>
      <c r="H1083" s="28"/>
      <c r="L1083" s="1" t="s">
        <v>233</v>
      </c>
      <c r="M1083" s="29" t="s">
        <v>175</v>
      </c>
      <c r="N1083" s="228" t="s">
        <v>158</v>
      </c>
    </row>
    <row r="1084" spans="1:14" ht="15.75" customHeight="1" thickBot="1" x14ac:dyDescent="0.3">
      <c r="L1084" s="1" t="s">
        <v>233</v>
      </c>
      <c r="M1084" s="29" t="s">
        <v>175</v>
      </c>
    </row>
    <row r="1085" spans="1:14" ht="15" customHeight="1" x14ac:dyDescent="0.25">
      <c r="A1085" s="7"/>
      <c r="B1085" s="7"/>
      <c r="C1085" s="7"/>
      <c r="D1085" s="170"/>
      <c r="E1085" s="7"/>
      <c r="F1085" s="7"/>
      <c r="G1085" s="7"/>
      <c r="H1085" s="7"/>
      <c r="L1085" s="1" t="s">
        <v>233</v>
      </c>
      <c r="M1085" s="29" t="s">
        <v>175</v>
      </c>
    </row>
    <row r="1086" spans="1:14" ht="21" customHeight="1" x14ac:dyDescent="0.35">
      <c r="A1086" s="12">
        <f>MAX(A$1:A1085)+1</f>
        <v>28</v>
      </c>
      <c r="B1086" s="12"/>
      <c r="C1086" s="214" t="str">
        <f ca="1">OFFSET($B$4,A1086-1,0)</f>
        <v>Meadow Creek Wind Farm - North Point Wind Farm</v>
      </c>
      <c r="D1086" s="215"/>
      <c r="E1086" s="216"/>
      <c r="F1086" s="216"/>
      <c r="G1086" s="217"/>
      <c r="H1086" s="218"/>
      <c r="L1086" s="1" t="s">
        <v>233</v>
      </c>
      <c r="M1086" s="29" t="s">
        <v>191</v>
      </c>
      <c r="N1086" s="228">
        <v>30</v>
      </c>
    </row>
    <row r="1087" spans="1:14" ht="15" customHeight="1" x14ac:dyDescent="0.25">
      <c r="C1087" s="1" t="str">
        <f ca="1">VLOOKUP(C1086,Facilities,3,FALSE)</f>
        <v>REC only</v>
      </c>
      <c r="L1087" s="1" t="s">
        <v>233</v>
      </c>
      <c r="M1087" s="29" t="s">
        <v>191</v>
      </c>
      <c r="N1087" s="228" t="s">
        <v>181</v>
      </c>
    </row>
    <row r="1088" spans="1:14" ht="18.75" customHeight="1" x14ac:dyDescent="0.3">
      <c r="A1088" s="8" t="s">
        <v>21</v>
      </c>
      <c r="B1088" s="8"/>
      <c r="D1088" s="118">
        <f>StartYear</f>
        <v>2017</v>
      </c>
      <c r="E1088" s="2">
        <f>D1088+1</f>
        <v>2018</v>
      </c>
      <c r="F1088" s="2">
        <f>E1088+1</f>
        <v>2019</v>
      </c>
      <c r="G1088" s="2">
        <f>F1088+1</f>
        <v>2020</v>
      </c>
      <c r="H1088" s="2">
        <f>G1088+1</f>
        <v>2021</v>
      </c>
      <c r="L1088" s="1" t="s">
        <v>233</v>
      </c>
      <c r="M1088" s="29" t="s">
        <v>191</v>
      </c>
      <c r="N1088" s="228" t="s">
        <v>21</v>
      </c>
    </row>
    <row r="1089" spans="1:14" ht="15" customHeight="1" x14ac:dyDescent="0.25">
      <c r="B1089" s="119" t="str">
        <f ca="1">IF(C1125&lt;&gt;"REC only","Total MWh ","")&amp;IF(C1087="PSE owned","Produced","Purchased")&amp;" from "&amp;C1086</f>
        <v>Purchased from Meadow Creek Wind Farm - North Point Wind Farm</v>
      </c>
      <c r="C1089" s="52"/>
      <c r="D1089" s="3"/>
      <c r="E1089" s="3"/>
      <c r="F1089" s="3">
        <v>49724</v>
      </c>
      <c r="G1089" s="3"/>
      <c r="H1089" s="4"/>
      <c r="L1089" s="1" t="s">
        <v>233</v>
      </c>
      <c r="M1089" s="29" t="s">
        <v>191</v>
      </c>
      <c r="N1089" s="228" t="s">
        <v>271</v>
      </c>
    </row>
    <row r="1090" spans="1:14" ht="15" customHeight="1" x14ac:dyDescent="0.25">
      <c r="B1090" s="57" t="s">
        <v>25</v>
      </c>
      <c r="C1090" s="52"/>
      <c r="D1090" s="132"/>
      <c r="E1090" s="132"/>
      <c r="F1090" s="132">
        <v>1</v>
      </c>
      <c r="G1090" s="132"/>
      <c r="H1090" s="133"/>
      <c r="L1090" s="1" t="s">
        <v>233</v>
      </c>
      <c r="M1090" s="29" t="s">
        <v>191</v>
      </c>
      <c r="N1090" s="228" t="s">
        <v>25</v>
      </c>
    </row>
    <row r="1091" spans="1:14" ht="15" customHeight="1" x14ac:dyDescent="0.25">
      <c r="B1091" s="57" t="s">
        <v>20</v>
      </c>
      <c r="C1091" s="52"/>
      <c r="D1091" s="42"/>
      <c r="E1091" s="42"/>
      <c r="F1091" s="42">
        <v>1</v>
      </c>
      <c r="G1091" s="42"/>
      <c r="H1091" s="43"/>
      <c r="L1091" s="1" t="s">
        <v>233</v>
      </c>
      <c r="M1091" s="29" t="s">
        <v>191</v>
      </c>
      <c r="N1091" s="228" t="s">
        <v>20</v>
      </c>
    </row>
    <row r="1092" spans="1:14" ht="15" customHeight="1" x14ac:dyDescent="0.25">
      <c r="B1092" s="54" t="s">
        <v>22</v>
      </c>
      <c r="C1092" s="55"/>
      <c r="D1092" s="131">
        <f xml:space="preserve"> D1089 * D1090 * D1091</f>
        <v>0</v>
      </c>
      <c r="E1092" s="131">
        <f xml:space="preserve"> E1089 * E1090 * E1091</f>
        <v>0</v>
      </c>
      <c r="F1092" s="131">
        <f xml:space="preserve"> ROUNDDOWN(F1089 * F1090 * F1091,0)</f>
        <v>49724</v>
      </c>
      <c r="G1092" s="131">
        <f xml:space="preserve"> ROUNDDOWN(G1089 * G1090 * G1091,0)</f>
        <v>0</v>
      </c>
      <c r="H1092" s="131">
        <f xml:space="preserve"> ROUNDDOWN(H1089 * H1090 * H1091,0)</f>
        <v>0</v>
      </c>
      <c r="L1092" s="1" t="s">
        <v>233</v>
      </c>
      <c r="M1092" s="29" t="s">
        <v>191</v>
      </c>
      <c r="N1092" s="228" t="s">
        <v>22</v>
      </c>
    </row>
    <row r="1093" spans="1:14" ht="15" customHeight="1" x14ac:dyDescent="0.25">
      <c r="B1093" s="22"/>
      <c r="C1093" s="29"/>
      <c r="D1093" s="36"/>
      <c r="E1093" s="36"/>
      <c r="F1093" s="36"/>
      <c r="G1093" s="167"/>
      <c r="H1093" s="36"/>
      <c r="L1093" s="1" t="s">
        <v>233</v>
      </c>
      <c r="M1093" s="29" t="s">
        <v>191</v>
      </c>
    </row>
    <row r="1094" spans="1:14" ht="18.75" customHeight="1" x14ac:dyDescent="0.3">
      <c r="A1094" s="39" t="s">
        <v>119</v>
      </c>
      <c r="C1094" s="29"/>
      <c r="D1094" s="2">
        <f>StartYear</f>
        <v>2017</v>
      </c>
      <c r="E1094" s="2">
        <f>D1094+1</f>
        <v>2018</v>
      </c>
      <c r="F1094" s="2">
        <f>E1094+1</f>
        <v>2019</v>
      </c>
      <c r="G1094" s="2">
        <f>F1094+1</f>
        <v>2020</v>
      </c>
      <c r="H1094" s="2">
        <f>G1094+1</f>
        <v>2021</v>
      </c>
      <c r="L1094" s="1" t="s">
        <v>233</v>
      </c>
      <c r="M1094" s="29" t="s">
        <v>191</v>
      </c>
      <c r="N1094" s="228" t="s">
        <v>119</v>
      </c>
    </row>
    <row r="1095" spans="1:14" x14ac:dyDescent="0.25">
      <c r="B1095" s="57" t="s">
        <v>10</v>
      </c>
      <c r="C1095" s="52"/>
      <c r="D1095" s="10">
        <f ca="1">IF(VLOOKUP($C1086,Facilities,5,FALSE)="Eligible", D1092*ApprenticeshipBonus, 0 )</f>
        <v>0</v>
      </c>
      <c r="E1095" s="109">
        <f ca="1">IF(VLOOKUP($C1086,Facilities,5,FALSE)="Eligible", E1092*ApprenticeshipBonus, 0 )</f>
        <v>0</v>
      </c>
      <c r="F1095" s="109">
        <f ca="1">IF(VLOOKUP($C1086,Facilities,5,FALSE)="Eligible", F1092*ApprenticeshipBonus, 0 )</f>
        <v>0</v>
      </c>
      <c r="G1095" s="109">
        <f ca="1">IF(VLOOKUP($C1086,Facilities,5,FALSE)="Eligible", G1092*ApprenticeshipBonus, 0 )</f>
        <v>0</v>
      </c>
      <c r="H1095" s="11">
        <f ca="1">IF(VLOOKUP($C1086,Facilities,5,FALSE)="Eligible", H1092*ApprenticeshipBonus, 0 )</f>
        <v>0</v>
      </c>
      <c r="L1095" s="1" t="s">
        <v>233</v>
      </c>
      <c r="M1095" s="29" t="s">
        <v>191</v>
      </c>
      <c r="N1095" s="228" t="s">
        <v>10</v>
      </c>
    </row>
    <row r="1096" spans="1:14" ht="15" customHeight="1" x14ac:dyDescent="0.25">
      <c r="B1096" s="57" t="s">
        <v>6</v>
      </c>
      <c r="C1096" s="52"/>
      <c r="D1096" s="44">
        <f ca="1">IF(VLOOKUP($C1086,Facilities,6,FALSE)="Eligible", D1092, 0 )</f>
        <v>0</v>
      </c>
      <c r="E1096" s="110">
        <f ca="1">IF(VLOOKUP($C1086,Facilities,6,FALSE)="Eligible", E1092, 0 )</f>
        <v>0</v>
      </c>
      <c r="F1096" s="110">
        <f ca="1">IF(VLOOKUP($C1086,Facilities,6,FALSE)="Eligible", F1092, 0 )</f>
        <v>0</v>
      </c>
      <c r="G1096" s="110">
        <f ca="1">IF(VLOOKUP($C1086,Facilities,6,FALSE)="Eligible", G1092, 0 )</f>
        <v>0</v>
      </c>
      <c r="H1096" s="45">
        <f ca="1">IF(VLOOKUP($C1086,Facilities,6,FALSE)="Eligible", H1092, 0 )</f>
        <v>0</v>
      </c>
      <c r="L1096" s="1" t="s">
        <v>233</v>
      </c>
      <c r="M1096" s="29" t="s">
        <v>191</v>
      </c>
      <c r="N1096" s="228" t="s">
        <v>6</v>
      </c>
    </row>
    <row r="1097" spans="1:14" ht="15" customHeight="1" x14ac:dyDescent="0.25">
      <c r="B1097" s="56" t="s">
        <v>121</v>
      </c>
      <c r="C1097" s="55"/>
      <c r="D1097" s="37">
        <f ca="1">SUM(D1095:D1096)</f>
        <v>0</v>
      </c>
      <c r="E1097" s="37">
        <f ca="1">SUM(E1095:E1096)</f>
        <v>0</v>
      </c>
      <c r="F1097" s="37">
        <f ca="1">SUM(F1095:F1096)</f>
        <v>0</v>
      </c>
      <c r="G1097" s="37">
        <f ca="1">SUM(G1095:G1096)</f>
        <v>0</v>
      </c>
      <c r="H1097" s="37">
        <f ca="1">SUM(H1095:H1096)</f>
        <v>0</v>
      </c>
      <c r="L1097" s="1" t="s">
        <v>233</v>
      </c>
      <c r="M1097" s="29" t="s">
        <v>191</v>
      </c>
      <c r="N1097" s="228" t="s">
        <v>121</v>
      </c>
    </row>
    <row r="1098" spans="1:14" ht="15" customHeight="1" x14ac:dyDescent="0.25">
      <c r="B1098" s="29"/>
      <c r="C1098" s="29"/>
      <c r="D1098" s="30"/>
      <c r="E1098" s="30"/>
      <c r="F1098" s="30"/>
      <c r="G1098" s="169"/>
      <c r="H1098" s="30"/>
      <c r="L1098" s="1" t="s">
        <v>233</v>
      </c>
      <c r="M1098" s="29" t="s">
        <v>191</v>
      </c>
    </row>
    <row r="1099" spans="1:14" ht="18.75" customHeight="1" x14ac:dyDescent="0.3">
      <c r="A1099" s="38" t="s">
        <v>30</v>
      </c>
      <c r="C1099" s="29"/>
      <c r="D1099" s="2">
        <f>StartYear</f>
        <v>2017</v>
      </c>
      <c r="E1099" s="2">
        <f>D1099+1</f>
        <v>2018</v>
      </c>
      <c r="F1099" s="2">
        <f>E1099+1</f>
        <v>2019</v>
      </c>
      <c r="G1099" s="2">
        <f>F1099+1</f>
        <v>2020</v>
      </c>
      <c r="H1099" s="2">
        <f>G1099+1</f>
        <v>2021</v>
      </c>
      <c r="L1099" s="1" t="s">
        <v>233</v>
      </c>
      <c r="M1099" s="29" t="s">
        <v>191</v>
      </c>
      <c r="N1099" s="228" t="s">
        <v>30</v>
      </c>
    </row>
    <row r="1100" spans="1:14" ht="15" customHeight="1" x14ac:dyDescent="0.25">
      <c r="B1100" s="57" t="s">
        <v>47</v>
      </c>
      <c r="C1100" s="52"/>
      <c r="D1100" s="3"/>
      <c r="E1100" s="3"/>
      <c r="F1100" s="3"/>
      <c r="G1100" s="3"/>
      <c r="H1100" s="4"/>
      <c r="L1100" s="1" t="s">
        <v>233</v>
      </c>
      <c r="M1100" s="29" t="s">
        <v>191</v>
      </c>
      <c r="N1100" s="228" t="s">
        <v>47</v>
      </c>
    </row>
    <row r="1101" spans="1:14" ht="15" customHeight="1" x14ac:dyDescent="0.25">
      <c r="B1101" s="58" t="s">
        <v>23</v>
      </c>
      <c r="C1101" s="59"/>
      <c r="D1101" s="137"/>
      <c r="E1101" s="137"/>
      <c r="F1101" s="137"/>
      <c r="G1101" s="137"/>
      <c r="H1101" s="138"/>
      <c r="L1101" s="1" t="s">
        <v>233</v>
      </c>
      <c r="M1101" s="29" t="s">
        <v>191</v>
      </c>
      <c r="N1101" s="228" t="s">
        <v>23</v>
      </c>
    </row>
    <row r="1102" spans="1:14" ht="15" customHeight="1" x14ac:dyDescent="0.25">
      <c r="B1102" s="68" t="s">
        <v>89</v>
      </c>
      <c r="C1102" s="67"/>
      <c r="D1102" s="191"/>
      <c r="E1102" s="139"/>
      <c r="F1102" s="139"/>
      <c r="G1102" s="139"/>
      <c r="H1102" s="140"/>
      <c r="L1102" s="1" t="s">
        <v>233</v>
      </c>
      <c r="M1102" s="29" t="s">
        <v>191</v>
      </c>
      <c r="N1102" s="228" t="s">
        <v>89</v>
      </c>
    </row>
    <row r="1103" spans="1:14" ht="15" customHeight="1" x14ac:dyDescent="0.25">
      <c r="B1103" s="32" t="s">
        <v>90</v>
      </c>
      <c r="D1103" s="6">
        <f>SUM(D1100:D1102)</f>
        <v>0</v>
      </c>
      <c r="E1103" s="6">
        <f>SUM(E1100:E1102)</f>
        <v>0</v>
      </c>
      <c r="F1103" s="6">
        <f>SUM(F1100:F1102)</f>
        <v>0</v>
      </c>
      <c r="G1103" s="6">
        <f>SUM(G1100:G1102)</f>
        <v>0</v>
      </c>
      <c r="H1103" s="6">
        <f>SUM(H1100:H1102)</f>
        <v>0</v>
      </c>
      <c r="L1103" s="1" t="s">
        <v>233</v>
      </c>
      <c r="M1103" s="29" t="s">
        <v>191</v>
      </c>
      <c r="N1103" s="228" t="s">
        <v>90</v>
      </c>
    </row>
    <row r="1104" spans="1:14" ht="15" customHeight="1" x14ac:dyDescent="0.25">
      <c r="B1104" s="5"/>
      <c r="D1104" s="6"/>
      <c r="E1104" s="6"/>
      <c r="F1104" s="6"/>
      <c r="G1104" s="167"/>
      <c r="H1104" s="6"/>
      <c r="L1104" s="1" t="s">
        <v>233</v>
      </c>
      <c r="M1104" s="29" t="s">
        <v>191</v>
      </c>
    </row>
    <row r="1105" spans="1:14" ht="18.75" customHeight="1" x14ac:dyDescent="0.3">
      <c r="A1105" s="8" t="s">
        <v>100</v>
      </c>
      <c r="D1105" s="2">
        <f>StartYear</f>
        <v>2017</v>
      </c>
      <c r="E1105" s="2">
        <f>D1105+1</f>
        <v>2018</v>
      </c>
      <c r="F1105" s="2">
        <f>E1105+1</f>
        <v>2019</v>
      </c>
      <c r="G1105" s="2">
        <f>F1105+1</f>
        <v>2020</v>
      </c>
      <c r="H1105" s="2">
        <f>G1105+1</f>
        <v>2021</v>
      </c>
      <c r="L1105" s="1" t="s">
        <v>233</v>
      </c>
      <c r="M1105" s="29" t="s">
        <v>191</v>
      </c>
      <c r="N1105" s="228" t="s">
        <v>100</v>
      </c>
    </row>
    <row r="1106" spans="1:14" ht="15" customHeight="1" x14ac:dyDescent="0.25">
      <c r="B1106" s="57" t="str">
        <f>(StartYear-1) &amp; " Surplus Applied to " &amp; StartYear</f>
        <v>2016 Surplus Applied to 2017</v>
      </c>
      <c r="C1106" s="29"/>
      <c r="D1106" s="186">
        <v>0</v>
      </c>
      <c r="E1106" s="187"/>
      <c r="F1106" s="187"/>
      <c r="G1106" s="187"/>
      <c r="H1106" s="188"/>
      <c r="L1106" s="1" t="s">
        <v>233</v>
      </c>
      <c r="M1106" s="29" t="s">
        <v>191</v>
      </c>
      <c r="N1106" s="228" t="s">
        <v>235</v>
      </c>
    </row>
    <row r="1107" spans="1:14" ht="15" customHeight="1" x14ac:dyDescent="0.25">
      <c r="B1107" s="57" t="str">
        <f>StartYear &amp; " Surplus Applied to " &amp; (StartYear-1)</f>
        <v>2017 Surplus Applied to 2016</v>
      </c>
      <c r="C1107" s="29"/>
      <c r="D1107" s="189">
        <v>0</v>
      </c>
      <c r="E1107" s="113"/>
      <c r="F1107" s="113"/>
      <c r="G1107" s="113"/>
      <c r="H1107" s="117"/>
      <c r="L1107" s="1" t="s">
        <v>233</v>
      </c>
      <c r="M1107" s="29" t="s">
        <v>191</v>
      </c>
      <c r="N1107" s="228" t="s">
        <v>236</v>
      </c>
    </row>
    <row r="1108" spans="1:14" ht="15" customHeight="1" x14ac:dyDescent="0.25">
      <c r="B1108" s="57" t="str">
        <f>( StartYear) &amp; " Surplus Applied to " &amp; ( StartYear + 1 )</f>
        <v>2017 Surplus Applied to 2018</v>
      </c>
      <c r="C1108" s="29"/>
      <c r="D1108" s="184">
        <f ca="1">D1092+D1097-D1103</f>
        <v>0</v>
      </c>
      <c r="E1108" s="185">
        <f ca="1">D1108</f>
        <v>0</v>
      </c>
      <c r="F1108" s="181"/>
      <c r="G1108" s="181"/>
      <c r="H1108" s="182"/>
      <c r="L1108" s="1" t="s">
        <v>233</v>
      </c>
      <c r="M1108" s="29" t="s">
        <v>191</v>
      </c>
      <c r="N1108" s="228" t="s">
        <v>237</v>
      </c>
    </row>
    <row r="1109" spans="1:14" ht="15" customHeight="1" x14ac:dyDescent="0.25">
      <c r="B1109" s="57" t="str">
        <f xml:space="preserve"> ( StartYear + 1 ) &amp; " Surplus Applied to " &amp; ( StartYear )</f>
        <v>2018 Surplus Applied to 2017</v>
      </c>
      <c r="C1109" s="52"/>
      <c r="D1109" s="134">
        <v>0</v>
      </c>
      <c r="E1109" s="9">
        <v>0</v>
      </c>
      <c r="F1109" s="113"/>
      <c r="G1109" s="113"/>
      <c r="H1109" s="117"/>
      <c r="L1109" s="1" t="s">
        <v>233</v>
      </c>
      <c r="M1109" s="29" t="s">
        <v>191</v>
      </c>
      <c r="N1109" s="228" t="s">
        <v>238</v>
      </c>
    </row>
    <row r="1110" spans="1:14" ht="15" customHeight="1" x14ac:dyDescent="0.25">
      <c r="B1110" s="119" t="str">
        <f xml:space="preserve"> ( StartYear + 1 ) &amp; " Surplus Applied to " &amp; ( StartYear + 2 )</f>
        <v>2018 Surplus Applied to 2019</v>
      </c>
      <c r="C1110" s="52"/>
      <c r="D1110" s="114"/>
      <c r="E1110" s="9">
        <v>0</v>
      </c>
      <c r="F1110" s="51">
        <f>E1110</f>
        <v>0</v>
      </c>
      <c r="G1110" s="113"/>
      <c r="H1110" s="117"/>
      <c r="L1110" s="1" t="s">
        <v>233</v>
      </c>
      <c r="M1110" s="29" t="s">
        <v>191</v>
      </c>
      <c r="N1110" s="228" t="s">
        <v>239</v>
      </c>
    </row>
    <row r="1111" spans="1:14" ht="15" customHeight="1" x14ac:dyDescent="0.25">
      <c r="B1111" s="119" t="str">
        <f xml:space="preserve"> ( StartYear + 2 ) &amp; " Surplus Applied to " &amp; ( StartYear + 1 )</f>
        <v>2019 Surplus Applied to 2018</v>
      </c>
      <c r="C1111" s="52"/>
      <c r="D1111" s="114"/>
      <c r="E1111" s="51">
        <v>0</v>
      </c>
      <c r="F1111" s="9">
        <v>0</v>
      </c>
      <c r="G1111" s="113"/>
      <c r="H1111" s="117"/>
      <c r="L1111" s="1" t="s">
        <v>233</v>
      </c>
      <c r="M1111" s="29" t="s">
        <v>191</v>
      </c>
      <c r="N1111" s="228" t="s">
        <v>240</v>
      </c>
    </row>
    <row r="1112" spans="1:14" ht="15" customHeight="1" x14ac:dyDescent="0.25">
      <c r="B1112" s="165" t="str">
        <f xml:space="preserve"> ( StartYear + 2 ) &amp; " Surplus Applied to " &amp; ( StartYear + 3 )</f>
        <v>2019 Surplus Applied to 2020</v>
      </c>
      <c r="C1112" s="29"/>
      <c r="D1112" s="114"/>
      <c r="E1112" s="113"/>
      <c r="F1112" s="9">
        <v>49724</v>
      </c>
      <c r="G1112" s="51">
        <f>F1112</f>
        <v>49724</v>
      </c>
      <c r="H1112" s="117"/>
      <c r="L1112" s="1" t="s">
        <v>233</v>
      </c>
      <c r="M1112" s="29" t="s">
        <v>191</v>
      </c>
      <c r="N1112" s="228" t="s">
        <v>241</v>
      </c>
    </row>
    <row r="1113" spans="1:14" ht="15" customHeight="1" x14ac:dyDescent="0.25">
      <c r="B1113" s="165" t="str">
        <f xml:space="preserve"> ( StartYear + 3 ) &amp; " Surplus Applied to " &amp; ( StartYear + 2 )</f>
        <v>2020 Surplus Applied to 2019</v>
      </c>
      <c r="C1113" s="29"/>
      <c r="D1113" s="114"/>
      <c r="E1113" s="113"/>
      <c r="F1113" s="51">
        <v>0</v>
      </c>
      <c r="G1113" s="9">
        <v>0</v>
      </c>
      <c r="H1113" s="117"/>
      <c r="L1113" s="1" t="s">
        <v>233</v>
      </c>
      <c r="M1113" s="29" t="s">
        <v>191</v>
      </c>
      <c r="N1113" s="228" t="s">
        <v>242</v>
      </c>
    </row>
    <row r="1114" spans="1:14" ht="15" customHeight="1" x14ac:dyDescent="0.25">
      <c r="B1114" s="165" t="str">
        <f xml:space="preserve"> ( StartYear + 3 ) &amp; " Surplus Applied to " &amp; ( StartYear + 4 )</f>
        <v>2020 Surplus Applied to 2021</v>
      </c>
      <c r="C1114" s="29"/>
      <c r="D1114" s="114"/>
      <c r="E1114" s="113"/>
      <c r="F1114" s="113"/>
      <c r="G1114" s="9">
        <f ca="1">G1092+G1097-G1103</f>
        <v>0</v>
      </c>
      <c r="H1114" s="46">
        <f ca="1">G1114</f>
        <v>0</v>
      </c>
      <c r="L1114" s="1" t="s">
        <v>233</v>
      </c>
      <c r="M1114" s="29" t="s">
        <v>191</v>
      </c>
      <c r="N1114" s="228" t="s">
        <v>243</v>
      </c>
    </row>
    <row r="1115" spans="1:14" ht="15" customHeight="1" x14ac:dyDescent="0.25">
      <c r="B1115" s="165" t="str">
        <f xml:space="preserve"> ( StartYear + 4 ) &amp; " Surplus Applied to " &amp; ( StartYear + 3 )</f>
        <v>2021 Surplus Applied to 2020</v>
      </c>
      <c r="C1115" s="29"/>
      <c r="D1115" s="115"/>
      <c r="E1115" s="116"/>
      <c r="F1115" s="116"/>
      <c r="G1115" s="47">
        <v>0</v>
      </c>
      <c r="H1115" s="41">
        <v>0</v>
      </c>
      <c r="L1115" s="1" t="s">
        <v>233</v>
      </c>
      <c r="M1115" s="29" t="s">
        <v>191</v>
      </c>
      <c r="N1115" s="228" t="s">
        <v>244</v>
      </c>
    </row>
    <row r="1116" spans="1:14" ht="15" customHeight="1" x14ac:dyDescent="0.25">
      <c r="B1116" s="32" t="s">
        <v>17</v>
      </c>
      <c r="D1116" s="6">
        <f ca="1">D1106-D1107+D1109-D1108</f>
        <v>0</v>
      </c>
      <c r="E1116" s="6">
        <f ca="1">E1108+E1111-E1109-E1110</f>
        <v>0</v>
      </c>
      <c r="F1116" s="6">
        <f>F1110+F1113-F1111-F1112</f>
        <v>-49724</v>
      </c>
      <c r="G1116" s="6">
        <f ca="1">G1112+G1115-G1113-G1114</f>
        <v>49724</v>
      </c>
      <c r="H1116" s="6">
        <f ca="1">H1114 - H1115</f>
        <v>0</v>
      </c>
      <c r="L1116" s="1" t="s">
        <v>233</v>
      </c>
      <c r="M1116" s="29" t="s">
        <v>191</v>
      </c>
      <c r="N1116" s="228" t="s">
        <v>17</v>
      </c>
    </row>
    <row r="1117" spans="1:14" ht="15" customHeight="1" x14ac:dyDescent="0.25">
      <c r="B1117" s="5"/>
      <c r="D1117" s="6"/>
      <c r="E1117" s="6"/>
      <c r="F1117" s="6"/>
      <c r="G1117" s="6"/>
      <c r="H1117" s="6"/>
      <c r="L1117" s="1" t="s">
        <v>233</v>
      </c>
      <c r="M1117" s="29" t="s">
        <v>191</v>
      </c>
    </row>
    <row r="1118" spans="1:14" ht="15" customHeight="1" x14ac:dyDescent="0.25">
      <c r="B1118" s="54" t="s">
        <v>12</v>
      </c>
      <c r="C1118" s="52"/>
      <c r="D1118" s="75"/>
      <c r="E1118" s="111"/>
      <c r="F1118" s="111"/>
      <c r="G1118" s="111"/>
      <c r="H1118" s="76"/>
      <c r="L1118" s="1" t="s">
        <v>233</v>
      </c>
      <c r="M1118" s="29" t="s">
        <v>191</v>
      </c>
      <c r="N1118" s="228" t="s">
        <v>12</v>
      </c>
    </row>
    <row r="1119" spans="1:14" ht="15" customHeight="1" x14ac:dyDescent="0.25">
      <c r="B1119" s="5"/>
      <c r="D1119" s="6"/>
      <c r="E1119" s="6"/>
      <c r="F1119" s="6"/>
      <c r="G1119" s="6"/>
      <c r="H1119" s="6"/>
      <c r="L1119" s="1" t="s">
        <v>233</v>
      </c>
      <c r="M1119" s="29" t="s">
        <v>191</v>
      </c>
    </row>
    <row r="1120" spans="1:14" ht="18.75" customHeight="1" x14ac:dyDescent="0.3">
      <c r="A1120" s="38" t="s">
        <v>26</v>
      </c>
      <c r="C1120" s="52">
        <f>A1086</f>
        <v>28</v>
      </c>
      <c r="D1120" s="112">
        <f ca="1" xml:space="preserve"> D1092 + D1097 - D1103 + D1116 + D1118</f>
        <v>0</v>
      </c>
      <c r="E1120" s="112">
        <f ca="1" xml:space="preserve"> E1092 + E1097 - E1103 + E1116 + E1118</f>
        <v>0</v>
      </c>
      <c r="F1120" s="112">
        <f ca="1" xml:space="preserve"> F1092 + F1097 - F1103 + F1116 + F1118</f>
        <v>0</v>
      </c>
      <c r="G1120" s="112">
        <f ca="1" xml:space="preserve"> G1092 + G1097 - G1103 + G1116 + G1118</f>
        <v>49724</v>
      </c>
      <c r="H1120" s="174">
        <f ca="1" xml:space="preserve"> H1092 + H1097 - H1103 + H1116 + H1118</f>
        <v>0</v>
      </c>
      <c r="L1120" s="1" t="s">
        <v>233</v>
      </c>
      <c r="M1120" s="29" t="s">
        <v>191</v>
      </c>
      <c r="N1120" s="228" t="s">
        <v>26</v>
      </c>
    </row>
    <row r="1121" spans="1:14" ht="15" customHeight="1" x14ac:dyDescent="0.25">
      <c r="B1121" s="5"/>
      <c r="C1121" s="108" t="s">
        <v>158</v>
      </c>
      <c r="D1121" s="6"/>
      <c r="E1121" s="6"/>
      <c r="F1121" s="28"/>
      <c r="G1121" s="28"/>
      <c r="H1121" s="28"/>
      <c r="L1121" s="1" t="s">
        <v>233</v>
      </c>
      <c r="M1121" s="29" t="s">
        <v>191</v>
      </c>
      <c r="N1121" s="228" t="s">
        <v>158</v>
      </c>
    </row>
    <row r="1122" spans="1:14" ht="15.75" customHeight="1" thickBot="1" x14ac:dyDescent="0.3">
      <c r="L1122" s="1" t="s">
        <v>233</v>
      </c>
      <c r="M1122" s="29" t="s">
        <v>191</v>
      </c>
    </row>
    <row r="1123" spans="1:14" ht="15" customHeight="1" x14ac:dyDescent="0.25">
      <c r="A1123" s="7"/>
      <c r="B1123" s="7"/>
      <c r="C1123" s="7"/>
      <c r="D1123" s="170"/>
      <c r="E1123" s="7"/>
      <c r="F1123" s="7"/>
      <c r="G1123" s="7"/>
      <c r="H1123" s="7"/>
      <c r="L1123" s="1" t="s">
        <v>233</v>
      </c>
      <c r="M1123" s="29" t="s">
        <v>191</v>
      </c>
    </row>
    <row r="1124" spans="1:14" ht="21" customHeight="1" x14ac:dyDescent="0.35">
      <c r="A1124" s="12">
        <f>MAX(A$1:A1123)+1</f>
        <v>29</v>
      </c>
      <c r="B1124" s="12"/>
      <c r="C1124" s="214" t="str">
        <f ca="1">OFFSET($B$4,A1124-1,0)</f>
        <v>Mountain Air Wind Projects - Mountain Air Wind Projects</v>
      </c>
      <c r="D1124" s="215"/>
      <c r="E1124" s="216"/>
      <c r="F1124" s="216"/>
      <c r="G1124" s="217"/>
      <c r="H1124" s="218"/>
      <c r="L1124" s="1" t="s">
        <v>233</v>
      </c>
      <c r="M1124" s="29" t="s">
        <v>192</v>
      </c>
      <c r="N1124" s="228">
        <v>31</v>
      </c>
    </row>
    <row r="1125" spans="1:14" ht="15" customHeight="1" x14ac:dyDescent="0.25">
      <c r="C1125" s="1" t="str">
        <f ca="1">VLOOKUP(C1124,Facilities,3,FALSE)</f>
        <v>REC only</v>
      </c>
      <c r="L1125" s="1" t="s">
        <v>233</v>
      </c>
      <c r="M1125" s="29" t="s">
        <v>192</v>
      </c>
      <c r="N1125" s="228" t="s">
        <v>181</v>
      </c>
    </row>
    <row r="1126" spans="1:14" ht="18.75" customHeight="1" x14ac:dyDescent="0.3">
      <c r="A1126" s="8" t="s">
        <v>21</v>
      </c>
      <c r="B1126" s="8"/>
      <c r="D1126" s="118">
        <f>StartYear</f>
        <v>2017</v>
      </c>
      <c r="E1126" s="2">
        <f>D1126+1</f>
        <v>2018</v>
      </c>
      <c r="F1126" s="2">
        <f>E1126+1</f>
        <v>2019</v>
      </c>
      <c r="G1126" s="2">
        <f>F1126+1</f>
        <v>2020</v>
      </c>
      <c r="H1126" s="2">
        <f>G1126+1</f>
        <v>2021</v>
      </c>
      <c r="L1126" s="1" t="s">
        <v>233</v>
      </c>
      <c r="M1126" s="29" t="s">
        <v>192</v>
      </c>
      <c r="N1126" s="228" t="s">
        <v>21</v>
      </c>
    </row>
    <row r="1127" spans="1:14" ht="15" customHeight="1" x14ac:dyDescent="0.25">
      <c r="B1127" s="119" t="str">
        <f ca="1">IF(C1163&lt;&gt;"REC only","Total MWh ","")&amp;IF(C1125="PSE owned","Produced","Purchased")&amp;" from "&amp;C1124</f>
        <v>Purchased from Mountain Air Wind Projects - Mountain Air Wind Projects</v>
      </c>
      <c r="C1127" s="52"/>
      <c r="D1127" s="3"/>
      <c r="E1127" s="3"/>
      <c r="F1127" s="3">
        <v>681</v>
      </c>
      <c r="G1127" s="3">
        <v>25000</v>
      </c>
      <c r="H1127" s="4"/>
      <c r="L1127" s="1" t="s">
        <v>233</v>
      </c>
      <c r="M1127" s="29" t="s">
        <v>192</v>
      </c>
      <c r="N1127" s="228" t="s">
        <v>272</v>
      </c>
    </row>
    <row r="1128" spans="1:14" ht="15" customHeight="1" x14ac:dyDescent="0.25">
      <c r="B1128" s="57" t="s">
        <v>25</v>
      </c>
      <c r="C1128" s="52"/>
      <c r="D1128" s="132"/>
      <c r="E1128" s="132"/>
      <c r="F1128" s="132">
        <v>1</v>
      </c>
      <c r="G1128" s="132">
        <v>1</v>
      </c>
      <c r="H1128" s="133"/>
      <c r="L1128" s="1" t="s">
        <v>233</v>
      </c>
      <c r="M1128" s="29" t="s">
        <v>192</v>
      </c>
      <c r="N1128" s="228" t="s">
        <v>25</v>
      </c>
    </row>
    <row r="1129" spans="1:14" ht="15" customHeight="1" x14ac:dyDescent="0.25">
      <c r="B1129" s="57" t="s">
        <v>20</v>
      </c>
      <c r="C1129" s="52"/>
      <c r="D1129" s="42"/>
      <c r="E1129" s="42"/>
      <c r="F1129" s="42">
        <v>1</v>
      </c>
      <c r="G1129" s="42">
        <v>1</v>
      </c>
      <c r="H1129" s="43"/>
      <c r="L1129" s="1" t="s">
        <v>233</v>
      </c>
      <c r="M1129" s="29" t="s">
        <v>192</v>
      </c>
      <c r="N1129" s="228" t="s">
        <v>20</v>
      </c>
    </row>
    <row r="1130" spans="1:14" ht="15" customHeight="1" x14ac:dyDescent="0.25">
      <c r="B1130" s="54" t="s">
        <v>22</v>
      </c>
      <c r="C1130" s="55"/>
      <c r="D1130" s="131">
        <f xml:space="preserve"> D1127 * D1128 * D1129</f>
        <v>0</v>
      </c>
      <c r="E1130" s="131">
        <f xml:space="preserve"> E1127 * E1128 * E1129</f>
        <v>0</v>
      </c>
      <c r="F1130" s="131">
        <f xml:space="preserve"> ROUNDDOWN(F1127 * F1128 * F1129,0)</f>
        <v>681</v>
      </c>
      <c r="G1130" s="131">
        <f xml:space="preserve"> ROUNDDOWN(G1127 * G1128 * G1129,0)</f>
        <v>25000</v>
      </c>
      <c r="H1130" s="131">
        <f xml:space="preserve"> ROUNDDOWN(H1127 * H1128 * H1129,0)</f>
        <v>0</v>
      </c>
      <c r="L1130" s="1" t="s">
        <v>233</v>
      </c>
      <c r="M1130" s="29" t="s">
        <v>192</v>
      </c>
      <c r="N1130" s="228" t="s">
        <v>22</v>
      </c>
    </row>
    <row r="1131" spans="1:14" ht="15" customHeight="1" x14ac:dyDescent="0.25">
      <c r="B1131" s="22"/>
      <c r="C1131" s="29"/>
      <c r="D1131" s="36"/>
      <c r="E1131" s="36"/>
      <c r="F1131" s="36"/>
      <c r="G1131" s="167"/>
      <c r="H1131" s="36"/>
      <c r="L1131" s="1" t="s">
        <v>233</v>
      </c>
      <c r="M1131" s="29" t="s">
        <v>192</v>
      </c>
    </row>
    <row r="1132" spans="1:14" ht="18.75" customHeight="1" x14ac:dyDescent="0.3">
      <c r="A1132" s="39" t="s">
        <v>119</v>
      </c>
      <c r="C1132" s="29"/>
      <c r="D1132" s="2">
        <f>StartYear</f>
        <v>2017</v>
      </c>
      <c r="E1132" s="2">
        <f>D1132+1</f>
        <v>2018</v>
      </c>
      <c r="F1132" s="2">
        <f>E1132+1</f>
        <v>2019</v>
      </c>
      <c r="G1132" s="2">
        <f>F1132+1</f>
        <v>2020</v>
      </c>
      <c r="H1132" s="2">
        <f>G1132+1</f>
        <v>2021</v>
      </c>
      <c r="L1132" s="1" t="s">
        <v>233</v>
      </c>
      <c r="M1132" s="29" t="s">
        <v>192</v>
      </c>
      <c r="N1132" s="228" t="s">
        <v>119</v>
      </c>
    </row>
    <row r="1133" spans="1:14" x14ac:dyDescent="0.25">
      <c r="B1133" s="57" t="s">
        <v>10</v>
      </c>
      <c r="C1133" s="52"/>
      <c r="D1133" s="10">
        <f ca="1">IF(VLOOKUP($C1124,Facilities,5,FALSE)="Eligible", D1130*ApprenticeshipBonus, 0 )</f>
        <v>0</v>
      </c>
      <c r="E1133" s="109">
        <f ca="1">IF(VLOOKUP($C1124,Facilities,5,FALSE)="Eligible", E1130*ApprenticeshipBonus, 0 )</f>
        <v>0</v>
      </c>
      <c r="F1133" s="109">
        <f ca="1">IF(VLOOKUP($C1124,Facilities,5,FALSE)="Eligible", F1130*ApprenticeshipBonus, 0 )</f>
        <v>0</v>
      </c>
      <c r="G1133" s="109">
        <f ca="1">IF(VLOOKUP($C1124,Facilities,5,FALSE)="Eligible", G1130*ApprenticeshipBonus, 0 )</f>
        <v>0</v>
      </c>
      <c r="H1133" s="11">
        <f ca="1">IF(VLOOKUP($C1124,Facilities,5,FALSE)="Eligible", H1130*ApprenticeshipBonus, 0 )</f>
        <v>0</v>
      </c>
      <c r="L1133" s="1" t="s">
        <v>233</v>
      </c>
      <c r="M1133" s="29" t="s">
        <v>192</v>
      </c>
      <c r="N1133" s="228" t="s">
        <v>10</v>
      </c>
    </row>
    <row r="1134" spans="1:14" ht="15" customHeight="1" x14ac:dyDescent="0.25">
      <c r="B1134" s="57" t="s">
        <v>6</v>
      </c>
      <c r="C1134" s="52"/>
      <c r="D1134" s="44">
        <f ca="1">IF(VLOOKUP($C1124,Facilities,6,FALSE)="Eligible", D1130, 0 )</f>
        <v>0</v>
      </c>
      <c r="E1134" s="110">
        <f ca="1">IF(VLOOKUP($C1124,Facilities,6,FALSE)="Eligible", E1130, 0 )</f>
        <v>0</v>
      </c>
      <c r="F1134" s="110">
        <f ca="1">IF(VLOOKUP($C1124,Facilities,6,FALSE)="Eligible", F1130, 0 )</f>
        <v>0</v>
      </c>
      <c r="G1134" s="110">
        <f ca="1">IF(VLOOKUP($C1124,Facilities,6,FALSE)="Eligible", G1130, 0 )</f>
        <v>0</v>
      </c>
      <c r="H1134" s="45">
        <f ca="1">IF(VLOOKUP($C1124,Facilities,6,FALSE)="Eligible", H1130, 0 )</f>
        <v>0</v>
      </c>
      <c r="L1134" s="1" t="s">
        <v>233</v>
      </c>
      <c r="M1134" s="29" t="s">
        <v>192</v>
      </c>
      <c r="N1134" s="228" t="s">
        <v>6</v>
      </c>
    </row>
    <row r="1135" spans="1:14" ht="15" customHeight="1" x14ac:dyDescent="0.25">
      <c r="B1135" s="56" t="s">
        <v>121</v>
      </c>
      <c r="C1135" s="55"/>
      <c r="D1135" s="37">
        <f ca="1">SUM(D1133:D1134)</f>
        <v>0</v>
      </c>
      <c r="E1135" s="37">
        <f ca="1">SUM(E1133:E1134)</f>
        <v>0</v>
      </c>
      <c r="F1135" s="37">
        <f ca="1">SUM(F1133:F1134)</f>
        <v>0</v>
      </c>
      <c r="G1135" s="37">
        <f ca="1">SUM(G1133:G1134)</f>
        <v>0</v>
      </c>
      <c r="H1135" s="37">
        <f ca="1">SUM(H1133:H1134)</f>
        <v>0</v>
      </c>
      <c r="L1135" s="1" t="s">
        <v>233</v>
      </c>
      <c r="M1135" s="29" t="s">
        <v>192</v>
      </c>
      <c r="N1135" s="228" t="s">
        <v>121</v>
      </c>
    </row>
    <row r="1136" spans="1:14" ht="15" customHeight="1" x14ac:dyDescent="0.25">
      <c r="B1136" s="29"/>
      <c r="C1136" s="29"/>
      <c r="D1136" s="30"/>
      <c r="E1136" s="30"/>
      <c r="F1136" s="30"/>
      <c r="G1136" s="169"/>
      <c r="H1136" s="30"/>
      <c r="L1136" s="1" t="s">
        <v>233</v>
      </c>
      <c r="M1136" s="29" t="s">
        <v>192</v>
      </c>
    </row>
    <row r="1137" spans="1:14" ht="18.75" customHeight="1" x14ac:dyDescent="0.3">
      <c r="A1137" s="38" t="s">
        <v>30</v>
      </c>
      <c r="C1137" s="29"/>
      <c r="D1137" s="2">
        <f>StartYear</f>
        <v>2017</v>
      </c>
      <c r="E1137" s="2">
        <f>D1137+1</f>
        <v>2018</v>
      </c>
      <c r="F1137" s="2">
        <f>E1137+1</f>
        <v>2019</v>
      </c>
      <c r="G1137" s="2">
        <f>F1137+1</f>
        <v>2020</v>
      </c>
      <c r="H1137" s="2">
        <f>G1137+1</f>
        <v>2021</v>
      </c>
      <c r="L1137" s="1" t="s">
        <v>233</v>
      </c>
      <c r="M1137" s="29" t="s">
        <v>192</v>
      </c>
      <c r="N1137" s="228" t="s">
        <v>30</v>
      </c>
    </row>
    <row r="1138" spans="1:14" ht="15" customHeight="1" x14ac:dyDescent="0.25">
      <c r="B1138" s="57" t="s">
        <v>47</v>
      </c>
      <c r="C1138" s="52"/>
      <c r="D1138" s="3"/>
      <c r="E1138" s="3"/>
      <c r="F1138" s="3"/>
      <c r="G1138" s="3"/>
      <c r="H1138" s="4"/>
      <c r="L1138" s="1" t="s">
        <v>233</v>
      </c>
      <c r="M1138" s="29" t="s">
        <v>192</v>
      </c>
      <c r="N1138" s="228" t="s">
        <v>47</v>
      </c>
    </row>
    <row r="1139" spans="1:14" ht="15" customHeight="1" x14ac:dyDescent="0.25">
      <c r="B1139" s="58" t="s">
        <v>23</v>
      </c>
      <c r="C1139" s="59"/>
      <c r="D1139" s="137"/>
      <c r="E1139" s="137"/>
      <c r="F1139" s="137"/>
      <c r="G1139" s="137"/>
      <c r="H1139" s="138"/>
      <c r="L1139" s="1" t="s">
        <v>233</v>
      </c>
      <c r="M1139" s="29" t="s">
        <v>192</v>
      </c>
      <c r="N1139" s="228" t="s">
        <v>23</v>
      </c>
    </row>
    <row r="1140" spans="1:14" ht="15" customHeight="1" x14ac:dyDescent="0.25">
      <c r="B1140" s="68" t="s">
        <v>89</v>
      </c>
      <c r="C1140" s="67"/>
      <c r="D1140" s="191"/>
      <c r="E1140" s="139"/>
      <c r="F1140" s="139"/>
      <c r="G1140" s="139"/>
      <c r="H1140" s="140"/>
      <c r="L1140" s="1" t="s">
        <v>233</v>
      </c>
      <c r="M1140" s="29" t="s">
        <v>192</v>
      </c>
      <c r="N1140" s="228" t="s">
        <v>89</v>
      </c>
    </row>
    <row r="1141" spans="1:14" ht="15" customHeight="1" x14ac:dyDescent="0.25">
      <c r="B1141" s="32" t="s">
        <v>90</v>
      </c>
      <c r="D1141" s="6">
        <f>SUM(D1138:D1140)</f>
        <v>0</v>
      </c>
      <c r="E1141" s="6">
        <f>SUM(E1138:E1140)</f>
        <v>0</v>
      </c>
      <c r="F1141" s="6">
        <f>SUM(F1138:F1140)</f>
        <v>0</v>
      </c>
      <c r="G1141" s="6">
        <f>SUM(G1138:G1140)</f>
        <v>0</v>
      </c>
      <c r="H1141" s="6">
        <f>SUM(H1138:H1140)</f>
        <v>0</v>
      </c>
      <c r="L1141" s="1" t="s">
        <v>233</v>
      </c>
      <c r="M1141" s="29" t="s">
        <v>192</v>
      </c>
      <c r="N1141" s="228" t="s">
        <v>90</v>
      </c>
    </row>
    <row r="1142" spans="1:14" ht="15" customHeight="1" x14ac:dyDescent="0.25">
      <c r="B1142" s="5"/>
      <c r="D1142" s="6"/>
      <c r="E1142" s="6"/>
      <c r="F1142" s="6"/>
      <c r="G1142" s="167"/>
      <c r="H1142" s="6"/>
      <c r="L1142" s="1" t="s">
        <v>233</v>
      </c>
      <c r="M1142" s="29" t="s">
        <v>192</v>
      </c>
    </row>
    <row r="1143" spans="1:14" ht="18.75" customHeight="1" x14ac:dyDescent="0.3">
      <c r="A1143" s="8" t="s">
        <v>100</v>
      </c>
      <c r="D1143" s="2">
        <f>StartYear</f>
        <v>2017</v>
      </c>
      <c r="E1143" s="2">
        <f>D1143+1</f>
        <v>2018</v>
      </c>
      <c r="F1143" s="2">
        <f>E1143+1</f>
        <v>2019</v>
      </c>
      <c r="G1143" s="2">
        <f>F1143+1</f>
        <v>2020</v>
      </c>
      <c r="H1143" s="2">
        <f>G1143+1</f>
        <v>2021</v>
      </c>
      <c r="L1143" s="1" t="s">
        <v>233</v>
      </c>
      <c r="M1143" s="29" t="s">
        <v>192</v>
      </c>
      <c r="N1143" s="228" t="s">
        <v>100</v>
      </c>
    </row>
    <row r="1144" spans="1:14" ht="15" customHeight="1" x14ac:dyDescent="0.25">
      <c r="B1144" s="57" t="str">
        <f>(StartYear-1) &amp; " Surplus Applied to " &amp; StartYear</f>
        <v>2016 Surplus Applied to 2017</v>
      </c>
      <c r="C1144" s="29"/>
      <c r="D1144" s="186">
        <v>0</v>
      </c>
      <c r="E1144" s="187"/>
      <c r="F1144" s="187"/>
      <c r="G1144" s="187"/>
      <c r="H1144" s="188"/>
      <c r="L1144" s="1" t="s">
        <v>233</v>
      </c>
      <c r="M1144" s="29" t="s">
        <v>192</v>
      </c>
      <c r="N1144" s="228" t="s">
        <v>235</v>
      </c>
    </row>
    <row r="1145" spans="1:14" ht="15" customHeight="1" x14ac:dyDescent="0.25">
      <c r="B1145" s="57" t="str">
        <f>StartYear &amp; " Surplus Applied to " &amp; (StartYear-1)</f>
        <v>2017 Surplus Applied to 2016</v>
      </c>
      <c r="C1145" s="29"/>
      <c r="D1145" s="189">
        <v>0</v>
      </c>
      <c r="E1145" s="113"/>
      <c r="F1145" s="113"/>
      <c r="G1145" s="113"/>
      <c r="H1145" s="117"/>
      <c r="L1145" s="1" t="s">
        <v>233</v>
      </c>
      <c r="M1145" s="29" t="s">
        <v>192</v>
      </c>
      <c r="N1145" s="228" t="s">
        <v>236</v>
      </c>
    </row>
    <row r="1146" spans="1:14" ht="15" customHeight="1" x14ac:dyDescent="0.25">
      <c r="B1146" s="57" t="str">
        <f>( StartYear) &amp; " Surplus Applied to " &amp; ( StartYear + 1 )</f>
        <v>2017 Surplus Applied to 2018</v>
      </c>
      <c r="C1146" s="29"/>
      <c r="D1146" s="184">
        <f ca="1">D1130+D1135-D1141</f>
        <v>0</v>
      </c>
      <c r="E1146" s="185">
        <f ca="1">D1146</f>
        <v>0</v>
      </c>
      <c r="F1146" s="181"/>
      <c r="G1146" s="181"/>
      <c r="H1146" s="182"/>
      <c r="L1146" s="1" t="s">
        <v>233</v>
      </c>
      <c r="M1146" s="29" t="s">
        <v>192</v>
      </c>
      <c r="N1146" s="228" t="s">
        <v>237</v>
      </c>
    </row>
    <row r="1147" spans="1:14" ht="15" customHeight="1" x14ac:dyDescent="0.25">
      <c r="B1147" s="57" t="str">
        <f xml:space="preserve"> ( StartYear + 1 ) &amp; " Surplus Applied to " &amp; ( StartYear )</f>
        <v>2018 Surplus Applied to 2017</v>
      </c>
      <c r="C1147" s="52"/>
      <c r="D1147" s="134">
        <v>0</v>
      </c>
      <c r="E1147" s="9">
        <v>0</v>
      </c>
      <c r="F1147" s="113"/>
      <c r="G1147" s="113"/>
      <c r="H1147" s="117"/>
      <c r="L1147" s="1" t="s">
        <v>233</v>
      </c>
      <c r="M1147" s="29" t="s">
        <v>192</v>
      </c>
      <c r="N1147" s="228" t="s">
        <v>238</v>
      </c>
    </row>
    <row r="1148" spans="1:14" ht="15" customHeight="1" x14ac:dyDescent="0.25">
      <c r="B1148" s="119" t="str">
        <f xml:space="preserve"> ( StartYear + 1 ) &amp; " Surplus Applied to " &amp; ( StartYear + 2 )</f>
        <v>2018 Surplus Applied to 2019</v>
      </c>
      <c r="C1148" s="52"/>
      <c r="D1148" s="114"/>
      <c r="E1148" s="9">
        <v>0</v>
      </c>
      <c r="F1148" s="51">
        <f>E1148</f>
        <v>0</v>
      </c>
      <c r="G1148" s="113"/>
      <c r="H1148" s="117"/>
      <c r="L1148" s="1" t="s">
        <v>233</v>
      </c>
      <c r="M1148" s="29" t="s">
        <v>192</v>
      </c>
      <c r="N1148" s="228" t="s">
        <v>239</v>
      </c>
    </row>
    <row r="1149" spans="1:14" ht="15" customHeight="1" x14ac:dyDescent="0.25">
      <c r="B1149" s="119" t="str">
        <f xml:space="preserve"> ( StartYear + 2 ) &amp; " Surplus Applied to " &amp; ( StartYear + 1 )</f>
        <v>2019 Surplus Applied to 2018</v>
      </c>
      <c r="C1149" s="52"/>
      <c r="D1149" s="114"/>
      <c r="E1149" s="51">
        <v>0</v>
      </c>
      <c r="F1149" s="9">
        <v>0</v>
      </c>
      <c r="G1149" s="113"/>
      <c r="H1149" s="117"/>
      <c r="L1149" s="1" t="s">
        <v>233</v>
      </c>
      <c r="M1149" s="29" t="s">
        <v>192</v>
      </c>
      <c r="N1149" s="228" t="s">
        <v>240</v>
      </c>
    </row>
    <row r="1150" spans="1:14" ht="15" customHeight="1" x14ac:dyDescent="0.25">
      <c r="B1150" s="165" t="str">
        <f xml:space="preserve"> ( StartYear + 2 ) &amp; " Surplus Applied to " &amp; ( StartYear + 3 )</f>
        <v>2019 Surplus Applied to 2020</v>
      </c>
      <c r="C1150" s="29"/>
      <c r="D1150" s="114"/>
      <c r="E1150" s="113"/>
      <c r="F1150" s="9">
        <v>681</v>
      </c>
      <c r="G1150" s="51">
        <f>F1150</f>
        <v>681</v>
      </c>
      <c r="H1150" s="117"/>
      <c r="L1150" s="1" t="s">
        <v>233</v>
      </c>
      <c r="M1150" s="29" t="s">
        <v>192</v>
      </c>
      <c r="N1150" s="228" t="s">
        <v>241</v>
      </c>
    </row>
    <row r="1151" spans="1:14" ht="15" customHeight="1" x14ac:dyDescent="0.25">
      <c r="B1151" s="165" t="str">
        <f xml:space="preserve"> ( StartYear + 3 ) &amp; " Surplus Applied to " &amp; ( StartYear + 2 )</f>
        <v>2020 Surplus Applied to 2019</v>
      </c>
      <c r="C1151" s="29"/>
      <c r="D1151" s="114"/>
      <c r="E1151" s="113"/>
      <c r="F1151" s="51">
        <v>0</v>
      </c>
      <c r="G1151" s="9">
        <v>0</v>
      </c>
      <c r="H1151" s="117"/>
      <c r="L1151" s="1" t="s">
        <v>233</v>
      </c>
      <c r="M1151" s="29" t="s">
        <v>192</v>
      </c>
      <c r="N1151" s="228" t="s">
        <v>242</v>
      </c>
    </row>
    <row r="1152" spans="1:14" ht="15" customHeight="1" x14ac:dyDescent="0.25">
      <c r="B1152" s="165" t="str">
        <f xml:space="preserve"> ( StartYear + 3 ) &amp; " Surplus Applied to " &amp; ( StartYear + 4 )</f>
        <v>2020 Surplus Applied to 2021</v>
      </c>
      <c r="C1152" s="29"/>
      <c r="D1152" s="114"/>
      <c r="E1152" s="113"/>
      <c r="F1152" s="113"/>
      <c r="G1152" s="9">
        <v>0</v>
      </c>
      <c r="H1152" s="46">
        <f>G1152</f>
        <v>0</v>
      </c>
      <c r="L1152" s="1" t="s">
        <v>233</v>
      </c>
      <c r="M1152" s="29" t="s">
        <v>192</v>
      </c>
      <c r="N1152" s="228" t="s">
        <v>243</v>
      </c>
    </row>
    <row r="1153" spans="1:14" ht="15" customHeight="1" x14ac:dyDescent="0.25">
      <c r="B1153" s="165" t="str">
        <f xml:space="preserve"> ( StartYear + 4 ) &amp; " Surplus Applied to " &amp; ( StartYear + 3 )</f>
        <v>2021 Surplus Applied to 2020</v>
      </c>
      <c r="C1153" s="29"/>
      <c r="D1153" s="115"/>
      <c r="E1153" s="116"/>
      <c r="F1153" s="116"/>
      <c r="G1153" s="47">
        <v>0</v>
      </c>
      <c r="H1153" s="41">
        <v>0</v>
      </c>
      <c r="L1153" s="1" t="s">
        <v>233</v>
      </c>
      <c r="M1153" s="29" t="s">
        <v>192</v>
      </c>
      <c r="N1153" s="228" t="s">
        <v>244</v>
      </c>
    </row>
    <row r="1154" spans="1:14" ht="15" customHeight="1" x14ac:dyDescent="0.25">
      <c r="B1154" s="32" t="s">
        <v>17</v>
      </c>
      <c r="D1154" s="6">
        <f ca="1">D1144-D1145+D1147-D1146</f>
        <v>0</v>
      </c>
      <c r="E1154" s="6">
        <f ca="1">E1146+E1149-E1147-E1148</f>
        <v>0</v>
      </c>
      <c r="F1154" s="6">
        <f>F1148+F1151-F1149-F1150</f>
        <v>-681</v>
      </c>
      <c r="G1154" s="6">
        <f>G1150+G1153-G1151-G1152</f>
        <v>681</v>
      </c>
      <c r="H1154" s="6">
        <f>H1152 - H1153</f>
        <v>0</v>
      </c>
      <c r="L1154" s="1" t="s">
        <v>233</v>
      </c>
      <c r="M1154" s="29" t="s">
        <v>192</v>
      </c>
      <c r="N1154" s="228" t="s">
        <v>17</v>
      </c>
    </row>
    <row r="1155" spans="1:14" ht="15" customHeight="1" x14ac:dyDescent="0.25">
      <c r="B1155" s="5"/>
      <c r="D1155" s="6"/>
      <c r="E1155" s="6"/>
      <c r="F1155" s="6"/>
      <c r="G1155" s="6"/>
      <c r="H1155" s="6"/>
      <c r="L1155" s="1" t="s">
        <v>233</v>
      </c>
      <c r="M1155" s="29" t="s">
        <v>192</v>
      </c>
    </row>
    <row r="1156" spans="1:14" ht="15" customHeight="1" x14ac:dyDescent="0.25">
      <c r="B1156" s="54" t="s">
        <v>12</v>
      </c>
      <c r="C1156" s="52"/>
      <c r="D1156" s="75"/>
      <c r="E1156" s="111"/>
      <c r="F1156" s="111"/>
      <c r="G1156" s="111"/>
      <c r="H1156" s="76"/>
      <c r="L1156" s="1" t="s">
        <v>233</v>
      </c>
      <c r="M1156" s="29" t="s">
        <v>192</v>
      </c>
      <c r="N1156" s="228" t="s">
        <v>12</v>
      </c>
    </row>
    <row r="1157" spans="1:14" ht="15" customHeight="1" x14ac:dyDescent="0.25">
      <c r="B1157" s="5"/>
      <c r="D1157" s="6"/>
      <c r="E1157" s="6"/>
      <c r="F1157" s="6"/>
      <c r="G1157" s="6"/>
      <c r="H1157" s="6"/>
      <c r="L1157" s="1" t="s">
        <v>233</v>
      </c>
      <c r="M1157" s="29" t="s">
        <v>192</v>
      </c>
    </row>
    <row r="1158" spans="1:14" ht="18.75" customHeight="1" x14ac:dyDescent="0.3">
      <c r="A1158" s="38" t="s">
        <v>26</v>
      </c>
      <c r="C1158" s="52">
        <f>A1124</f>
        <v>29</v>
      </c>
      <c r="D1158" s="112">
        <f ca="1" xml:space="preserve"> D1130 + D1135 - D1141 + D1154 + D1156</f>
        <v>0</v>
      </c>
      <c r="E1158" s="112">
        <f ca="1" xml:space="preserve"> E1130 + E1135 - E1141 + E1154 + E1156</f>
        <v>0</v>
      </c>
      <c r="F1158" s="112">
        <f ca="1" xml:space="preserve"> F1130 + F1135 - F1141 + F1154 + F1156</f>
        <v>0</v>
      </c>
      <c r="G1158" s="112">
        <f ca="1" xml:space="preserve"> G1130 + G1135 - G1141 + G1154 + G1156</f>
        <v>25681</v>
      </c>
      <c r="H1158" s="174">
        <f ca="1" xml:space="preserve"> H1130 + H1135 - H1141 + H1154 + H1156</f>
        <v>0</v>
      </c>
      <c r="L1158" s="1" t="s">
        <v>233</v>
      </c>
      <c r="M1158" s="29" t="s">
        <v>192</v>
      </c>
      <c r="N1158" s="228" t="s">
        <v>26</v>
      </c>
    </row>
    <row r="1159" spans="1:14" ht="15" customHeight="1" x14ac:dyDescent="0.25">
      <c r="B1159" s="5"/>
      <c r="C1159" s="108" t="s">
        <v>158</v>
      </c>
      <c r="D1159" s="6"/>
      <c r="E1159" s="6"/>
      <c r="F1159" s="28"/>
      <c r="G1159" s="28"/>
      <c r="H1159" s="28"/>
      <c r="L1159" s="1" t="s">
        <v>233</v>
      </c>
      <c r="M1159" s="29" t="s">
        <v>192</v>
      </c>
      <c r="N1159" s="228" t="s">
        <v>158</v>
      </c>
    </row>
    <row r="1160" spans="1:14" ht="15.75" customHeight="1" thickBot="1" x14ac:dyDescent="0.3">
      <c r="L1160" s="1" t="s">
        <v>233</v>
      </c>
      <c r="M1160" s="29" t="s">
        <v>192</v>
      </c>
    </row>
    <row r="1161" spans="1:14" ht="15" customHeight="1" x14ac:dyDescent="0.25">
      <c r="A1161" s="7"/>
      <c r="B1161" s="7"/>
      <c r="C1161" s="7"/>
      <c r="D1161" s="170"/>
      <c r="E1161" s="7"/>
      <c r="F1161" s="7"/>
      <c r="G1161" s="7"/>
      <c r="H1161" s="7"/>
      <c r="L1161" s="1" t="s">
        <v>233</v>
      </c>
      <c r="M1161" s="29" t="s">
        <v>192</v>
      </c>
    </row>
    <row r="1162" spans="1:14" ht="21" customHeight="1" x14ac:dyDescent="0.35">
      <c r="A1162" s="12">
        <f>MAX(A$1:A1161)+1</f>
        <v>30</v>
      </c>
      <c r="B1162" s="12"/>
      <c r="C1162" s="214" t="str">
        <f ca="1">OFFSET($B$4,A1162-1,0)</f>
        <v>Nine Canyon Wind Project - Nine Canyon Phase 3</v>
      </c>
      <c r="D1162" s="215"/>
      <c r="E1162" s="216"/>
      <c r="F1162" s="216"/>
      <c r="G1162" s="217"/>
      <c r="H1162" s="218"/>
      <c r="L1162" s="1" t="s">
        <v>233</v>
      </c>
      <c r="M1162" s="29" t="s">
        <v>193</v>
      </c>
      <c r="N1162" s="228">
        <v>32</v>
      </c>
    </row>
    <row r="1163" spans="1:14" ht="15" customHeight="1" x14ac:dyDescent="0.25">
      <c r="C1163" s="1" t="str">
        <f ca="1">VLOOKUP(C1162,Facilities,3,FALSE)</f>
        <v>REC only</v>
      </c>
      <c r="L1163" s="1" t="s">
        <v>233</v>
      </c>
      <c r="M1163" s="29" t="s">
        <v>193</v>
      </c>
      <c r="N1163" s="228" t="s">
        <v>181</v>
      </c>
    </row>
    <row r="1164" spans="1:14" ht="18.75" customHeight="1" x14ac:dyDescent="0.3">
      <c r="A1164" s="8" t="s">
        <v>21</v>
      </c>
      <c r="B1164" s="8"/>
      <c r="D1164" s="118">
        <f>StartYear</f>
        <v>2017</v>
      </c>
      <c r="E1164" s="2">
        <f>D1164+1</f>
        <v>2018</v>
      </c>
      <c r="F1164" s="2">
        <f>E1164+1</f>
        <v>2019</v>
      </c>
      <c r="G1164" s="2">
        <f>F1164+1</f>
        <v>2020</v>
      </c>
      <c r="H1164" s="2">
        <f>G1164+1</f>
        <v>2021</v>
      </c>
      <c r="L1164" s="1" t="s">
        <v>233</v>
      </c>
      <c r="M1164" s="29" t="s">
        <v>193</v>
      </c>
      <c r="N1164" s="228" t="s">
        <v>21</v>
      </c>
    </row>
    <row r="1165" spans="1:14" ht="15" customHeight="1" x14ac:dyDescent="0.25">
      <c r="B1165" s="119" t="str">
        <f ca="1">IF(C1201&lt;&gt;"REC only","Total MWh ","")&amp;IF(C1163="PSE owned","Produced","Purchased")&amp;" from "&amp;C1162</f>
        <v>Purchased from Nine Canyon Wind Project - Nine Canyon Phase 3</v>
      </c>
      <c r="C1165" s="52"/>
      <c r="D1165" s="3"/>
      <c r="E1165" s="3"/>
      <c r="F1165" s="3">
        <v>4429</v>
      </c>
      <c r="G1165" s="3">
        <v>12421</v>
      </c>
      <c r="H1165" s="4"/>
      <c r="L1165" s="1" t="s">
        <v>233</v>
      </c>
      <c r="M1165" s="29" t="s">
        <v>193</v>
      </c>
      <c r="N1165" s="228" t="s">
        <v>273</v>
      </c>
    </row>
    <row r="1166" spans="1:14" ht="15" customHeight="1" x14ac:dyDescent="0.25">
      <c r="B1166" s="57" t="s">
        <v>25</v>
      </c>
      <c r="C1166" s="52"/>
      <c r="D1166" s="132"/>
      <c r="E1166" s="132"/>
      <c r="F1166" s="132">
        <v>1</v>
      </c>
      <c r="G1166" s="132">
        <v>1</v>
      </c>
      <c r="H1166" s="133"/>
      <c r="L1166" s="1" t="s">
        <v>233</v>
      </c>
      <c r="M1166" s="29" t="s">
        <v>193</v>
      </c>
      <c r="N1166" s="228" t="s">
        <v>25</v>
      </c>
    </row>
    <row r="1167" spans="1:14" ht="15" customHeight="1" x14ac:dyDescent="0.25">
      <c r="B1167" s="57" t="s">
        <v>20</v>
      </c>
      <c r="C1167" s="52"/>
      <c r="D1167" s="42"/>
      <c r="E1167" s="42"/>
      <c r="F1167" s="42">
        <v>1</v>
      </c>
      <c r="G1167" s="42">
        <v>1</v>
      </c>
      <c r="H1167" s="43"/>
      <c r="L1167" s="1" t="s">
        <v>233</v>
      </c>
      <c r="M1167" s="29" t="s">
        <v>193</v>
      </c>
      <c r="N1167" s="228" t="s">
        <v>20</v>
      </c>
    </row>
    <row r="1168" spans="1:14" ht="15" customHeight="1" x14ac:dyDescent="0.25">
      <c r="B1168" s="54" t="s">
        <v>22</v>
      </c>
      <c r="C1168" s="55"/>
      <c r="D1168" s="131">
        <f xml:space="preserve"> D1165 * D1166 * D1167</f>
        <v>0</v>
      </c>
      <c r="E1168" s="131">
        <f xml:space="preserve"> E1165 * E1166 * E1167</f>
        <v>0</v>
      </c>
      <c r="F1168" s="131">
        <f xml:space="preserve"> ROUNDDOWN(F1165 * F1166 * F1167,0)</f>
        <v>4429</v>
      </c>
      <c r="G1168" s="131">
        <f xml:space="preserve"> ROUNDDOWN(G1165 * G1166 * G1167,0)</f>
        <v>12421</v>
      </c>
      <c r="H1168" s="131">
        <f xml:space="preserve"> ROUNDDOWN(H1165 * H1166 * H1167,0)</f>
        <v>0</v>
      </c>
      <c r="L1168" s="1" t="s">
        <v>233</v>
      </c>
      <c r="M1168" s="29" t="s">
        <v>193</v>
      </c>
      <c r="N1168" s="228" t="s">
        <v>22</v>
      </c>
    </row>
    <row r="1169" spans="1:14" ht="15" customHeight="1" x14ac:dyDescent="0.25">
      <c r="B1169" s="22"/>
      <c r="C1169" s="29"/>
      <c r="D1169" s="36"/>
      <c r="E1169" s="36"/>
      <c r="F1169" s="36"/>
      <c r="G1169" s="167"/>
      <c r="H1169" s="36"/>
      <c r="L1169" s="1" t="s">
        <v>233</v>
      </c>
      <c r="M1169" s="29" t="s">
        <v>193</v>
      </c>
    </row>
    <row r="1170" spans="1:14" ht="18.75" customHeight="1" x14ac:dyDescent="0.3">
      <c r="A1170" s="39" t="s">
        <v>119</v>
      </c>
      <c r="C1170" s="29"/>
      <c r="D1170" s="2">
        <f>StartYear</f>
        <v>2017</v>
      </c>
      <c r="E1170" s="2">
        <f>D1170+1</f>
        <v>2018</v>
      </c>
      <c r="F1170" s="2">
        <f>E1170+1</f>
        <v>2019</v>
      </c>
      <c r="G1170" s="2">
        <f>F1170+1</f>
        <v>2020</v>
      </c>
      <c r="H1170" s="2">
        <f>G1170+1</f>
        <v>2021</v>
      </c>
      <c r="L1170" s="1" t="s">
        <v>233</v>
      </c>
      <c r="M1170" s="29" t="s">
        <v>193</v>
      </c>
      <c r="N1170" s="228" t="s">
        <v>119</v>
      </c>
    </row>
    <row r="1171" spans="1:14" x14ac:dyDescent="0.25">
      <c r="B1171" s="57" t="s">
        <v>10</v>
      </c>
      <c r="C1171" s="52"/>
      <c r="D1171" s="10">
        <f ca="1">IF(VLOOKUP($C1162,Facilities,5,FALSE)="Eligible", D1168*ApprenticeshipBonus, 0 )</f>
        <v>0</v>
      </c>
      <c r="E1171" s="109">
        <f ca="1">IF(VLOOKUP($C1162,Facilities,5,FALSE)="Eligible", E1168*ApprenticeshipBonus, 0 )</f>
        <v>0</v>
      </c>
      <c r="F1171" s="109">
        <f ca="1">IF(VLOOKUP($C1162,Facilities,5,FALSE)="Eligible", F1168*ApprenticeshipBonus, 0 )</f>
        <v>0</v>
      </c>
      <c r="G1171" s="109">
        <f ca="1">IF(VLOOKUP($C1162,Facilities,5,FALSE)="Eligible", G1168*ApprenticeshipBonus, 0 )</f>
        <v>0</v>
      </c>
      <c r="H1171" s="11">
        <f ca="1">IF(VLOOKUP($C1162,Facilities,5,FALSE)="Eligible", H1168*ApprenticeshipBonus, 0 )</f>
        <v>0</v>
      </c>
      <c r="L1171" s="1" t="s">
        <v>233</v>
      </c>
      <c r="M1171" s="29" t="s">
        <v>193</v>
      </c>
      <c r="N1171" s="228" t="s">
        <v>10</v>
      </c>
    </row>
    <row r="1172" spans="1:14" ht="15" customHeight="1" x14ac:dyDescent="0.25">
      <c r="B1172" s="57" t="s">
        <v>6</v>
      </c>
      <c r="C1172" s="52"/>
      <c r="D1172" s="44">
        <f ca="1">IF(VLOOKUP($C1162,Facilities,6,FALSE)="Eligible", D1168, 0 )</f>
        <v>0</v>
      </c>
      <c r="E1172" s="110">
        <f ca="1">IF(VLOOKUP($C1162,Facilities,6,FALSE)="Eligible", E1168, 0 )</f>
        <v>0</v>
      </c>
      <c r="F1172" s="110">
        <f ca="1">IF(VLOOKUP($C1162,Facilities,6,FALSE)="Eligible", F1168, 0 )</f>
        <v>0</v>
      </c>
      <c r="G1172" s="110">
        <f ca="1">IF(VLOOKUP($C1162,Facilities,6,FALSE)="Eligible", G1168, 0 )</f>
        <v>0</v>
      </c>
      <c r="H1172" s="45">
        <f ca="1">IF(VLOOKUP($C1162,Facilities,6,FALSE)="Eligible", H1168, 0 )</f>
        <v>0</v>
      </c>
      <c r="L1172" s="1" t="s">
        <v>233</v>
      </c>
      <c r="M1172" s="29" t="s">
        <v>193</v>
      </c>
      <c r="N1172" s="228" t="s">
        <v>6</v>
      </c>
    </row>
    <row r="1173" spans="1:14" ht="15" customHeight="1" x14ac:dyDescent="0.25">
      <c r="B1173" s="56" t="s">
        <v>121</v>
      </c>
      <c r="C1173" s="55"/>
      <c r="D1173" s="37">
        <f ca="1">SUM(D1171:D1172)</f>
        <v>0</v>
      </c>
      <c r="E1173" s="37">
        <f ca="1">SUM(E1171:E1172)</f>
        <v>0</v>
      </c>
      <c r="F1173" s="37">
        <f ca="1">SUM(F1171:F1172)</f>
        <v>0</v>
      </c>
      <c r="G1173" s="37">
        <f ca="1">SUM(G1171:G1172)</f>
        <v>0</v>
      </c>
      <c r="H1173" s="37">
        <f ca="1">SUM(H1171:H1172)</f>
        <v>0</v>
      </c>
      <c r="L1173" s="1" t="s">
        <v>233</v>
      </c>
      <c r="M1173" s="29" t="s">
        <v>193</v>
      </c>
      <c r="N1173" s="228" t="s">
        <v>121</v>
      </c>
    </row>
    <row r="1174" spans="1:14" ht="15" customHeight="1" x14ac:dyDescent="0.25">
      <c r="B1174" s="29"/>
      <c r="C1174" s="29"/>
      <c r="D1174" s="30"/>
      <c r="E1174" s="30"/>
      <c r="F1174" s="30"/>
      <c r="G1174" s="169"/>
      <c r="H1174" s="30"/>
      <c r="L1174" s="1" t="s">
        <v>233</v>
      </c>
      <c r="M1174" s="29" t="s">
        <v>193</v>
      </c>
    </row>
    <row r="1175" spans="1:14" ht="18.75" customHeight="1" x14ac:dyDescent="0.3">
      <c r="A1175" s="38" t="s">
        <v>30</v>
      </c>
      <c r="C1175" s="29"/>
      <c r="D1175" s="2">
        <f>StartYear</f>
        <v>2017</v>
      </c>
      <c r="E1175" s="2">
        <f>D1175+1</f>
        <v>2018</v>
      </c>
      <c r="F1175" s="2">
        <f>E1175+1</f>
        <v>2019</v>
      </c>
      <c r="G1175" s="2">
        <f>F1175+1</f>
        <v>2020</v>
      </c>
      <c r="H1175" s="2">
        <f>G1175+1</f>
        <v>2021</v>
      </c>
      <c r="L1175" s="1" t="s">
        <v>233</v>
      </c>
      <c r="M1175" s="29" t="s">
        <v>193</v>
      </c>
      <c r="N1175" s="228" t="s">
        <v>30</v>
      </c>
    </row>
    <row r="1176" spans="1:14" ht="15" customHeight="1" x14ac:dyDescent="0.25">
      <c r="B1176" s="57" t="s">
        <v>47</v>
      </c>
      <c r="C1176" s="52"/>
      <c r="D1176" s="3"/>
      <c r="E1176" s="3"/>
      <c r="F1176" s="3"/>
      <c r="G1176" s="3"/>
      <c r="H1176" s="4"/>
      <c r="L1176" s="1" t="s">
        <v>233</v>
      </c>
      <c r="M1176" s="29" t="s">
        <v>193</v>
      </c>
      <c r="N1176" s="228" t="s">
        <v>47</v>
      </c>
    </row>
    <row r="1177" spans="1:14" ht="15" customHeight="1" x14ac:dyDescent="0.25">
      <c r="B1177" s="58" t="s">
        <v>23</v>
      </c>
      <c r="C1177" s="59"/>
      <c r="D1177" s="137"/>
      <c r="E1177" s="137"/>
      <c r="F1177" s="137"/>
      <c r="G1177" s="137"/>
      <c r="H1177" s="138"/>
      <c r="L1177" s="1" t="s">
        <v>233</v>
      </c>
      <c r="M1177" s="29" t="s">
        <v>193</v>
      </c>
      <c r="N1177" s="228" t="s">
        <v>23</v>
      </c>
    </row>
    <row r="1178" spans="1:14" ht="15" customHeight="1" x14ac:dyDescent="0.25">
      <c r="B1178" s="68" t="s">
        <v>89</v>
      </c>
      <c r="C1178" s="67"/>
      <c r="D1178" s="191"/>
      <c r="E1178" s="139"/>
      <c r="F1178" s="139"/>
      <c r="G1178" s="139"/>
      <c r="H1178" s="140"/>
      <c r="L1178" s="1" t="s">
        <v>233</v>
      </c>
      <c r="M1178" s="29" t="s">
        <v>193</v>
      </c>
      <c r="N1178" s="228" t="s">
        <v>89</v>
      </c>
    </row>
    <row r="1179" spans="1:14" ht="15" customHeight="1" x14ac:dyDescent="0.25">
      <c r="B1179" s="32" t="s">
        <v>90</v>
      </c>
      <c r="D1179" s="6">
        <f>SUM(D1176:D1178)</f>
        <v>0</v>
      </c>
      <c r="E1179" s="6">
        <f>SUM(E1176:E1178)</f>
        <v>0</v>
      </c>
      <c r="F1179" s="6">
        <f>SUM(F1176:F1178)</f>
        <v>0</v>
      </c>
      <c r="G1179" s="6">
        <f>SUM(G1176:G1178)</f>
        <v>0</v>
      </c>
      <c r="H1179" s="6">
        <f>SUM(H1176:H1178)</f>
        <v>0</v>
      </c>
      <c r="L1179" s="1" t="s">
        <v>233</v>
      </c>
      <c r="M1179" s="29" t="s">
        <v>193</v>
      </c>
      <c r="N1179" s="228" t="s">
        <v>90</v>
      </c>
    </row>
    <row r="1180" spans="1:14" ht="15" customHeight="1" x14ac:dyDescent="0.25">
      <c r="B1180" s="5"/>
      <c r="D1180" s="6"/>
      <c r="E1180" s="6"/>
      <c r="F1180" s="6"/>
      <c r="G1180" s="167"/>
      <c r="H1180" s="6"/>
      <c r="L1180" s="1" t="s">
        <v>233</v>
      </c>
      <c r="M1180" s="29" t="s">
        <v>193</v>
      </c>
    </row>
    <row r="1181" spans="1:14" ht="18.75" customHeight="1" x14ac:dyDescent="0.3">
      <c r="A1181" s="8" t="s">
        <v>100</v>
      </c>
      <c r="D1181" s="2">
        <f>StartYear</f>
        <v>2017</v>
      </c>
      <c r="E1181" s="2">
        <f>D1181+1</f>
        <v>2018</v>
      </c>
      <c r="F1181" s="2">
        <f>E1181+1</f>
        <v>2019</v>
      </c>
      <c r="G1181" s="2">
        <f>F1181+1</f>
        <v>2020</v>
      </c>
      <c r="H1181" s="2">
        <f>G1181+1</f>
        <v>2021</v>
      </c>
      <c r="L1181" s="1" t="s">
        <v>233</v>
      </c>
      <c r="M1181" s="29" t="s">
        <v>193</v>
      </c>
      <c r="N1181" s="228" t="s">
        <v>100</v>
      </c>
    </row>
    <row r="1182" spans="1:14" ht="15" customHeight="1" x14ac:dyDescent="0.25">
      <c r="B1182" s="57" t="str">
        <f>(StartYear-1) &amp; " Surplus Applied to " &amp; StartYear</f>
        <v>2016 Surplus Applied to 2017</v>
      </c>
      <c r="C1182" s="29"/>
      <c r="D1182" s="186">
        <v>0</v>
      </c>
      <c r="E1182" s="187"/>
      <c r="F1182" s="187"/>
      <c r="G1182" s="187"/>
      <c r="H1182" s="188"/>
      <c r="L1182" s="1" t="s">
        <v>233</v>
      </c>
      <c r="M1182" s="29" t="s">
        <v>193</v>
      </c>
      <c r="N1182" s="228" t="s">
        <v>235</v>
      </c>
    </row>
    <row r="1183" spans="1:14" ht="15" customHeight="1" x14ac:dyDescent="0.25">
      <c r="B1183" s="57" t="str">
        <f>StartYear &amp; " Surplus Applied to " &amp; (StartYear-1)</f>
        <v>2017 Surplus Applied to 2016</v>
      </c>
      <c r="C1183" s="29"/>
      <c r="D1183" s="189">
        <v>0</v>
      </c>
      <c r="E1183" s="113"/>
      <c r="F1183" s="113"/>
      <c r="G1183" s="113"/>
      <c r="H1183" s="117"/>
      <c r="L1183" s="1" t="s">
        <v>233</v>
      </c>
      <c r="M1183" s="29" t="s">
        <v>193</v>
      </c>
      <c r="N1183" s="228" t="s">
        <v>236</v>
      </c>
    </row>
    <row r="1184" spans="1:14" ht="15" customHeight="1" x14ac:dyDescent="0.25">
      <c r="B1184" s="57" t="str">
        <f>( StartYear) &amp; " Surplus Applied to " &amp; ( StartYear + 1 )</f>
        <v>2017 Surplus Applied to 2018</v>
      </c>
      <c r="C1184" s="29"/>
      <c r="D1184" s="184">
        <f ca="1">D1168+D1173-D1179</f>
        <v>0</v>
      </c>
      <c r="E1184" s="185">
        <f ca="1">D1184</f>
        <v>0</v>
      </c>
      <c r="F1184" s="181"/>
      <c r="G1184" s="181"/>
      <c r="H1184" s="182"/>
      <c r="L1184" s="1" t="s">
        <v>233</v>
      </c>
      <c r="M1184" s="29" t="s">
        <v>193</v>
      </c>
      <c r="N1184" s="228" t="s">
        <v>237</v>
      </c>
    </row>
    <row r="1185" spans="1:14" ht="15" customHeight="1" x14ac:dyDescent="0.25">
      <c r="B1185" s="57" t="str">
        <f xml:space="preserve"> ( StartYear + 1 ) &amp; " Surplus Applied to " &amp; ( StartYear )</f>
        <v>2018 Surplus Applied to 2017</v>
      </c>
      <c r="C1185" s="52"/>
      <c r="D1185" s="134">
        <v>0</v>
      </c>
      <c r="E1185" s="9">
        <v>0</v>
      </c>
      <c r="F1185" s="113"/>
      <c r="G1185" s="113"/>
      <c r="H1185" s="117"/>
      <c r="L1185" s="1" t="s">
        <v>233</v>
      </c>
      <c r="M1185" s="29" t="s">
        <v>193</v>
      </c>
      <c r="N1185" s="228" t="s">
        <v>238</v>
      </c>
    </row>
    <row r="1186" spans="1:14" ht="15" customHeight="1" x14ac:dyDescent="0.25">
      <c r="B1186" s="119" t="str">
        <f xml:space="preserve"> ( StartYear + 1 ) &amp; " Surplus Applied to " &amp; ( StartYear + 2 )</f>
        <v>2018 Surplus Applied to 2019</v>
      </c>
      <c r="C1186" s="52"/>
      <c r="D1186" s="114"/>
      <c r="E1186" s="9">
        <v>0</v>
      </c>
      <c r="F1186" s="51">
        <f>E1186</f>
        <v>0</v>
      </c>
      <c r="G1186" s="113"/>
      <c r="H1186" s="117"/>
      <c r="L1186" s="1" t="s">
        <v>233</v>
      </c>
      <c r="M1186" s="29" t="s">
        <v>193</v>
      </c>
      <c r="N1186" s="228" t="s">
        <v>239</v>
      </c>
    </row>
    <row r="1187" spans="1:14" ht="15" customHeight="1" x14ac:dyDescent="0.25">
      <c r="B1187" s="119" t="str">
        <f xml:space="preserve"> ( StartYear + 2 ) &amp; " Surplus Applied to " &amp; ( StartYear + 1 )</f>
        <v>2019 Surplus Applied to 2018</v>
      </c>
      <c r="C1187" s="52"/>
      <c r="D1187" s="114"/>
      <c r="E1187" s="51">
        <v>0</v>
      </c>
      <c r="F1187" s="9">
        <v>0</v>
      </c>
      <c r="G1187" s="113"/>
      <c r="H1187" s="117"/>
      <c r="L1187" s="1" t="s">
        <v>233</v>
      </c>
      <c r="M1187" s="29" t="s">
        <v>193</v>
      </c>
      <c r="N1187" s="228" t="s">
        <v>240</v>
      </c>
    </row>
    <row r="1188" spans="1:14" ht="15" customHeight="1" x14ac:dyDescent="0.25">
      <c r="B1188" s="165" t="str">
        <f xml:space="preserve"> ( StartYear + 2 ) &amp; " Surplus Applied to " &amp; ( StartYear + 3 )</f>
        <v>2019 Surplus Applied to 2020</v>
      </c>
      <c r="C1188" s="29"/>
      <c r="D1188" s="114"/>
      <c r="E1188" s="113"/>
      <c r="F1188" s="9">
        <v>4429</v>
      </c>
      <c r="G1188" s="51">
        <f>F1188</f>
        <v>4429</v>
      </c>
      <c r="H1188" s="117"/>
      <c r="L1188" s="1" t="s">
        <v>233</v>
      </c>
      <c r="M1188" s="29" t="s">
        <v>193</v>
      </c>
      <c r="N1188" s="228" t="s">
        <v>241</v>
      </c>
    </row>
    <row r="1189" spans="1:14" ht="15" customHeight="1" x14ac:dyDescent="0.25">
      <c r="B1189" s="165" t="str">
        <f xml:space="preserve"> ( StartYear + 3 ) &amp; " Surplus Applied to " &amp; ( StartYear + 2 )</f>
        <v>2020 Surplus Applied to 2019</v>
      </c>
      <c r="C1189" s="29"/>
      <c r="D1189" s="114"/>
      <c r="E1189" s="113"/>
      <c r="F1189" s="51">
        <v>0</v>
      </c>
      <c r="G1189" s="9">
        <v>0</v>
      </c>
      <c r="H1189" s="117"/>
      <c r="L1189" s="1" t="s">
        <v>233</v>
      </c>
      <c r="M1189" s="29" t="s">
        <v>193</v>
      </c>
      <c r="N1189" s="228" t="s">
        <v>242</v>
      </c>
    </row>
    <row r="1190" spans="1:14" ht="15" customHeight="1" x14ac:dyDescent="0.25">
      <c r="B1190" s="165" t="str">
        <f xml:space="preserve"> ( StartYear + 3 ) &amp; " Surplus Applied to " &amp; ( StartYear + 4 )</f>
        <v>2020 Surplus Applied to 2021</v>
      </c>
      <c r="C1190" s="29"/>
      <c r="D1190" s="114"/>
      <c r="E1190" s="113"/>
      <c r="F1190" s="113"/>
      <c r="G1190" s="9">
        <v>0</v>
      </c>
      <c r="H1190" s="46">
        <f>G1190</f>
        <v>0</v>
      </c>
      <c r="L1190" s="1" t="s">
        <v>233</v>
      </c>
      <c r="M1190" s="29" t="s">
        <v>193</v>
      </c>
      <c r="N1190" s="228" t="s">
        <v>243</v>
      </c>
    </row>
    <row r="1191" spans="1:14" ht="15" customHeight="1" x14ac:dyDescent="0.25">
      <c r="B1191" s="165" t="str">
        <f xml:space="preserve"> ( StartYear + 4 ) &amp; " Surplus Applied to " &amp; ( StartYear + 3 )</f>
        <v>2021 Surplus Applied to 2020</v>
      </c>
      <c r="C1191" s="29"/>
      <c r="D1191" s="115"/>
      <c r="E1191" s="116"/>
      <c r="F1191" s="116"/>
      <c r="G1191" s="47">
        <v>0</v>
      </c>
      <c r="H1191" s="41">
        <v>0</v>
      </c>
      <c r="L1191" s="1" t="s">
        <v>233</v>
      </c>
      <c r="M1191" s="29" t="s">
        <v>193</v>
      </c>
      <c r="N1191" s="228" t="s">
        <v>244</v>
      </c>
    </row>
    <row r="1192" spans="1:14" ht="15" customHeight="1" x14ac:dyDescent="0.25">
      <c r="B1192" s="32" t="s">
        <v>17</v>
      </c>
      <c r="D1192" s="6">
        <f ca="1">D1182-D1183+D1185-D1184</f>
        <v>0</v>
      </c>
      <c r="E1192" s="6">
        <f ca="1">E1184+E1187-E1185-E1186</f>
        <v>0</v>
      </c>
      <c r="F1192" s="6">
        <f>F1186+F1189-F1187-F1188</f>
        <v>-4429</v>
      </c>
      <c r="G1192" s="6">
        <f>G1188+G1191-G1189-G1190</f>
        <v>4429</v>
      </c>
      <c r="H1192" s="6">
        <f>H1190 - H1191</f>
        <v>0</v>
      </c>
      <c r="L1192" s="1" t="s">
        <v>233</v>
      </c>
      <c r="M1192" s="29" t="s">
        <v>193</v>
      </c>
      <c r="N1192" s="228" t="s">
        <v>17</v>
      </c>
    </row>
    <row r="1193" spans="1:14" ht="15" customHeight="1" x14ac:dyDescent="0.25">
      <c r="B1193" s="5"/>
      <c r="D1193" s="6"/>
      <c r="E1193" s="6"/>
      <c r="F1193" s="6"/>
      <c r="G1193" s="6"/>
      <c r="H1193" s="6"/>
      <c r="L1193" s="1" t="s">
        <v>233</v>
      </c>
      <c r="M1193" s="29" t="s">
        <v>193</v>
      </c>
    </row>
    <row r="1194" spans="1:14" ht="15" customHeight="1" x14ac:dyDescent="0.25">
      <c r="B1194" s="54" t="s">
        <v>12</v>
      </c>
      <c r="C1194" s="52"/>
      <c r="D1194" s="75"/>
      <c r="E1194" s="111"/>
      <c r="F1194" s="111"/>
      <c r="G1194" s="111"/>
      <c r="H1194" s="76"/>
      <c r="L1194" s="1" t="s">
        <v>233</v>
      </c>
      <c r="M1194" s="29" t="s">
        <v>193</v>
      </c>
      <c r="N1194" s="228" t="s">
        <v>12</v>
      </c>
    </row>
    <row r="1195" spans="1:14" ht="15" customHeight="1" x14ac:dyDescent="0.25">
      <c r="B1195" s="5"/>
      <c r="D1195" s="6"/>
      <c r="E1195" s="6"/>
      <c r="F1195" s="6"/>
      <c r="G1195" s="6"/>
      <c r="H1195" s="6"/>
      <c r="L1195" s="1" t="s">
        <v>233</v>
      </c>
      <c r="M1195" s="29" t="s">
        <v>193</v>
      </c>
    </row>
    <row r="1196" spans="1:14" ht="18.75" customHeight="1" x14ac:dyDescent="0.3">
      <c r="A1196" s="38" t="s">
        <v>26</v>
      </c>
      <c r="C1196" s="52">
        <f>A1162</f>
        <v>30</v>
      </c>
      <c r="D1196" s="112">
        <f ca="1" xml:space="preserve"> D1168 + D1173 - D1179 + D1192 + D1194</f>
        <v>0</v>
      </c>
      <c r="E1196" s="112">
        <f ca="1" xml:space="preserve"> E1168 + E1173 - E1179 + E1192 + E1194</f>
        <v>0</v>
      </c>
      <c r="F1196" s="112">
        <f ca="1" xml:space="preserve"> F1168 + F1173 - F1179 + F1192 + F1194</f>
        <v>0</v>
      </c>
      <c r="G1196" s="112">
        <f ca="1" xml:space="preserve"> G1168 + G1173 - G1179 + G1192 + G1194</f>
        <v>16850</v>
      </c>
      <c r="H1196" s="174">
        <f ca="1" xml:space="preserve"> H1168 + H1173 - H1179 + H1192 + H1194</f>
        <v>0</v>
      </c>
      <c r="L1196" s="1" t="s">
        <v>233</v>
      </c>
      <c r="M1196" s="29" t="s">
        <v>193</v>
      </c>
      <c r="N1196" s="228" t="s">
        <v>26</v>
      </c>
    </row>
    <row r="1197" spans="1:14" ht="15" customHeight="1" x14ac:dyDescent="0.25">
      <c r="B1197" s="5"/>
      <c r="C1197" s="108" t="s">
        <v>158</v>
      </c>
      <c r="D1197" s="6"/>
      <c r="E1197" s="6"/>
      <c r="F1197" s="28"/>
      <c r="G1197" s="28"/>
      <c r="H1197" s="28"/>
      <c r="L1197" s="1" t="s">
        <v>233</v>
      </c>
      <c r="M1197" s="29" t="s">
        <v>193</v>
      </c>
      <c r="N1197" s="228" t="s">
        <v>158</v>
      </c>
    </row>
    <row r="1198" spans="1:14" ht="15.75" customHeight="1" thickBot="1" x14ac:dyDescent="0.3">
      <c r="L1198" s="1" t="s">
        <v>233</v>
      </c>
      <c r="M1198" s="29" t="s">
        <v>193</v>
      </c>
    </row>
    <row r="1199" spans="1:14" ht="15" customHeight="1" x14ac:dyDescent="0.25">
      <c r="A1199" s="7"/>
      <c r="B1199" s="7"/>
      <c r="C1199" s="7"/>
      <c r="D1199" s="170"/>
      <c r="E1199" s="7"/>
      <c r="F1199" s="7"/>
      <c r="G1199" s="7"/>
      <c r="H1199" s="7"/>
      <c r="L1199" s="1" t="s">
        <v>233</v>
      </c>
      <c r="M1199" s="29" t="s">
        <v>193</v>
      </c>
    </row>
    <row r="1200" spans="1:14" ht="21" customHeight="1" x14ac:dyDescent="0.35">
      <c r="A1200" s="12">
        <f>MAX(A$1:A1199)+1</f>
        <v>31</v>
      </c>
      <c r="B1200" s="12"/>
      <c r="C1200" s="214" t="str">
        <f ca="1">OFFSET($B$4,A1200-1,0)</f>
        <v>Nine Canyon Wind Project - Nine Canyon Wind Project</v>
      </c>
      <c r="D1200" s="215"/>
      <c r="E1200" s="216"/>
      <c r="F1200" s="216"/>
      <c r="G1200" s="217"/>
      <c r="H1200" s="218"/>
      <c r="L1200" s="1" t="s">
        <v>233</v>
      </c>
      <c r="M1200" s="29" t="s">
        <v>211</v>
      </c>
      <c r="N1200" s="228">
        <v>33</v>
      </c>
    </row>
    <row r="1201" spans="1:14" ht="15" customHeight="1" x14ac:dyDescent="0.25">
      <c r="C1201" s="1" t="str">
        <f ca="1">VLOOKUP(C1200,Facilities,3,FALSE)</f>
        <v>REC only</v>
      </c>
      <c r="L1201" s="1" t="s">
        <v>233</v>
      </c>
      <c r="M1201" s="29" t="s">
        <v>211</v>
      </c>
      <c r="N1201" s="228" t="s">
        <v>181</v>
      </c>
    </row>
    <row r="1202" spans="1:14" ht="18.75" customHeight="1" x14ac:dyDescent="0.3">
      <c r="A1202" s="8" t="s">
        <v>21</v>
      </c>
      <c r="B1202" s="8"/>
      <c r="D1202" s="118">
        <f>StartYear</f>
        <v>2017</v>
      </c>
      <c r="E1202" s="2">
        <f>D1202+1</f>
        <v>2018</v>
      </c>
      <c r="F1202" s="2">
        <f>E1202+1</f>
        <v>2019</v>
      </c>
      <c r="G1202" s="2">
        <f>F1202+1</f>
        <v>2020</v>
      </c>
      <c r="H1202" s="2">
        <f>G1202+1</f>
        <v>2021</v>
      </c>
      <c r="L1202" s="1" t="s">
        <v>233</v>
      </c>
      <c r="M1202" s="29" t="s">
        <v>211</v>
      </c>
      <c r="N1202" s="228" t="s">
        <v>21</v>
      </c>
    </row>
    <row r="1203" spans="1:14" ht="15" customHeight="1" x14ac:dyDescent="0.25">
      <c r="B1203" s="119" t="str">
        <f ca="1">IF(C1239&lt;&gt;"REC only","Total MWh ","")&amp;IF(C1201="PSE owned","Produced","Purchased")&amp;" from "&amp;C1200</f>
        <v>Purchased from Nine Canyon Wind Project - Nine Canyon Wind Project</v>
      </c>
      <c r="C1203" s="52"/>
      <c r="D1203" s="3"/>
      <c r="E1203" s="3"/>
      <c r="F1203" s="3">
        <v>4147</v>
      </c>
      <c r="G1203" s="3">
        <v>21342</v>
      </c>
      <c r="H1203" s="4"/>
      <c r="L1203" s="1" t="s">
        <v>233</v>
      </c>
      <c r="M1203" s="29" t="s">
        <v>211</v>
      </c>
      <c r="N1203" s="228" t="s">
        <v>274</v>
      </c>
    </row>
    <row r="1204" spans="1:14" ht="15" customHeight="1" x14ac:dyDescent="0.25">
      <c r="B1204" s="57" t="s">
        <v>25</v>
      </c>
      <c r="C1204" s="52"/>
      <c r="D1204" s="132"/>
      <c r="E1204" s="132"/>
      <c r="F1204" s="132">
        <v>1</v>
      </c>
      <c r="G1204" s="132">
        <v>1</v>
      </c>
      <c r="H1204" s="133"/>
      <c r="L1204" s="1" t="s">
        <v>233</v>
      </c>
      <c r="M1204" s="29" t="s">
        <v>211</v>
      </c>
      <c r="N1204" s="228" t="s">
        <v>25</v>
      </c>
    </row>
    <row r="1205" spans="1:14" ht="15" customHeight="1" x14ac:dyDescent="0.25">
      <c r="B1205" s="57" t="s">
        <v>20</v>
      </c>
      <c r="C1205" s="52"/>
      <c r="D1205" s="42"/>
      <c r="E1205" s="42"/>
      <c r="F1205" s="42">
        <v>1</v>
      </c>
      <c r="G1205" s="42">
        <v>1</v>
      </c>
      <c r="H1205" s="43"/>
      <c r="L1205" s="1" t="s">
        <v>233</v>
      </c>
      <c r="M1205" s="29" t="s">
        <v>211</v>
      </c>
      <c r="N1205" s="228" t="s">
        <v>20</v>
      </c>
    </row>
    <row r="1206" spans="1:14" ht="15" customHeight="1" x14ac:dyDescent="0.25">
      <c r="B1206" s="54" t="s">
        <v>22</v>
      </c>
      <c r="C1206" s="55"/>
      <c r="D1206" s="131">
        <f xml:space="preserve"> D1203 * D1204 * D1205</f>
        <v>0</v>
      </c>
      <c r="E1206" s="131">
        <f xml:space="preserve"> E1203 * E1204 * E1205</f>
        <v>0</v>
      </c>
      <c r="F1206" s="131">
        <f xml:space="preserve"> ROUNDDOWN(F1203 * F1204 * F1205,0)</f>
        <v>4147</v>
      </c>
      <c r="G1206" s="131">
        <f xml:space="preserve"> ROUNDDOWN(G1203 * G1204 * G1205,0)</f>
        <v>21342</v>
      </c>
      <c r="H1206" s="131">
        <f xml:space="preserve"> ROUNDDOWN(H1203 * H1204 * H1205,0)</f>
        <v>0</v>
      </c>
      <c r="L1206" s="1" t="s">
        <v>233</v>
      </c>
      <c r="M1206" s="29" t="s">
        <v>211</v>
      </c>
      <c r="N1206" s="228" t="s">
        <v>22</v>
      </c>
    </row>
    <row r="1207" spans="1:14" ht="15" customHeight="1" x14ac:dyDescent="0.25">
      <c r="B1207" s="22"/>
      <c r="C1207" s="29"/>
      <c r="D1207" s="36"/>
      <c r="E1207" s="36"/>
      <c r="F1207" s="36"/>
      <c r="G1207" s="167"/>
      <c r="H1207" s="36"/>
      <c r="L1207" s="1" t="s">
        <v>233</v>
      </c>
      <c r="M1207" s="29" t="s">
        <v>211</v>
      </c>
    </row>
    <row r="1208" spans="1:14" ht="18.75" customHeight="1" x14ac:dyDescent="0.3">
      <c r="A1208" s="39" t="s">
        <v>119</v>
      </c>
      <c r="C1208" s="29"/>
      <c r="D1208" s="2">
        <f>StartYear</f>
        <v>2017</v>
      </c>
      <c r="E1208" s="2">
        <f>D1208+1</f>
        <v>2018</v>
      </c>
      <c r="F1208" s="2">
        <f>E1208+1</f>
        <v>2019</v>
      </c>
      <c r="G1208" s="2">
        <f>F1208+1</f>
        <v>2020</v>
      </c>
      <c r="H1208" s="2">
        <f>G1208+1</f>
        <v>2021</v>
      </c>
      <c r="L1208" s="1" t="s">
        <v>233</v>
      </c>
      <c r="M1208" s="29" t="s">
        <v>211</v>
      </c>
      <c r="N1208" s="228" t="s">
        <v>119</v>
      </c>
    </row>
    <row r="1209" spans="1:14" x14ac:dyDescent="0.25">
      <c r="B1209" s="57" t="s">
        <v>10</v>
      </c>
      <c r="C1209" s="52"/>
      <c r="D1209" s="10">
        <f ca="1">IF(VLOOKUP($C1200,Facilities,5,FALSE)="Eligible", D1206*ApprenticeshipBonus, 0 )</f>
        <v>0</v>
      </c>
      <c r="E1209" s="109">
        <f ca="1">IF(VLOOKUP($C1200,Facilities,5,FALSE)="Eligible", E1206*ApprenticeshipBonus, 0 )</f>
        <v>0</v>
      </c>
      <c r="F1209" s="109">
        <f ca="1">IF(VLOOKUP($C1200,Facilities,5,FALSE)="Eligible", F1206*ApprenticeshipBonus, 0 )</f>
        <v>0</v>
      </c>
      <c r="G1209" s="109">
        <f ca="1">IF(VLOOKUP($C1200,Facilities,5,FALSE)="Eligible", G1206*ApprenticeshipBonus, 0 )</f>
        <v>0</v>
      </c>
      <c r="H1209" s="11">
        <f ca="1">IF(VLOOKUP($C1200,Facilities,5,FALSE)="Eligible", H1206*ApprenticeshipBonus, 0 )</f>
        <v>0</v>
      </c>
      <c r="L1209" s="1" t="s">
        <v>233</v>
      </c>
      <c r="M1209" s="29" t="s">
        <v>211</v>
      </c>
      <c r="N1209" s="228" t="s">
        <v>10</v>
      </c>
    </row>
    <row r="1210" spans="1:14" ht="15" customHeight="1" x14ac:dyDescent="0.25">
      <c r="B1210" s="57" t="s">
        <v>6</v>
      </c>
      <c r="C1210" s="52"/>
      <c r="D1210" s="44">
        <f ca="1">IF(VLOOKUP($C1200,Facilities,6,FALSE)="Eligible", D1206, 0 )</f>
        <v>0</v>
      </c>
      <c r="E1210" s="110">
        <f ca="1">IF(VLOOKUP($C1200,Facilities,6,FALSE)="Eligible", E1206, 0 )</f>
        <v>0</v>
      </c>
      <c r="F1210" s="110">
        <f ca="1">IF(VLOOKUP($C1200,Facilities,6,FALSE)="Eligible", F1206, 0 )</f>
        <v>0</v>
      </c>
      <c r="G1210" s="110">
        <f ca="1">IF(VLOOKUP($C1200,Facilities,6,FALSE)="Eligible", G1206, 0 )</f>
        <v>0</v>
      </c>
      <c r="H1210" s="45">
        <f ca="1">IF(VLOOKUP($C1200,Facilities,6,FALSE)="Eligible", H1206, 0 )</f>
        <v>0</v>
      </c>
      <c r="L1210" s="1" t="s">
        <v>233</v>
      </c>
      <c r="M1210" s="29" t="s">
        <v>211</v>
      </c>
      <c r="N1210" s="228" t="s">
        <v>6</v>
      </c>
    </row>
    <row r="1211" spans="1:14" ht="15" customHeight="1" x14ac:dyDescent="0.25">
      <c r="B1211" s="56" t="s">
        <v>121</v>
      </c>
      <c r="C1211" s="55"/>
      <c r="D1211" s="37">
        <f ca="1">SUM(D1209:D1210)</f>
        <v>0</v>
      </c>
      <c r="E1211" s="37">
        <f ca="1">SUM(E1209:E1210)</f>
        <v>0</v>
      </c>
      <c r="F1211" s="37">
        <f ca="1">SUM(F1209:F1210)</f>
        <v>0</v>
      </c>
      <c r="G1211" s="37">
        <f ca="1">SUM(G1209:G1210)</f>
        <v>0</v>
      </c>
      <c r="H1211" s="37">
        <f ca="1">SUM(H1209:H1210)</f>
        <v>0</v>
      </c>
      <c r="L1211" s="1" t="s">
        <v>233</v>
      </c>
      <c r="M1211" s="29" t="s">
        <v>211</v>
      </c>
      <c r="N1211" s="228" t="s">
        <v>121</v>
      </c>
    </row>
    <row r="1212" spans="1:14" ht="15" customHeight="1" x14ac:dyDescent="0.25">
      <c r="B1212" s="29"/>
      <c r="C1212" s="29"/>
      <c r="D1212" s="30"/>
      <c r="E1212" s="30"/>
      <c r="F1212" s="30"/>
      <c r="G1212" s="169"/>
      <c r="H1212" s="30"/>
      <c r="L1212" s="1" t="s">
        <v>233</v>
      </c>
      <c r="M1212" s="29" t="s">
        <v>211</v>
      </c>
    </row>
    <row r="1213" spans="1:14" ht="18.75" customHeight="1" x14ac:dyDescent="0.3">
      <c r="A1213" s="38" t="s">
        <v>30</v>
      </c>
      <c r="C1213" s="29"/>
      <c r="D1213" s="2">
        <f>StartYear</f>
        <v>2017</v>
      </c>
      <c r="E1213" s="2">
        <f>D1213+1</f>
        <v>2018</v>
      </c>
      <c r="F1213" s="2">
        <f>E1213+1</f>
        <v>2019</v>
      </c>
      <c r="G1213" s="2">
        <f>F1213+1</f>
        <v>2020</v>
      </c>
      <c r="H1213" s="2">
        <f>G1213+1</f>
        <v>2021</v>
      </c>
      <c r="L1213" s="1" t="s">
        <v>233</v>
      </c>
      <c r="M1213" s="29" t="s">
        <v>211</v>
      </c>
      <c r="N1213" s="228" t="s">
        <v>30</v>
      </c>
    </row>
    <row r="1214" spans="1:14" ht="15" customHeight="1" x14ac:dyDescent="0.25">
      <c r="B1214" s="57" t="s">
        <v>47</v>
      </c>
      <c r="C1214" s="52"/>
      <c r="D1214" s="3"/>
      <c r="E1214" s="3"/>
      <c r="F1214" s="3"/>
      <c r="G1214" s="3"/>
      <c r="H1214" s="4"/>
      <c r="L1214" s="1" t="s">
        <v>233</v>
      </c>
      <c r="M1214" s="29" t="s">
        <v>211</v>
      </c>
      <c r="N1214" s="228" t="s">
        <v>47</v>
      </c>
    </row>
    <row r="1215" spans="1:14" ht="15" customHeight="1" x14ac:dyDescent="0.25">
      <c r="B1215" s="58" t="s">
        <v>23</v>
      </c>
      <c r="C1215" s="59"/>
      <c r="D1215" s="137"/>
      <c r="E1215" s="137"/>
      <c r="F1215" s="137"/>
      <c r="G1215" s="137"/>
      <c r="H1215" s="138"/>
      <c r="L1215" s="1" t="s">
        <v>233</v>
      </c>
      <c r="M1215" s="29" t="s">
        <v>211</v>
      </c>
      <c r="N1215" s="228" t="s">
        <v>23</v>
      </c>
    </row>
    <row r="1216" spans="1:14" ht="15" customHeight="1" x14ac:dyDescent="0.25">
      <c r="B1216" s="68" t="s">
        <v>89</v>
      </c>
      <c r="C1216" s="67"/>
      <c r="D1216" s="191"/>
      <c r="E1216" s="139"/>
      <c r="F1216" s="139"/>
      <c r="G1216" s="139"/>
      <c r="H1216" s="140"/>
      <c r="L1216" s="1" t="s">
        <v>233</v>
      </c>
      <c r="M1216" s="29" t="s">
        <v>211</v>
      </c>
      <c r="N1216" s="228" t="s">
        <v>89</v>
      </c>
    </row>
    <row r="1217" spans="1:14" ht="15" customHeight="1" x14ac:dyDescent="0.25">
      <c r="B1217" s="32" t="s">
        <v>90</v>
      </c>
      <c r="D1217" s="6">
        <f>SUM(D1214:D1216)</f>
        <v>0</v>
      </c>
      <c r="E1217" s="6">
        <f>SUM(E1214:E1216)</f>
        <v>0</v>
      </c>
      <c r="F1217" s="6">
        <f>SUM(F1214:F1216)</f>
        <v>0</v>
      </c>
      <c r="G1217" s="6">
        <f>SUM(G1214:G1216)</f>
        <v>0</v>
      </c>
      <c r="H1217" s="6">
        <f>SUM(H1214:H1216)</f>
        <v>0</v>
      </c>
      <c r="L1217" s="1" t="s">
        <v>233</v>
      </c>
      <c r="M1217" s="29" t="s">
        <v>211</v>
      </c>
      <c r="N1217" s="228" t="s">
        <v>90</v>
      </c>
    </row>
    <row r="1218" spans="1:14" ht="15" customHeight="1" x14ac:dyDescent="0.25">
      <c r="B1218" s="5"/>
      <c r="D1218" s="6"/>
      <c r="E1218" s="6"/>
      <c r="F1218" s="6"/>
      <c r="G1218" s="167"/>
      <c r="H1218" s="6"/>
      <c r="L1218" s="1" t="s">
        <v>233</v>
      </c>
      <c r="M1218" s="29" t="s">
        <v>211</v>
      </c>
    </row>
    <row r="1219" spans="1:14" ht="18.75" customHeight="1" x14ac:dyDescent="0.3">
      <c r="A1219" s="8" t="s">
        <v>100</v>
      </c>
      <c r="D1219" s="2">
        <f>StartYear</f>
        <v>2017</v>
      </c>
      <c r="E1219" s="2">
        <f>D1219+1</f>
        <v>2018</v>
      </c>
      <c r="F1219" s="2">
        <f>E1219+1</f>
        <v>2019</v>
      </c>
      <c r="G1219" s="2">
        <f>F1219+1</f>
        <v>2020</v>
      </c>
      <c r="H1219" s="2">
        <f>G1219+1</f>
        <v>2021</v>
      </c>
      <c r="L1219" s="1" t="s">
        <v>233</v>
      </c>
      <c r="M1219" s="29" t="s">
        <v>211</v>
      </c>
      <c r="N1219" s="228" t="s">
        <v>100</v>
      </c>
    </row>
    <row r="1220" spans="1:14" ht="15" customHeight="1" x14ac:dyDescent="0.25">
      <c r="B1220" s="57" t="str">
        <f>(StartYear-1) &amp; " Surplus Applied to " &amp; StartYear</f>
        <v>2016 Surplus Applied to 2017</v>
      </c>
      <c r="C1220" s="29"/>
      <c r="D1220" s="186">
        <v>0</v>
      </c>
      <c r="E1220" s="187"/>
      <c r="F1220" s="187"/>
      <c r="G1220" s="187"/>
      <c r="H1220" s="188"/>
      <c r="L1220" s="1" t="s">
        <v>233</v>
      </c>
      <c r="M1220" s="29" t="s">
        <v>211</v>
      </c>
      <c r="N1220" s="228" t="s">
        <v>235</v>
      </c>
    </row>
    <row r="1221" spans="1:14" ht="15" customHeight="1" x14ac:dyDescent="0.25">
      <c r="B1221" s="57" t="str">
        <f>StartYear &amp; " Surplus Applied to " &amp; (StartYear-1)</f>
        <v>2017 Surplus Applied to 2016</v>
      </c>
      <c r="C1221" s="29"/>
      <c r="D1221" s="189">
        <v>0</v>
      </c>
      <c r="E1221" s="113"/>
      <c r="F1221" s="113"/>
      <c r="G1221" s="113"/>
      <c r="H1221" s="117"/>
      <c r="L1221" s="1" t="s">
        <v>233</v>
      </c>
      <c r="M1221" s="29" t="s">
        <v>211</v>
      </c>
      <c r="N1221" s="228" t="s">
        <v>236</v>
      </c>
    </row>
    <row r="1222" spans="1:14" ht="15" customHeight="1" x14ac:dyDescent="0.25">
      <c r="B1222" s="57" t="str">
        <f>( StartYear) &amp; " Surplus Applied to " &amp; ( StartYear + 1 )</f>
        <v>2017 Surplus Applied to 2018</v>
      </c>
      <c r="C1222" s="29"/>
      <c r="D1222" s="184">
        <f ca="1">D1206+D1211-D1217</f>
        <v>0</v>
      </c>
      <c r="E1222" s="185">
        <f ca="1">D1222</f>
        <v>0</v>
      </c>
      <c r="F1222" s="181"/>
      <c r="G1222" s="181"/>
      <c r="H1222" s="182"/>
      <c r="L1222" s="1" t="s">
        <v>233</v>
      </c>
      <c r="M1222" s="29" t="s">
        <v>211</v>
      </c>
      <c r="N1222" s="228" t="s">
        <v>237</v>
      </c>
    </row>
    <row r="1223" spans="1:14" ht="15" customHeight="1" x14ac:dyDescent="0.25">
      <c r="B1223" s="57" t="str">
        <f xml:space="preserve"> ( StartYear + 1 ) &amp; " Surplus Applied to " &amp; ( StartYear )</f>
        <v>2018 Surplus Applied to 2017</v>
      </c>
      <c r="C1223" s="52"/>
      <c r="D1223" s="134">
        <v>0</v>
      </c>
      <c r="E1223" s="9">
        <v>0</v>
      </c>
      <c r="F1223" s="113"/>
      <c r="G1223" s="113"/>
      <c r="H1223" s="117"/>
      <c r="L1223" s="1" t="s">
        <v>233</v>
      </c>
      <c r="M1223" s="29" t="s">
        <v>211</v>
      </c>
      <c r="N1223" s="228" t="s">
        <v>238</v>
      </c>
    </row>
    <row r="1224" spans="1:14" ht="15" customHeight="1" x14ac:dyDescent="0.25">
      <c r="B1224" s="119" t="str">
        <f xml:space="preserve"> ( StartYear + 1 ) &amp; " Surplus Applied to " &amp; ( StartYear + 2 )</f>
        <v>2018 Surplus Applied to 2019</v>
      </c>
      <c r="C1224" s="52"/>
      <c r="D1224" s="114"/>
      <c r="E1224" s="9">
        <v>0</v>
      </c>
      <c r="F1224" s="51">
        <f>E1224</f>
        <v>0</v>
      </c>
      <c r="G1224" s="113"/>
      <c r="H1224" s="117"/>
      <c r="L1224" s="1" t="s">
        <v>233</v>
      </c>
      <c r="M1224" s="29" t="s">
        <v>211</v>
      </c>
      <c r="N1224" s="228" t="s">
        <v>239</v>
      </c>
    </row>
    <row r="1225" spans="1:14" ht="15" customHeight="1" x14ac:dyDescent="0.25">
      <c r="B1225" s="119" t="str">
        <f xml:space="preserve"> ( StartYear + 2 ) &amp; " Surplus Applied to " &amp; ( StartYear + 1 )</f>
        <v>2019 Surplus Applied to 2018</v>
      </c>
      <c r="C1225" s="52"/>
      <c r="D1225" s="114"/>
      <c r="E1225" s="51">
        <v>0</v>
      </c>
      <c r="F1225" s="9">
        <v>0</v>
      </c>
      <c r="G1225" s="113"/>
      <c r="H1225" s="117"/>
      <c r="L1225" s="1" t="s">
        <v>233</v>
      </c>
      <c r="M1225" s="29" t="s">
        <v>211</v>
      </c>
      <c r="N1225" s="228" t="s">
        <v>240</v>
      </c>
    </row>
    <row r="1226" spans="1:14" ht="15" customHeight="1" x14ac:dyDescent="0.25">
      <c r="B1226" s="165" t="str">
        <f xml:space="preserve"> ( StartYear + 2 ) &amp; " Surplus Applied to " &amp; ( StartYear + 3 )</f>
        <v>2019 Surplus Applied to 2020</v>
      </c>
      <c r="C1226" s="29"/>
      <c r="D1226" s="114"/>
      <c r="E1226" s="113"/>
      <c r="F1226" s="9">
        <v>4147</v>
      </c>
      <c r="G1226" s="51">
        <f>F1226</f>
        <v>4147</v>
      </c>
      <c r="H1226" s="117"/>
      <c r="L1226" s="1" t="s">
        <v>233</v>
      </c>
      <c r="M1226" s="29" t="s">
        <v>211</v>
      </c>
      <c r="N1226" s="228" t="s">
        <v>241</v>
      </c>
    </row>
    <row r="1227" spans="1:14" ht="15" customHeight="1" x14ac:dyDescent="0.25">
      <c r="B1227" s="165" t="str">
        <f xml:space="preserve"> ( StartYear + 3 ) &amp; " Surplus Applied to " &amp; ( StartYear + 2 )</f>
        <v>2020 Surplus Applied to 2019</v>
      </c>
      <c r="C1227" s="29"/>
      <c r="D1227" s="114"/>
      <c r="E1227" s="113"/>
      <c r="F1227" s="51">
        <v>0</v>
      </c>
      <c r="G1227" s="9">
        <v>0</v>
      </c>
      <c r="H1227" s="117"/>
      <c r="L1227" s="1" t="s">
        <v>233</v>
      </c>
      <c r="M1227" s="29" t="s">
        <v>211</v>
      </c>
      <c r="N1227" s="228" t="s">
        <v>242</v>
      </c>
    </row>
    <row r="1228" spans="1:14" ht="15" customHeight="1" x14ac:dyDescent="0.25">
      <c r="B1228" s="165" t="str">
        <f xml:space="preserve"> ( StartYear + 3 ) &amp; " Surplus Applied to " &amp; ( StartYear + 4 )</f>
        <v>2020 Surplus Applied to 2021</v>
      </c>
      <c r="C1228" s="29"/>
      <c r="D1228" s="114"/>
      <c r="E1228" s="113"/>
      <c r="F1228" s="113"/>
      <c r="G1228" s="9">
        <v>0</v>
      </c>
      <c r="H1228" s="46">
        <f>G1228</f>
        <v>0</v>
      </c>
      <c r="L1228" s="1" t="s">
        <v>233</v>
      </c>
      <c r="M1228" s="29" t="s">
        <v>211</v>
      </c>
      <c r="N1228" s="228" t="s">
        <v>243</v>
      </c>
    </row>
    <row r="1229" spans="1:14" ht="15" customHeight="1" x14ac:dyDescent="0.25">
      <c r="B1229" s="165" t="str">
        <f xml:space="preserve"> ( StartYear + 4 ) &amp; " Surplus Applied to " &amp; ( StartYear + 3 )</f>
        <v>2021 Surplus Applied to 2020</v>
      </c>
      <c r="C1229" s="29"/>
      <c r="D1229" s="115"/>
      <c r="E1229" s="116"/>
      <c r="F1229" s="116"/>
      <c r="G1229" s="47">
        <v>0</v>
      </c>
      <c r="H1229" s="41">
        <v>0</v>
      </c>
      <c r="L1229" s="1" t="s">
        <v>233</v>
      </c>
      <c r="M1229" s="29" t="s">
        <v>211</v>
      </c>
      <c r="N1229" s="228" t="s">
        <v>244</v>
      </c>
    </row>
    <row r="1230" spans="1:14" ht="15" customHeight="1" x14ac:dyDescent="0.25">
      <c r="B1230" s="32" t="s">
        <v>17</v>
      </c>
      <c r="D1230" s="6">
        <f ca="1">D1220-D1221+D1223-D1222</f>
        <v>0</v>
      </c>
      <c r="E1230" s="6">
        <f ca="1">E1222+E1225-E1223-E1224</f>
        <v>0</v>
      </c>
      <c r="F1230" s="6">
        <f>F1224+F1227-F1225-F1226</f>
        <v>-4147</v>
      </c>
      <c r="G1230" s="6">
        <f>G1226+G1229-G1227-G1228</f>
        <v>4147</v>
      </c>
      <c r="H1230" s="6">
        <f>H1228 - H1229</f>
        <v>0</v>
      </c>
      <c r="L1230" s="1" t="s">
        <v>233</v>
      </c>
      <c r="M1230" s="29" t="s">
        <v>211</v>
      </c>
      <c r="N1230" s="228" t="s">
        <v>17</v>
      </c>
    </row>
    <row r="1231" spans="1:14" ht="15" customHeight="1" x14ac:dyDescent="0.25">
      <c r="B1231" s="5"/>
      <c r="D1231" s="6"/>
      <c r="E1231" s="6"/>
      <c r="F1231" s="6"/>
      <c r="G1231" s="6"/>
      <c r="H1231" s="6"/>
      <c r="L1231" s="1" t="s">
        <v>233</v>
      </c>
      <c r="M1231" s="29" t="s">
        <v>211</v>
      </c>
    </row>
    <row r="1232" spans="1:14" ht="15" customHeight="1" x14ac:dyDescent="0.25">
      <c r="B1232" s="54" t="s">
        <v>12</v>
      </c>
      <c r="C1232" s="52"/>
      <c r="D1232" s="75"/>
      <c r="E1232" s="111"/>
      <c r="F1232" s="111"/>
      <c r="G1232" s="111"/>
      <c r="H1232" s="76"/>
      <c r="L1232" s="1" t="s">
        <v>233</v>
      </c>
      <c r="M1232" s="29" t="s">
        <v>211</v>
      </c>
      <c r="N1232" s="228" t="s">
        <v>12</v>
      </c>
    </row>
    <row r="1233" spans="1:14" ht="15" customHeight="1" x14ac:dyDescent="0.25">
      <c r="B1233" s="5"/>
      <c r="D1233" s="6"/>
      <c r="E1233" s="6"/>
      <c r="F1233" s="6"/>
      <c r="G1233" s="6"/>
      <c r="H1233" s="6"/>
      <c r="L1233" s="1" t="s">
        <v>233</v>
      </c>
      <c r="M1233" s="29" t="s">
        <v>211</v>
      </c>
    </row>
    <row r="1234" spans="1:14" ht="18.75" customHeight="1" x14ac:dyDescent="0.3">
      <c r="A1234" s="38" t="s">
        <v>26</v>
      </c>
      <c r="C1234" s="52">
        <f>A1200</f>
        <v>31</v>
      </c>
      <c r="D1234" s="112">
        <f ca="1" xml:space="preserve"> D1206 + D1211 - D1217 + D1230 + D1232</f>
        <v>0</v>
      </c>
      <c r="E1234" s="112">
        <f ca="1" xml:space="preserve"> E1206 + E1211 - E1217 + E1230 + E1232</f>
        <v>0</v>
      </c>
      <c r="F1234" s="112">
        <f ca="1" xml:space="preserve"> F1206 + F1211 - F1217 + F1230 + F1232</f>
        <v>0</v>
      </c>
      <c r="G1234" s="112">
        <f ca="1" xml:space="preserve"> G1206 + G1211 - G1217 + G1230 + G1232</f>
        <v>25489</v>
      </c>
      <c r="H1234" s="174">
        <f ca="1" xml:space="preserve"> H1206 + H1211 - H1217 + H1230 + H1232</f>
        <v>0</v>
      </c>
      <c r="L1234" s="1" t="s">
        <v>233</v>
      </c>
      <c r="M1234" s="29" t="s">
        <v>211</v>
      </c>
      <c r="N1234" s="228" t="s">
        <v>26</v>
      </c>
    </row>
    <row r="1235" spans="1:14" ht="15" customHeight="1" x14ac:dyDescent="0.25">
      <c r="B1235" s="5"/>
      <c r="C1235" s="108" t="s">
        <v>158</v>
      </c>
      <c r="D1235" s="6"/>
      <c r="E1235" s="6"/>
      <c r="F1235" s="28"/>
      <c r="G1235" s="28"/>
      <c r="H1235" s="28"/>
      <c r="L1235" s="1" t="s">
        <v>233</v>
      </c>
      <c r="M1235" s="29" t="s">
        <v>211</v>
      </c>
      <c r="N1235" s="228" t="s">
        <v>158</v>
      </c>
    </row>
    <row r="1236" spans="1:14" ht="15.75" customHeight="1" thickBot="1" x14ac:dyDescent="0.3">
      <c r="L1236" s="1" t="s">
        <v>233</v>
      </c>
      <c r="M1236" s="29" t="s">
        <v>211</v>
      </c>
    </row>
    <row r="1237" spans="1:14" ht="15" customHeight="1" x14ac:dyDescent="0.25">
      <c r="A1237" s="7"/>
      <c r="B1237" s="7"/>
      <c r="C1237" s="7"/>
      <c r="D1237" s="170"/>
      <c r="E1237" s="7"/>
      <c r="F1237" s="7"/>
      <c r="G1237" s="7"/>
      <c r="H1237" s="7"/>
      <c r="L1237" s="1" t="s">
        <v>233</v>
      </c>
      <c r="M1237" s="29" t="s">
        <v>211</v>
      </c>
    </row>
    <row r="1238" spans="1:14" ht="21" customHeight="1" x14ac:dyDescent="0.35">
      <c r="A1238" s="12">
        <f>MAX(A$1:A1237)+1</f>
        <v>32</v>
      </c>
      <c r="B1238" s="12"/>
      <c r="C1238" s="214" t="str">
        <f ca="1">OFFSET($B$4,A1238-1,0)</f>
        <v>Oregon Trail Wind Park, LLC - Oregon Trail Wind Park</v>
      </c>
      <c r="D1238" s="215"/>
      <c r="E1238" s="216"/>
      <c r="F1238" s="216"/>
      <c r="G1238" s="217"/>
      <c r="H1238" s="218"/>
      <c r="L1238" s="1" t="s">
        <v>233</v>
      </c>
      <c r="M1238" s="29" t="s">
        <v>194</v>
      </c>
      <c r="N1238" s="228">
        <v>34</v>
      </c>
    </row>
    <row r="1239" spans="1:14" ht="15" customHeight="1" x14ac:dyDescent="0.25">
      <c r="C1239" s="1" t="str">
        <f ca="1">VLOOKUP(C1238,Facilities,3,FALSE)</f>
        <v>REC only</v>
      </c>
      <c r="L1239" s="1" t="s">
        <v>233</v>
      </c>
      <c r="M1239" s="29" t="s">
        <v>194</v>
      </c>
      <c r="N1239" s="228" t="s">
        <v>181</v>
      </c>
    </row>
    <row r="1240" spans="1:14" ht="18.75" customHeight="1" x14ac:dyDescent="0.3">
      <c r="A1240" s="8" t="s">
        <v>21</v>
      </c>
      <c r="B1240" s="8"/>
      <c r="D1240" s="118">
        <f>StartYear</f>
        <v>2017</v>
      </c>
      <c r="E1240" s="2">
        <f>D1240+1</f>
        <v>2018</v>
      </c>
      <c r="F1240" s="2">
        <f>E1240+1</f>
        <v>2019</v>
      </c>
      <c r="G1240" s="2">
        <f>F1240+1</f>
        <v>2020</v>
      </c>
      <c r="H1240" s="2">
        <f>G1240+1</f>
        <v>2021</v>
      </c>
      <c r="L1240" s="1" t="s">
        <v>233</v>
      </c>
      <c r="M1240" s="29" t="s">
        <v>194</v>
      </c>
      <c r="N1240" s="228" t="s">
        <v>21</v>
      </c>
    </row>
    <row r="1241" spans="1:14" ht="15" customHeight="1" x14ac:dyDescent="0.25">
      <c r="B1241" s="119" t="str">
        <f ca="1">IF(C1277&lt;&gt;"REC only","Total MWh ","")&amp;IF(C1239="PSE owned","Produced","Purchased")&amp;" from "&amp;C1238</f>
        <v>Purchased from Oregon Trail Wind Park, LLC - Oregon Trail Wind Park</v>
      </c>
      <c r="C1241" s="52"/>
      <c r="D1241" s="3"/>
      <c r="E1241" s="3"/>
      <c r="F1241" s="3">
        <v>9879</v>
      </c>
      <c r="G1241" s="3"/>
      <c r="H1241" s="4"/>
      <c r="L1241" s="1" t="s">
        <v>233</v>
      </c>
      <c r="M1241" s="29" t="s">
        <v>194</v>
      </c>
      <c r="N1241" s="228" t="s">
        <v>275</v>
      </c>
    </row>
    <row r="1242" spans="1:14" ht="15" customHeight="1" x14ac:dyDescent="0.25">
      <c r="B1242" s="57" t="s">
        <v>25</v>
      </c>
      <c r="C1242" s="52"/>
      <c r="D1242" s="132"/>
      <c r="E1242" s="132"/>
      <c r="F1242" s="132">
        <v>1</v>
      </c>
      <c r="G1242" s="132"/>
      <c r="H1242" s="133"/>
      <c r="L1242" s="1" t="s">
        <v>233</v>
      </c>
      <c r="M1242" s="29" t="s">
        <v>194</v>
      </c>
      <c r="N1242" s="228" t="s">
        <v>25</v>
      </c>
    </row>
    <row r="1243" spans="1:14" ht="15" customHeight="1" x14ac:dyDescent="0.25">
      <c r="B1243" s="57" t="s">
        <v>20</v>
      </c>
      <c r="C1243" s="52"/>
      <c r="D1243" s="42"/>
      <c r="E1243" s="42"/>
      <c r="F1243" s="42">
        <v>1</v>
      </c>
      <c r="G1243" s="42"/>
      <c r="H1243" s="43"/>
      <c r="L1243" s="1" t="s">
        <v>233</v>
      </c>
      <c r="M1243" s="29" t="s">
        <v>194</v>
      </c>
      <c r="N1243" s="228" t="s">
        <v>20</v>
      </c>
    </row>
    <row r="1244" spans="1:14" ht="15" customHeight="1" x14ac:dyDescent="0.25">
      <c r="B1244" s="54" t="s">
        <v>22</v>
      </c>
      <c r="C1244" s="55"/>
      <c r="D1244" s="131">
        <f xml:space="preserve"> D1241 * D1242 * D1243</f>
        <v>0</v>
      </c>
      <c r="E1244" s="131">
        <f xml:space="preserve"> E1241 * E1242 * E1243</f>
        <v>0</v>
      </c>
      <c r="F1244" s="131">
        <f xml:space="preserve"> ROUNDDOWN(F1241 * F1242 * F1243,0)</f>
        <v>9879</v>
      </c>
      <c r="G1244" s="131">
        <f xml:space="preserve"> ROUNDDOWN(G1241 * G1242 * G1243,0)</f>
        <v>0</v>
      </c>
      <c r="H1244" s="131">
        <f xml:space="preserve"> ROUNDDOWN(H1241 * H1242 * H1243,0)</f>
        <v>0</v>
      </c>
      <c r="L1244" s="1" t="s">
        <v>233</v>
      </c>
      <c r="M1244" s="29" t="s">
        <v>194</v>
      </c>
      <c r="N1244" s="228" t="s">
        <v>22</v>
      </c>
    </row>
    <row r="1245" spans="1:14" ht="15" customHeight="1" x14ac:dyDescent="0.25">
      <c r="B1245" s="22"/>
      <c r="C1245" s="29"/>
      <c r="D1245" s="36"/>
      <c r="E1245" s="36"/>
      <c r="F1245" s="36"/>
      <c r="G1245" s="167"/>
      <c r="H1245" s="36"/>
      <c r="L1245" s="1" t="s">
        <v>233</v>
      </c>
      <c r="M1245" s="29" t="s">
        <v>194</v>
      </c>
    </row>
    <row r="1246" spans="1:14" ht="18.75" customHeight="1" x14ac:dyDescent="0.3">
      <c r="A1246" s="39" t="s">
        <v>119</v>
      </c>
      <c r="C1246" s="29"/>
      <c r="D1246" s="2">
        <f>StartYear</f>
        <v>2017</v>
      </c>
      <c r="E1246" s="2">
        <f>D1246+1</f>
        <v>2018</v>
      </c>
      <c r="F1246" s="2">
        <f>E1246+1</f>
        <v>2019</v>
      </c>
      <c r="G1246" s="2">
        <f>F1246+1</f>
        <v>2020</v>
      </c>
      <c r="H1246" s="2">
        <f>G1246+1</f>
        <v>2021</v>
      </c>
      <c r="L1246" s="1" t="s">
        <v>233</v>
      </c>
      <c r="M1246" s="29" t="s">
        <v>194</v>
      </c>
      <c r="N1246" s="228" t="s">
        <v>119</v>
      </c>
    </row>
    <row r="1247" spans="1:14" x14ac:dyDescent="0.25">
      <c r="B1247" s="57" t="s">
        <v>10</v>
      </c>
      <c r="C1247" s="52"/>
      <c r="D1247" s="10">
        <f ca="1">IF(VLOOKUP($C1238,Facilities,5,FALSE)="Eligible", D1244*ApprenticeshipBonus, 0 )</f>
        <v>0</v>
      </c>
      <c r="E1247" s="109">
        <f ca="1">IF(VLOOKUP($C1238,Facilities,5,FALSE)="Eligible", E1244*ApprenticeshipBonus, 0 )</f>
        <v>0</v>
      </c>
      <c r="F1247" s="109">
        <f ca="1">IF(VLOOKUP($C1238,Facilities,5,FALSE)="Eligible", F1244*ApprenticeshipBonus, 0 )</f>
        <v>0</v>
      </c>
      <c r="G1247" s="109">
        <f ca="1">IF(VLOOKUP($C1238,Facilities,5,FALSE)="Eligible", G1244*ApprenticeshipBonus, 0 )</f>
        <v>0</v>
      </c>
      <c r="H1247" s="11">
        <f ca="1">IF(VLOOKUP($C1238,Facilities,5,FALSE)="Eligible", H1244*ApprenticeshipBonus, 0 )</f>
        <v>0</v>
      </c>
      <c r="L1247" s="1" t="s">
        <v>233</v>
      </c>
      <c r="M1247" s="29" t="s">
        <v>194</v>
      </c>
      <c r="N1247" s="228" t="s">
        <v>10</v>
      </c>
    </row>
    <row r="1248" spans="1:14" ht="15" customHeight="1" x14ac:dyDescent="0.25">
      <c r="B1248" s="57" t="s">
        <v>6</v>
      </c>
      <c r="C1248" s="52"/>
      <c r="D1248" s="44">
        <f ca="1">IF(VLOOKUP($C1238,Facilities,6,FALSE)="Eligible", D1244, 0 )</f>
        <v>0</v>
      </c>
      <c r="E1248" s="110">
        <f ca="1">IF(VLOOKUP($C1238,Facilities,6,FALSE)="Eligible", E1244, 0 )</f>
        <v>0</v>
      </c>
      <c r="F1248" s="110">
        <f ca="1">IF(VLOOKUP($C1238,Facilities,6,FALSE)="Eligible", F1244, 0 )</f>
        <v>0</v>
      </c>
      <c r="G1248" s="110">
        <f ca="1">IF(VLOOKUP($C1238,Facilities,6,FALSE)="Eligible", G1244, 0 )</f>
        <v>0</v>
      </c>
      <c r="H1248" s="45">
        <f ca="1">IF(VLOOKUP($C1238,Facilities,6,FALSE)="Eligible", H1244, 0 )</f>
        <v>0</v>
      </c>
      <c r="L1248" s="1" t="s">
        <v>233</v>
      </c>
      <c r="M1248" s="29" t="s">
        <v>194</v>
      </c>
      <c r="N1248" s="228" t="s">
        <v>6</v>
      </c>
    </row>
    <row r="1249" spans="1:14" ht="15" customHeight="1" x14ac:dyDescent="0.25">
      <c r="B1249" s="56" t="s">
        <v>121</v>
      </c>
      <c r="C1249" s="55"/>
      <c r="D1249" s="37">
        <f ca="1">SUM(D1247:D1248)</f>
        <v>0</v>
      </c>
      <c r="E1249" s="37">
        <f ca="1">SUM(E1247:E1248)</f>
        <v>0</v>
      </c>
      <c r="F1249" s="37">
        <f ca="1">SUM(F1247:F1248)</f>
        <v>0</v>
      </c>
      <c r="G1249" s="37">
        <f ca="1">SUM(G1247:G1248)</f>
        <v>0</v>
      </c>
      <c r="H1249" s="37">
        <f ca="1">SUM(H1247:H1248)</f>
        <v>0</v>
      </c>
      <c r="L1249" s="1" t="s">
        <v>233</v>
      </c>
      <c r="M1249" s="29" t="s">
        <v>194</v>
      </c>
      <c r="N1249" s="228" t="s">
        <v>121</v>
      </c>
    </row>
    <row r="1250" spans="1:14" ht="15" customHeight="1" x14ac:dyDescent="0.25">
      <c r="B1250" s="29"/>
      <c r="C1250" s="29"/>
      <c r="D1250" s="30"/>
      <c r="E1250" s="30"/>
      <c r="F1250" s="30"/>
      <c r="G1250" s="169"/>
      <c r="H1250" s="30"/>
      <c r="L1250" s="1" t="s">
        <v>233</v>
      </c>
      <c r="M1250" s="29" t="s">
        <v>194</v>
      </c>
    </row>
    <row r="1251" spans="1:14" ht="18.75" customHeight="1" x14ac:dyDescent="0.3">
      <c r="A1251" s="38" t="s">
        <v>30</v>
      </c>
      <c r="C1251" s="29"/>
      <c r="D1251" s="2">
        <f>StartYear</f>
        <v>2017</v>
      </c>
      <c r="E1251" s="2">
        <f>D1251+1</f>
        <v>2018</v>
      </c>
      <c r="F1251" s="2">
        <f>E1251+1</f>
        <v>2019</v>
      </c>
      <c r="G1251" s="2">
        <f>F1251+1</f>
        <v>2020</v>
      </c>
      <c r="H1251" s="2">
        <f>G1251+1</f>
        <v>2021</v>
      </c>
      <c r="L1251" s="1" t="s">
        <v>233</v>
      </c>
      <c r="M1251" s="29" t="s">
        <v>194</v>
      </c>
      <c r="N1251" s="228" t="s">
        <v>30</v>
      </c>
    </row>
    <row r="1252" spans="1:14" ht="15" customHeight="1" x14ac:dyDescent="0.25">
      <c r="B1252" s="57" t="s">
        <v>47</v>
      </c>
      <c r="C1252" s="52"/>
      <c r="D1252" s="3"/>
      <c r="E1252" s="3"/>
      <c r="F1252" s="3"/>
      <c r="G1252" s="3"/>
      <c r="H1252" s="4"/>
      <c r="L1252" s="1" t="s">
        <v>233</v>
      </c>
      <c r="M1252" s="29" t="s">
        <v>194</v>
      </c>
      <c r="N1252" s="228" t="s">
        <v>47</v>
      </c>
    </row>
    <row r="1253" spans="1:14" ht="15" customHeight="1" x14ac:dyDescent="0.25">
      <c r="B1253" s="58" t="s">
        <v>23</v>
      </c>
      <c r="C1253" s="59"/>
      <c r="D1253" s="137"/>
      <c r="E1253" s="137"/>
      <c r="F1253" s="137"/>
      <c r="G1253" s="137"/>
      <c r="H1253" s="138"/>
      <c r="L1253" s="1" t="s">
        <v>233</v>
      </c>
      <c r="M1253" s="29" t="s">
        <v>194</v>
      </c>
      <c r="N1253" s="228" t="s">
        <v>23</v>
      </c>
    </row>
    <row r="1254" spans="1:14" ht="15" customHeight="1" x14ac:dyDescent="0.25">
      <c r="B1254" s="68" t="s">
        <v>89</v>
      </c>
      <c r="C1254" s="67"/>
      <c r="D1254" s="191"/>
      <c r="E1254" s="139"/>
      <c r="F1254" s="139"/>
      <c r="G1254" s="139"/>
      <c r="H1254" s="140"/>
      <c r="L1254" s="1" t="s">
        <v>233</v>
      </c>
      <c r="M1254" s="29" t="s">
        <v>194</v>
      </c>
      <c r="N1254" s="228" t="s">
        <v>89</v>
      </c>
    </row>
    <row r="1255" spans="1:14" ht="15" customHeight="1" x14ac:dyDescent="0.25">
      <c r="B1255" s="32" t="s">
        <v>90</v>
      </c>
      <c r="D1255" s="6">
        <f>SUM(D1252:D1254)</f>
        <v>0</v>
      </c>
      <c r="E1255" s="6">
        <f>SUM(E1252:E1254)</f>
        <v>0</v>
      </c>
      <c r="F1255" s="6">
        <f>SUM(F1252:F1254)</f>
        <v>0</v>
      </c>
      <c r="G1255" s="6">
        <f>SUM(G1252:G1254)</f>
        <v>0</v>
      </c>
      <c r="H1255" s="6">
        <f>SUM(H1252:H1254)</f>
        <v>0</v>
      </c>
      <c r="L1255" s="1" t="s">
        <v>233</v>
      </c>
      <c r="M1255" s="29" t="s">
        <v>194</v>
      </c>
      <c r="N1255" s="228" t="s">
        <v>90</v>
      </c>
    </row>
    <row r="1256" spans="1:14" ht="15" customHeight="1" x14ac:dyDescent="0.25">
      <c r="B1256" s="5"/>
      <c r="D1256" s="6"/>
      <c r="E1256" s="6"/>
      <c r="F1256" s="6"/>
      <c r="G1256" s="167"/>
      <c r="H1256" s="6"/>
      <c r="L1256" s="1" t="s">
        <v>233</v>
      </c>
      <c r="M1256" s="29" t="s">
        <v>194</v>
      </c>
    </row>
    <row r="1257" spans="1:14" ht="18.75" customHeight="1" x14ac:dyDescent="0.3">
      <c r="A1257" s="8" t="s">
        <v>100</v>
      </c>
      <c r="D1257" s="2">
        <f>StartYear</f>
        <v>2017</v>
      </c>
      <c r="E1257" s="2">
        <f>D1257+1</f>
        <v>2018</v>
      </c>
      <c r="F1257" s="2">
        <f>E1257+1</f>
        <v>2019</v>
      </c>
      <c r="G1257" s="2">
        <f>F1257+1</f>
        <v>2020</v>
      </c>
      <c r="H1257" s="2">
        <f>G1257+1</f>
        <v>2021</v>
      </c>
      <c r="L1257" s="1" t="s">
        <v>233</v>
      </c>
      <c r="M1257" s="29" t="s">
        <v>194</v>
      </c>
      <c r="N1257" s="228" t="s">
        <v>100</v>
      </c>
    </row>
    <row r="1258" spans="1:14" ht="15" customHeight="1" x14ac:dyDescent="0.25">
      <c r="B1258" s="57" t="str">
        <f>(StartYear-1) &amp; " Surplus Applied to " &amp; StartYear</f>
        <v>2016 Surplus Applied to 2017</v>
      </c>
      <c r="C1258" s="29"/>
      <c r="D1258" s="186">
        <v>0</v>
      </c>
      <c r="E1258" s="187"/>
      <c r="F1258" s="187"/>
      <c r="G1258" s="187"/>
      <c r="H1258" s="188"/>
      <c r="L1258" s="1" t="s">
        <v>233</v>
      </c>
      <c r="M1258" s="29" t="s">
        <v>194</v>
      </c>
      <c r="N1258" s="228" t="s">
        <v>235</v>
      </c>
    </row>
    <row r="1259" spans="1:14" ht="15" customHeight="1" x14ac:dyDescent="0.25">
      <c r="B1259" s="57" t="str">
        <f>StartYear &amp; " Surplus Applied to " &amp; (StartYear-1)</f>
        <v>2017 Surplus Applied to 2016</v>
      </c>
      <c r="C1259" s="29"/>
      <c r="D1259" s="189">
        <v>0</v>
      </c>
      <c r="E1259" s="113"/>
      <c r="F1259" s="113"/>
      <c r="G1259" s="113"/>
      <c r="H1259" s="117"/>
      <c r="L1259" s="1" t="s">
        <v>233</v>
      </c>
      <c r="M1259" s="29" t="s">
        <v>194</v>
      </c>
      <c r="N1259" s="228" t="s">
        <v>236</v>
      </c>
    </row>
    <row r="1260" spans="1:14" ht="15" customHeight="1" x14ac:dyDescent="0.25">
      <c r="B1260" s="57" t="str">
        <f>( StartYear) &amp; " Surplus Applied to " &amp; ( StartYear + 1 )</f>
        <v>2017 Surplus Applied to 2018</v>
      </c>
      <c r="C1260" s="29"/>
      <c r="D1260" s="184">
        <f ca="1">D1244+D1249-D1255</f>
        <v>0</v>
      </c>
      <c r="E1260" s="185">
        <f ca="1">D1260</f>
        <v>0</v>
      </c>
      <c r="F1260" s="181"/>
      <c r="G1260" s="181"/>
      <c r="H1260" s="182"/>
      <c r="L1260" s="1" t="s">
        <v>233</v>
      </c>
      <c r="M1260" s="29" t="s">
        <v>194</v>
      </c>
      <c r="N1260" s="228" t="s">
        <v>237</v>
      </c>
    </row>
    <row r="1261" spans="1:14" ht="15" customHeight="1" x14ac:dyDescent="0.25">
      <c r="B1261" s="57" t="str">
        <f xml:space="preserve"> ( StartYear + 1 ) &amp; " Surplus Applied to " &amp; ( StartYear )</f>
        <v>2018 Surplus Applied to 2017</v>
      </c>
      <c r="C1261" s="52"/>
      <c r="D1261" s="134">
        <v>0</v>
      </c>
      <c r="E1261" s="9">
        <v>0</v>
      </c>
      <c r="F1261" s="113"/>
      <c r="G1261" s="113"/>
      <c r="H1261" s="117"/>
      <c r="L1261" s="1" t="s">
        <v>233</v>
      </c>
      <c r="M1261" s="29" t="s">
        <v>194</v>
      </c>
      <c r="N1261" s="228" t="s">
        <v>238</v>
      </c>
    </row>
    <row r="1262" spans="1:14" ht="15" customHeight="1" x14ac:dyDescent="0.25">
      <c r="B1262" s="119" t="str">
        <f xml:space="preserve"> ( StartYear + 1 ) &amp; " Surplus Applied to " &amp; ( StartYear + 2 )</f>
        <v>2018 Surplus Applied to 2019</v>
      </c>
      <c r="C1262" s="52"/>
      <c r="D1262" s="114"/>
      <c r="E1262" s="9">
        <v>0</v>
      </c>
      <c r="F1262" s="51">
        <f>E1262</f>
        <v>0</v>
      </c>
      <c r="G1262" s="113"/>
      <c r="H1262" s="117"/>
      <c r="L1262" s="1" t="s">
        <v>233</v>
      </c>
      <c r="M1262" s="29" t="s">
        <v>194</v>
      </c>
      <c r="N1262" s="228" t="s">
        <v>239</v>
      </c>
    </row>
    <row r="1263" spans="1:14" ht="15" customHeight="1" x14ac:dyDescent="0.25">
      <c r="B1263" s="119" t="str">
        <f xml:space="preserve"> ( StartYear + 2 ) &amp; " Surplus Applied to " &amp; ( StartYear + 1 )</f>
        <v>2019 Surplus Applied to 2018</v>
      </c>
      <c r="C1263" s="52"/>
      <c r="D1263" s="114"/>
      <c r="E1263" s="51">
        <v>0</v>
      </c>
      <c r="F1263" s="9">
        <v>0</v>
      </c>
      <c r="G1263" s="113"/>
      <c r="H1263" s="117"/>
      <c r="L1263" s="1" t="s">
        <v>233</v>
      </c>
      <c r="M1263" s="29" t="s">
        <v>194</v>
      </c>
      <c r="N1263" s="228" t="s">
        <v>240</v>
      </c>
    </row>
    <row r="1264" spans="1:14" ht="15" customHeight="1" x14ac:dyDescent="0.25">
      <c r="B1264" s="165" t="str">
        <f xml:space="preserve"> ( StartYear + 2 ) &amp; " Surplus Applied to " &amp; ( StartYear + 3 )</f>
        <v>2019 Surplus Applied to 2020</v>
      </c>
      <c r="C1264" s="29"/>
      <c r="D1264" s="114"/>
      <c r="E1264" s="113"/>
      <c r="F1264" s="9">
        <v>9879</v>
      </c>
      <c r="G1264" s="51">
        <f>F1264</f>
        <v>9879</v>
      </c>
      <c r="H1264" s="117"/>
      <c r="L1264" s="1" t="s">
        <v>233</v>
      </c>
      <c r="M1264" s="29" t="s">
        <v>194</v>
      </c>
      <c r="N1264" s="228" t="s">
        <v>241</v>
      </c>
    </row>
    <row r="1265" spans="1:14" ht="15" customHeight="1" x14ac:dyDescent="0.25">
      <c r="B1265" s="165" t="str">
        <f xml:space="preserve"> ( StartYear + 3 ) &amp; " Surplus Applied to " &amp; ( StartYear + 2 )</f>
        <v>2020 Surplus Applied to 2019</v>
      </c>
      <c r="C1265" s="29"/>
      <c r="D1265" s="114"/>
      <c r="E1265" s="113"/>
      <c r="F1265" s="51">
        <v>0</v>
      </c>
      <c r="G1265" s="9">
        <v>0</v>
      </c>
      <c r="H1265" s="117"/>
      <c r="L1265" s="1" t="s">
        <v>233</v>
      </c>
      <c r="M1265" s="29" t="s">
        <v>194</v>
      </c>
      <c r="N1265" s="228" t="s">
        <v>242</v>
      </c>
    </row>
    <row r="1266" spans="1:14" ht="15" customHeight="1" x14ac:dyDescent="0.25">
      <c r="B1266" s="165" t="str">
        <f xml:space="preserve"> ( StartYear + 3 ) &amp; " Surplus Applied to " &amp; ( StartYear + 4 )</f>
        <v>2020 Surplus Applied to 2021</v>
      </c>
      <c r="C1266" s="29"/>
      <c r="D1266" s="114"/>
      <c r="E1266" s="113"/>
      <c r="F1266" s="113"/>
      <c r="G1266" s="9">
        <f ca="1">G1244+G1249-G1255</f>
        <v>0</v>
      </c>
      <c r="H1266" s="46">
        <f ca="1">G1266</f>
        <v>0</v>
      </c>
      <c r="L1266" s="1" t="s">
        <v>233</v>
      </c>
      <c r="M1266" s="29" t="s">
        <v>194</v>
      </c>
      <c r="N1266" s="228" t="s">
        <v>243</v>
      </c>
    </row>
    <row r="1267" spans="1:14" ht="15" customHeight="1" x14ac:dyDescent="0.25">
      <c r="B1267" s="165" t="str">
        <f xml:space="preserve"> ( StartYear + 4 ) &amp; " Surplus Applied to " &amp; ( StartYear + 3 )</f>
        <v>2021 Surplus Applied to 2020</v>
      </c>
      <c r="C1267" s="29"/>
      <c r="D1267" s="115"/>
      <c r="E1267" s="116"/>
      <c r="F1267" s="116"/>
      <c r="G1267" s="47">
        <v>0</v>
      </c>
      <c r="H1267" s="41">
        <v>0</v>
      </c>
      <c r="L1267" s="1" t="s">
        <v>233</v>
      </c>
      <c r="M1267" s="29" t="s">
        <v>194</v>
      </c>
      <c r="N1267" s="228" t="s">
        <v>244</v>
      </c>
    </row>
    <row r="1268" spans="1:14" ht="15" customHeight="1" x14ac:dyDescent="0.25">
      <c r="B1268" s="32" t="s">
        <v>17</v>
      </c>
      <c r="D1268" s="6">
        <f ca="1">D1258-D1259+D1261-D1260</f>
        <v>0</v>
      </c>
      <c r="E1268" s="6">
        <f ca="1">E1260+E1263-E1261-E1262</f>
        <v>0</v>
      </c>
      <c r="F1268" s="6">
        <f>F1262+F1265-F1263-F1264</f>
        <v>-9879</v>
      </c>
      <c r="G1268" s="6">
        <f ca="1">G1264+G1267-G1265-G1266</f>
        <v>9879</v>
      </c>
      <c r="H1268" s="6">
        <f ca="1">H1266 - H1267</f>
        <v>0</v>
      </c>
      <c r="L1268" s="1" t="s">
        <v>233</v>
      </c>
      <c r="M1268" s="29" t="s">
        <v>194</v>
      </c>
      <c r="N1268" s="228" t="s">
        <v>17</v>
      </c>
    </row>
    <row r="1269" spans="1:14" ht="15" customHeight="1" x14ac:dyDescent="0.25">
      <c r="B1269" s="5"/>
      <c r="D1269" s="6"/>
      <c r="E1269" s="6"/>
      <c r="F1269" s="6"/>
      <c r="G1269" s="6"/>
      <c r="H1269" s="6"/>
      <c r="L1269" s="1" t="s">
        <v>233</v>
      </c>
      <c r="M1269" s="29" t="s">
        <v>194</v>
      </c>
    </row>
    <row r="1270" spans="1:14" ht="15" customHeight="1" x14ac:dyDescent="0.25">
      <c r="B1270" s="54" t="s">
        <v>12</v>
      </c>
      <c r="C1270" s="52"/>
      <c r="D1270" s="75"/>
      <c r="E1270" s="111"/>
      <c r="F1270" s="111"/>
      <c r="G1270" s="111"/>
      <c r="H1270" s="76"/>
      <c r="L1270" s="1" t="s">
        <v>233</v>
      </c>
      <c r="M1270" s="29" t="s">
        <v>194</v>
      </c>
      <c r="N1270" s="228" t="s">
        <v>12</v>
      </c>
    </row>
    <row r="1271" spans="1:14" ht="15" customHeight="1" x14ac:dyDescent="0.25">
      <c r="B1271" s="5"/>
      <c r="D1271" s="6"/>
      <c r="E1271" s="6"/>
      <c r="F1271" s="6"/>
      <c r="G1271" s="6"/>
      <c r="H1271" s="6"/>
      <c r="L1271" s="1" t="s">
        <v>233</v>
      </c>
      <c r="M1271" s="29" t="s">
        <v>194</v>
      </c>
    </row>
    <row r="1272" spans="1:14" ht="18.75" customHeight="1" x14ac:dyDescent="0.3">
      <c r="A1272" s="38" t="s">
        <v>26</v>
      </c>
      <c r="C1272" s="52">
        <f>A1238</f>
        <v>32</v>
      </c>
      <c r="D1272" s="112">
        <f ca="1" xml:space="preserve"> D1244 + D1249 - D1255 + D1268 + D1270</f>
        <v>0</v>
      </c>
      <c r="E1272" s="112">
        <f ca="1" xml:space="preserve"> E1244 + E1249 - E1255 + E1268 + E1270</f>
        <v>0</v>
      </c>
      <c r="F1272" s="112">
        <f ca="1" xml:space="preserve"> F1244 + F1249 - F1255 + F1268 + F1270</f>
        <v>0</v>
      </c>
      <c r="G1272" s="112">
        <f ca="1" xml:space="preserve"> G1244 + G1249 - G1255 + G1268 + G1270</f>
        <v>9879</v>
      </c>
      <c r="H1272" s="174">
        <f ca="1" xml:space="preserve"> H1244 + H1249 - H1255 + H1268 + H1270</f>
        <v>0</v>
      </c>
      <c r="L1272" s="1" t="s">
        <v>233</v>
      </c>
      <c r="M1272" s="29" t="s">
        <v>194</v>
      </c>
      <c r="N1272" s="228" t="s">
        <v>26</v>
      </c>
    </row>
    <row r="1273" spans="1:14" ht="15" customHeight="1" x14ac:dyDescent="0.25">
      <c r="B1273" s="5"/>
      <c r="C1273" s="108" t="s">
        <v>158</v>
      </c>
      <c r="D1273" s="6"/>
      <c r="E1273" s="6"/>
      <c r="F1273" s="28"/>
      <c r="G1273" s="28"/>
      <c r="H1273" s="28"/>
      <c r="L1273" s="1" t="s">
        <v>233</v>
      </c>
      <c r="M1273" s="29" t="s">
        <v>194</v>
      </c>
      <c r="N1273" s="228" t="s">
        <v>158</v>
      </c>
    </row>
    <row r="1274" spans="1:14" ht="15.75" customHeight="1" thickBot="1" x14ac:dyDescent="0.3">
      <c r="L1274" s="1" t="s">
        <v>233</v>
      </c>
      <c r="M1274" s="29" t="s">
        <v>194</v>
      </c>
    </row>
    <row r="1275" spans="1:14" ht="15" customHeight="1" x14ac:dyDescent="0.25">
      <c r="A1275" s="7"/>
      <c r="B1275" s="7"/>
      <c r="C1275" s="7"/>
      <c r="D1275" s="170"/>
      <c r="E1275" s="7"/>
      <c r="F1275" s="7"/>
      <c r="G1275" s="7"/>
      <c r="H1275" s="7"/>
      <c r="L1275" s="1" t="s">
        <v>233</v>
      </c>
      <c r="M1275" s="29" t="s">
        <v>194</v>
      </c>
    </row>
    <row r="1276" spans="1:14" ht="21" customHeight="1" x14ac:dyDescent="0.35">
      <c r="A1276" s="12">
        <f>MAX(A$1:A1275)+1</f>
        <v>33</v>
      </c>
      <c r="B1276" s="12"/>
      <c r="C1276" s="214" t="str">
        <f ca="1">OFFSET($B$4,A1276-1,0)</f>
        <v>PaTu Wind Farm - PaTu Wind</v>
      </c>
      <c r="D1276" s="215"/>
      <c r="E1276" s="216"/>
      <c r="F1276" s="216"/>
      <c r="G1276" s="217"/>
      <c r="H1276" s="218"/>
      <c r="L1276" s="1" t="s">
        <v>233</v>
      </c>
      <c r="M1276" s="29" t="s">
        <v>195</v>
      </c>
      <c r="N1276" s="228">
        <v>35</v>
      </c>
    </row>
    <row r="1277" spans="1:14" ht="15" customHeight="1" x14ac:dyDescent="0.25">
      <c r="C1277" s="1" t="str">
        <f ca="1">VLOOKUP(C1276,Facilities,3,FALSE)</f>
        <v>REC only</v>
      </c>
      <c r="L1277" s="1" t="s">
        <v>233</v>
      </c>
      <c r="M1277" s="29" t="s">
        <v>195</v>
      </c>
      <c r="N1277" s="228" t="s">
        <v>181</v>
      </c>
    </row>
    <row r="1278" spans="1:14" ht="18.75" customHeight="1" x14ac:dyDescent="0.3">
      <c r="A1278" s="8" t="s">
        <v>21</v>
      </c>
      <c r="B1278" s="8"/>
      <c r="D1278" s="118">
        <f>StartYear</f>
        <v>2017</v>
      </c>
      <c r="E1278" s="2">
        <f>D1278+1</f>
        <v>2018</v>
      </c>
      <c r="F1278" s="2">
        <f>E1278+1</f>
        <v>2019</v>
      </c>
      <c r="G1278" s="2">
        <f>F1278+1</f>
        <v>2020</v>
      </c>
      <c r="H1278" s="2">
        <f>G1278+1</f>
        <v>2021</v>
      </c>
      <c r="L1278" s="1" t="s">
        <v>233</v>
      </c>
      <c r="M1278" s="29" t="s">
        <v>195</v>
      </c>
      <c r="N1278" s="228" t="s">
        <v>21</v>
      </c>
    </row>
    <row r="1279" spans="1:14" ht="15" customHeight="1" x14ac:dyDescent="0.25">
      <c r="B1279" s="119" t="str">
        <f ca="1">IF(C1315&lt;&gt;"REC only","Total MWh ","")&amp;IF(C1277="PSE owned","Produced","Purchased")&amp;" from "&amp;C1276</f>
        <v>Purchased from PaTu Wind Farm - PaTu Wind</v>
      </c>
      <c r="C1279" s="52"/>
      <c r="D1279" s="3"/>
      <c r="E1279" s="3"/>
      <c r="F1279" s="3">
        <v>26276</v>
      </c>
      <c r="G1279" s="3"/>
      <c r="H1279" s="4"/>
      <c r="L1279" s="1" t="s">
        <v>233</v>
      </c>
      <c r="M1279" s="29" t="s">
        <v>195</v>
      </c>
      <c r="N1279" s="228" t="s">
        <v>276</v>
      </c>
    </row>
    <row r="1280" spans="1:14" ht="15" customHeight="1" x14ac:dyDescent="0.25">
      <c r="B1280" s="57" t="s">
        <v>25</v>
      </c>
      <c r="C1280" s="52"/>
      <c r="D1280" s="132"/>
      <c r="E1280" s="132"/>
      <c r="F1280" s="132">
        <v>1</v>
      </c>
      <c r="G1280" s="132"/>
      <c r="H1280" s="133"/>
      <c r="L1280" s="1" t="s">
        <v>233</v>
      </c>
      <c r="M1280" s="29" t="s">
        <v>195</v>
      </c>
      <c r="N1280" s="228" t="s">
        <v>25</v>
      </c>
    </row>
    <row r="1281" spans="1:14" ht="15" customHeight="1" x14ac:dyDescent="0.25">
      <c r="B1281" s="57" t="s">
        <v>20</v>
      </c>
      <c r="C1281" s="52"/>
      <c r="D1281" s="42"/>
      <c r="E1281" s="42"/>
      <c r="F1281" s="42">
        <v>1</v>
      </c>
      <c r="G1281" s="42"/>
      <c r="H1281" s="43"/>
      <c r="L1281" s="1" t="s">
        <v>233</v>
      </c>
      <c r="M1281" s="29" t="s">
        <v>195</v>
      </c>
      <c r="N1281" s="228" t="s">
        <v>20</v>
      </c>
    </row>
    <row r="1282" spans="1:14" ht="15" customHeight="1" x14ac:dyDescent="0.25">
      <c r="B1282" s="54" t="s">
        <v>22</v>
      </c>
      <c r="C1282" s="55"/>
      <c r="D1282" s="131">
        <f xml:space="preserve"> D1279 * D1280 * D1281</f>
        <v>0</v>
      </c>
      <c r="E1282" s="131">
        <f xml:space="preserve"> E1279 * E1280 * E1281</f>
        <v>0</v>
      </c>
      <c r="F1282" s="131">
        <f xml:space="preserve"> ROUNDDOWN(F1279 * F1280 * F1281,0)</f>
        <v>26276</v>
      </c>
      <c r="G1282" s="131">
        <f xml:space="preserve"> ROUNDDOWN(G1279 * G1280 * G1281,0)</f>
        <v>0</v>
      </c>
      <c r="H1282" s="131">
        <f xml:space="preserve"> ROUNDDOWN(H1279 * H1280 * H1281,0)</f>
        <v>0</v>
      </c>
      <c r="L1282" s="1" t="s">
        <v>233</v>
      </c>
      <c r="M1282" s="29" t="s">
        <v>195</v>
      </c>
      <c r="N1282" s="228" t="s">
        <v>22</v>
      </c>
    </row>
    <row r="1283" spans="1:14" ht="15" customHeight="1" x14ac:dyDescent="0.25">
      <c r="B1283" s="22"/>
      <c r="C1283" s="29"/>
      <c r="D1283" s="36"/>
      <c r="E1283" s="36"/>
      <c r="F1283" s="36"/>
      <c r="G1283" s="167"/>
      <c r="H1283" s="36"/>
      <c r="L1283" s="1" t="s">
        <v>233</v>
      </c>
      <c r="M1283" s="29" t="s">
        <v>195</v>
      </c>
    </row>
    <row r="1284" spans="1:14" ht="18.75" customHeight="1" x14ac:dyDescent="0.3">
      <c r="A1284" s="39" t="s">
        <v>119</v>
      </c>
      <c r="C1284" s="29"/>
      <c r="D1284" s="2">
        <f>StartYear</f>
        <v>2017</v>
      </c>
      <c r="E1284" s="2">
        <f>D1284+1</f>
        <v>2018</v>
      </c>
      <c r="F1284" s="2">
        <f>E1284+1</f>
        <v>2019</v>
      </c>
      <c r="G1284" s="2">
        <f>F1284+1</f>
        <v>2020</v>
      </c>
      <c r="H1284" s="2">
        <f>G1284+1</f>
        <v>2021</v>
      </c>
      <c r="L1284" s="1" t="s">
        <v>233</v>
      </c>
      <c r="M1284" s="29" t="s">
        <v>195</v>
      </c>
      <c r="N1284" s="228" t="s">
        <v>119</v>
      </c>
    </row>
    <row r="1285" spans="1:14" x14ac:dyDescent="0.25">
      <c r="B1285" s="57" t="s">
        <v>10</v>
      </c>
      <c r="C1285" s="52"/>
      <c r="D1285" s="10">
        <f ca="1">IF(VLOOKUP($C1276,Facilities,5,FALSE)="Eligible", D1282*ApprenticeshipBonus, 0 )</f>
        <v>0</v>
      </c>
      <c r="E1285" s="109">
        <f ca="1">IF(VLOOKUP($C1276,Facilities,5,FALSE)="Eligible", E1282*ApprenticeshipBonus, 0 )</f>
        <v>0</v>
      </c>
      <c r="F1285" s="109">
        <f ca="1">IF(VLOOKUP($C1276,Facilities,5,FALSE)="Eligible", F1282*ApprenticeshipBonus, 0 )</f>
        <v>0</v>
      </c>
      <c r="G1285" s="109">
        <f ca="1">IF(VLOOKUP($C1276,Facilities,5,FALSE)="Eligible", G1282*ApprenticeshipBonus, 0 )</f>
        <v>0</v>
      </c>
      <c r="H1285" s="11">
        <f ca="1">IF(VLOOKUP($C1276,Facilities,5,FALSE)="Eligible", H1282*ApprenticeshipBonus, 0 )</f>
        <v>0</v>
      </c>
      <c r="L1285" s="1" t="s">
        <v>233</v>
      </c>
      <c r="M1285" s="29" t="s">
        <v>195</v>
      </c>
      <c r="N1285" s="228" t="s">
        <v>10</v>
      </c>
    </row>
    <row r="1286" spans="1:14" ht="15" customHeight="1" x14ac:dyDescent="0.25">
      <c r="B1286" s="57" t="s">
        <v>6</v>
      </c>
      <c r="C1286" s="52"/>
      <c r="D1286" s="44">
        <f ca="1">IF(VLOOKUP($C1276,Facilities,6,FALSE)="Eligible", D1282, 0 )</f>
        <v>0</v>
      </c>
      <c r="E1286" s="110">
        <f ca="1">IF(VLOOKUP($C1276,Facilities,6,FALSE)="Eligible", E1282, 0 )</f>
        <v>0</v>
      </c>
      <c r="F1286" s="110">
        <f ca="1">IF(VLOOKUP($C1276,Facilities,6,FALSE)="Eligible", F1282, 0 )</f>
        <v>0</v>
      </c>
      <c r="G1286" s="110">
        <f ca="1">IF(VLOOKUP($C1276,Facilities,6,FALSE)="Eligible", G1282, 0 )</f>
        <v>0</v>
      </c>
      <c r="H1286" s="45">
        <f ca="1">IF(VLOOKUP($C1276,Facilities,6,FALSE)="Eligible", H1282, 0 )</f>
        <v>0</v>
      </c>
      <c r="L1286" s="1" t="s">
        <v>233</v>
      </c>
      <c r="M1286" s="29" t="s">
        <v>195</v>
      </c>
      <c r="N1286" s="228" t="s">
        <v>6</v>
      </c>
    </row>
    <row r="1287" spans="1:14" ht="15" customHeight="1" x14ac:dyDescent="0.25">
      <c r="B1287" s="56" t="s">
        <v>121</v>
      </c>
      <c r="C1287" s="55"/>
      <c r="D1287" s="37">
        <f ca="1">SUM(D1285:D1286)</f>
        <v>0</v>
      </c>
      <c r="E1287" s="37">
        <f ca="1">SUM(E1285:E1286)</f>
        <v>0</v>
      </c>
      <c r="F1287" s="37">
        <f ca="1">SUM(F1285:F1286)</f>
        <v>0</v>
      </c>
      <c r="G1287" s="37">
        <f ca="1">SUM(G1285:G1286)</f>
        <v>0</v>
      </c>
      <c r="H1287" s="37">
        <f ca="1">SUM(H1285:H1286)</f>
        <v>0</v>
      </c>
      <c r="L1287" s="1" t="s">
        <v>233</v>
      </c>
      <c r="M1287" s="29" t="s">
        <v>195</v>
      </c>
      <c r="N1287" s="228" t="s">
        <v>121</v>
      </c>
    </row>
    <row r="1288" spans="1:14" ht="15" customHeight="1" x14ac:dyDescent="0.25">
      <c r="B1288" s="29"/>
      <c r="C1288" s="29"/>
      <c r="D1288" s="30"/>
      <c r="E1288" s="30"/>
      <c r="F1288" s="30"/>
      <c r="G1288" s="169"/>
      <c r="H1288" s="30"/>
      <c r="L1288" s="1" t="s">
        <v>233</v>
      </c>
      <c r="M1288" s="29" t="s">
        <v>195</v>
      </c>
    </row>
    <row r="1289" spans="1:14" ht="18.75" customHeight="1" x14ac:dyDescent="0.3">
      <c r="A1289" s="38" t="s">
        <v>30</v>
      </c>
      <c r="C1289" s="29"/>
      <c r="D1289" s="2">
        <f>StartYear</f>
        <v>2017</v>
      </c>
      <c r="E1289" s="2">
        <f>D1289+1</f>
        <v>2018</v>
      </c>
      <c r="F1289" s="2">
        <f>E1289+1</f>
        <v>2019</v>
      </c>
      <c r="G1289" s="2">
        <f>F1289+1</f>
        <v>2020</v>
      </c>
      <c r="H1289" s="2">
        <f>G1289+1</f>
        <v>2021</v>
      </c>
      <c r="L1289" s="1" t="s">
        <v>233</v>
      </c>
      <c r="M1289" s="29" t="s">
        <v>195</v>
      </c>
      <c r="N1289" s="228" t="s">
        <v>30</v>
      </c>
    </row>
    <row r="1290" spans="1:14" ht="15" customHeight="1" x14ac:dyDescent="0.25">
      <c r="B1290" s="57" t="s">
        <v>47</v>
      </c>
      <c r="C1290" s="52"/>
      <c r="D1290" s="3"/>
      <c r="E1290" s="3"/>
      <c r="F1290" s="3"/>
      <c r="G1290" s="3"/>
      <c r="H1290" s="4"/>
      <c r="L1290" s="1" t="s">
        <v>233</v>
      </c>
      <c r="M1290" s="29" t="s">
        <v>195</v>
      </c>
      <c r="N1290" s="228" t="s">
        <v>47</v>
      </c>
    </row>
    <row r="1291" spans="1:14" ht="15" customHeight="1" x14ac:dyDescent="0.25">
      <c r="B1291" s="58" t="s">
        <v>23</v>
      </c>
      <c r="C1291" s="59"/>
      <c r="D1291" s="137"/>
      <c r="E1291" s="137"/>
      <c r="F1291" s="137"/>
      <c r="G1291" s="137"/>
      <c r="H1291" s="138"/>
      <c r="L1291" s="1" t="s">
        <v>233</v>
      </c>
      <c r="M1291" s="29" t="s">
        <v>195</v>
      </c>
      <c r="N1291" s="228" t="s">
        <v>23</v>
      </c>
    </row>
    <row r="1292" spans="1:14" ht="15" customHeight="1" x14ac:dyDescent="0.25">
      <c r="B1292" s="68" t="s">
        <v>89</v>
      </c>
      <c r="C1292" s="67"/>
      <c r="D1292" s="191"/>
      <c r="E1292" s="139"/>
      <c r="F1292" s="139"/>
      <c r="G1292" s="139"/>
      <c r="H1292" s="140"/>
      <c r="L1292" s="1" t="s">
        <v>233</v>
      </c>
      <c r="M1292" s="29" t="s">
        <v>195</v>
      </c>
      <c r="N1292" s="228" t="s">
        <v>89</v>
      </c>
    </row>
    <row r="1293" spans="1:14" ht="15" customHeight="1" x14ac:dyDescent="0.25">
      <c r="B1293" s="32" t="s">
        <v>90</v>
      </c>
      <c r="D1293" s="6">
        <f>SUM(D1290:D1292)</f>
        <v>0</v>
      </c>
      <c r="E1293" s="6">
        <f>SUM(E1290:E1292)</f>
        <v>0</v>
      </c>
      <c r="F1293" s="6">
        <f>SUM(F1290:F1292)</f>
        <v>0</v>
      </c>
      <c r="G1293" s="6">
        <f>SUM(G1290:G1292)</f>
        <v>0</v>
      </c>
      <c r="H1293" s="6">
        <f>SUM(H1290:H1292)</f>
        <v>0</v>
      </c>
      <c r="L1293" s="1" t="s">
        <v>233</v>
      </c>
      <c r="M1293" s="29" t="s">
        <v>195</v>
      </c>
      <c r="N1293" s="228" t="s">
        <v>90</v>
      </c>
    </row>
    <row r="1294" spans="1:14" ht="15" customHeight="1" x14ac:dyDescent="0.25">
      <c r="B1294" s="5"/>
      <c r="D1294" s="6"/>
      <c r="E1294" s="6"/>
      <c r="F1294" s="6"/>
      <c r="G1294" s="167"/>
      <c r="H1294" s="6"/>
      <c r="L1294" s="1" t="s">
        <v>233</v>
      </c>
      <c r="M1294" s="29" t="s">
        <v>195</v>
      </c>
    </row>
    <row r="1295" spans="1:14" ht="18.75" customHeight="1" x14ac:dyDescent="0.3">
      <c r="A1295" s="8" t="s">
        <v>100</v>
      </c>
      <c r="D1295" s="2">
        <f>StartYear</f>
        <v>2017</v>
      </c>
      <c r="E1295" s="2">
        <f>D1295+1</f>
        <v>2018</v>
      </c>
      <c r="F1295" s="2">
        <f>E1295+1</f>
        <v>2019</v>
      </c>
      <c r="G1295" s="2">
        <f>F1295+1</f>
        <v>2020</v>
      </c>
      <c r="H1295" s="2">
        <f>G1295+1</f>
        <v>2021</v>
      </c>
      <c r="L1295" s="1" t="s">
        <v>233</v>
      </c>
      <c r="M1295" s="29" t="s">
        <v>195</v>
      </c>
      <c r="N1295" s="228" t="s">
        <v>100</v>
      </c>
    </row>
    <row r="1296" spans="1:14" ht="15" customHeight="1" x14ac:dyDescent="0.25">
      <c r="B1296" s="57" t="str">
        <f>(StartYear-1) &amp; " Surplus Applied to " &amp; StartYear</f>
        <v>2016 Surplus Applied to 2017</v>
      </c>
      <c r="C1296" s="29"/>
      <c r="D1296" s="186">
        <v>0</v>
      </c>
      <c r="E1296" s="187"/>
      <c r="F1296" s="187"/>
      <c r="G1296" s="187"/>
      <c r="H1296" s="188"/>
      <c r="L1296" s="1" t="s">
        <v>233</v>
      </c>
      <c r="M1296" s="29" t="s">
        <v>195</v>
      </c>
      <c r="N1296" s="228" t="s">
        <v>235</v>
      </c>
    </row>
    <row r="1297" spans="1:14" ht="15" customHeight="1" x14ac:dyDescent="0.25">
      <c r="B1297" s="57" t="str">
        <f>StartYear &amp; " Surplus Applied to " &amp; (StartYear-1)</f>
        <v>2017 Surplus Applied to 2016</v>
      </c>
      <c r="C1297" s="29"/>
      <c r="D1297" s="189">
        <v>0</v>
      </c>
      <c r="E1297" s="113"/>
      <c r="F1297" s="113"/>
      <c r="G1297" s="113"/>
      <c r="H1297" s="117"/>
      <c r="L1297" s="1" t="s">
        <v>233</v>
      </c>
      <c r="M1297" s="29" t="s">
        <v>195</v>
      </c>
      <c r="N1297" s="228" t="s">
        <v>236</v>
      </c>
    </row>
    <row r="1298" spans="1:14" ht="15" customHeight="1" x14ac:dyDescent="0.25">
      <c r="B1298" s="57" t="str">
        <f>( StartYear) &amp; " Surplus Applied to " &amp; ( StartYear + 1 )</f>
        <v>2017 Surplus Applied to 2018</v>
      </c>
      <c r="C1298" s="29"/>
      <c r="D1298" s="184">
        <f ca="1">D1282+D1287-D1293</f>
        <v>0</v>
      </c>
      <c r="E1298" s="185">
        <f ca="1">D1298</f>
        <v>0</v>
      </c>
      <c r="F1298" s="181"/>
      <c r="G1298" s="181"/>
      <c r="H1298" s="182"/>
      <c r="L1298" s="1" t="s">
        <v>233</v>
      </c>
      <c r="M1298" s="29" t="s">
        <v>195</v>
      </c>
      <c r="N1298" s="228" t="s">
        <v>237</v>
      </c>
    </row>
    <row r="1299" spans="1:14" ht="15" customHeight="1" x14ac:dyDescent="0.25">
      <c r="B1299" s="57" t="str">
        <f xml:space="preserve"> ( StartYear + 1 ) &amp; " Surplus Applied to " &amp; ( StartYear )</f>
        <v>2018 Surplus Applied to 2017</v>
      </c>
      <c r="C1299" s="52"/>
      <c r="D1299" s="134">
        <v>0</v>
      </c>
      <c r="E1299" s="9">
        <v>0</v>
      </c>
      <c r="F1299" s="113"/>
      <c r="G1299" s="113"/>
      <c r="H1299" s="117"/>
      <c r="L1299" s="1" t="s">
        <v>233</v>
      </c>
      <c r="M1299" s="29" t="s">
        <v>195</v>
      </c>
      <c r="N1299" s="228" t="s">
        <v>238</v>
      </c>
    </row>
    <row r="1300" spans="1:14" ht="15" customHeight="1" x14ac:dyDescent="0.25">
      <c r="B1300" s="119" t="str">
        <f xml:space="preserve"> ( StartYear + 1 ) &amp; " Surplus Applied to " &amp; ( StartYear + 2 )</f>
        <v>2018 Surplus Applied to 2019</v>
      </c>
      <c r="C1300" s="52"/>
      <c r="D1300" s="114"/>
      <c r="E1300" s="9">
        <v>0</v>
      </c>
      <c r="F1300" s="51">
        <f>E1300</f>
        <v>0</v>
      </c>
      <c r="G1300" s="113"/>
      <c r="H1300" s="117"/>
      <c r="L1300" s="1" t="s">
        <v>233</v>
      </c>
      <c r="M1300" s="29" t="s">
        <v>195</v>
      </c>
      <c r="N1300" s="228" t="s">
        <v>239</v>
      </c>
    </row>
    <row r="1301" spans="1:14" ht="15" customHeight="1" x14ac:dyDescent="0.25">
      <c r="B1301" s="119" t="str">
        <f xml:space="preserve"> ( StartYear + 2 ) &amp; " Surplus Applied to " &amp; ( StartYear + 1 )</f>
        <v>2019 Surplus Applied to 2018</v>
      </c>
      <c r="C1301" s="52"/>
      <c r="D1301" s="114"/>
      <c r="E1301" s="51">
        <v>0</v>
      </c>
      <c r="F1301" s="9">
        <v>0</v>
      </c>
      <c r="G1301" s="113"/>
      <c r="H1301" s="117"/>
      <c r="L1301" s="1" t="s">
        <v>233</v>
      </c>
      <c r="M1301" s="29" t="s">
        <v>195</v>
      </c>
      <c r="N1301" s="228" t="s">
        <v>240</v>
      </c>
    </row>
    <row r="1302" spans="1:14" ht="15" customHeight="1" x14ac:dyDescent="0.25">
      <c r="B1302" s="165" t="str">
        <f xml:space="preserve"> ( StartYear + 2 ) &amp; " Surplus Applied to " &amp; ( StartYear + 3 )</f>
        <v>2019 Surplus Applied to 2020</v>
      </c>
      <c r="C1302" s="29"/>
      <c r="D1302" s="114"/>
      <c r="E1302" s="113"/>
      <c r="F1302" s="9">
        <v>26276</v>
      </c>
      <c r="G1302" s="51">
        <f>F1302</f>
        <v>26276</v>
      </c>
      <c r="H1302" s="117"/>
      <c r="L1302" s="1" t="s">
        <v>233</v>
      </c>
      <c r="M1302" s="29" t="s">
        <v>195</v>
      </c>
      <c r="N1302" s="228" t="s">
        <v>241</v>
      </c>
    </row>
    <row r="1303" spans="1:14" ht="15" customHeight="1" x14ac:dyDescent="0.25">
      <c r="B1303" s="165" t="str">
        <f xml:space="preserve"> ( StartYear + 3 ) &amp; " Surplus Applied to " &amp; ( StartYear + 2 )</f>
        <v>2020 Surplus Applied to 2019</v>
      </c>
      <c r="C1303" s="29"/>
      <c r="D1303" s="114"/>
      <c r="E1303" s="113"/>
      <c r="F1303" s="51">
        <v>0</v>
      </c>
      <c r="G1303" s="9">
        <v>0</v>
      </c>
      <c r="H1303" s="117"/>
      <c r="L1303" s="1" t="s">
        <v>233</v>
      </c>
      <c r="M1303" s="29" t="s">
        <v>195</v>
      </c>
      <c r="N1303" s="228" t="s">
        <v>242</v>
      </c>
    </row>
    <row r="1304" spans="1:14" ht="15" customHeight="1" x14ac:dyDescent="0.25">
      <c r="B1304" s="165" t="str">
        <f xml:space="preserve"> ( StartYear + 3 ) &amp; " Surplus Applied to " &amp; ( StartYear + 4 )</f>
        <v>2020 Surplus Applied to 2021</v>
      </c>
      <c r="C1304" s="29"/>
      <c r="D1304" s="114"/>
      <c r="E1304" s="113"/>
      <c r="F1304" s="113"/>
      <c r="G1304" s="9">
        <f ca="1">G1282+G1287-G1293</f>
        <v>0</v>
      </c>
      <c r="H1304" s="46">
        <f ca="1">G1304</f>
        <v>0</v>
      </c>
      <c r="L1304" s="1" t="s">
        <v>233</v>
      </c>
      <c r="M1304" s="29" t="s">
        <v>195</v>
      </c>
      <c r="N1304" s="228" t="s">
        <v>243</v>
      </c>
    </row>
    <row r="1305" spans="1:14" ht="15" customHeight="1" x14ac:dyDescent="0.25">
      <c r="B1305" s="165" t="str">
        <f xml:space="preserve"> ( StartYear + 4 ) &amp; " Surplus Applied to " &amp; ( StartYear + 3 )</f>
        <v>2021 Surplus Applied to 2020</v>
      </c>
      <c r="C1305" s="29"/>
      <c r="D1305" s="115"/>
      <c r="E1305" s="116"/>
      <c r="F1305" s="116"/>
      <c r="G1305" s="47">
        <v>0</v>
      </c>
      <c r="H1305" s="41">
        <v>0</v>
      </c>
      <c r="L1305" s="1" t="s">
        <v>233</v>
      </c>
      <c r="M1305" s="29" t="s">
        <v>195</v>
      </c>
      <c r="N1305" s="228" t="s">
        <v>244</v>
      </c>
    </row>
    <row r="1306" spans="1:14" ht="15" customHeight="1" x14ac:dyDescent="0.25">
      <c r="B1306" s="32" t="s">
        <v>17</v>
      </c>
      <c r="D1306" s="6">
        <f ca="1">D1296-D1297+D1299-D1298</f>
        <v>0</v>
      </c>
      <c r="E1306" s="6">
        <f ca="1">E1298+E1301-E1299-E1300</f>
        <v>0</v>
      </c>
      <c r="F1306" s="6">
        <f>F1300+F1303-F1301-F1302</f>
        <v>-26276</v>
      </c>
      <c r="G1306" s="6">
        <f ca="1">G1302+G1305-G1303-G1304</f>
        <v>26276</v>
      </c>
      <c r="H1306" s="6">
        <f ca="1">H1304 - H1305</f>
        <v>0</v>
      </c>
      <c r="L1306" s="1" t="s">
        <v>233</v>
      </c>
      <c r="M1306" s="29" t="s">
        <v>195</v>
      </c>
      <c r="N1306" s="228" t="s">
        <v>17</v>
      </c>
    </row>
    <row r="1307" spans="1:14" ht="15" customHeight="1" x14ac:dyDescent="0.25">
      <c r="B1307" s="5"/>
      <c r="D1307" s="6"/>
      <c r="E1307" s="6"/>
      <c r="F1307" s="6"/>
      <c r="G1307" s="6"/>
      <c r="H1307" s="6"/>
      <c r="L1307" s="1" t="s">
        <v>233</v>
      </c>
      <c r="M1307" s="29" t="s">
        <v>195</v>
      </c>
    </row>
    <row r="1308" spans="1:14" ht="15" customHeight="1" x14ac:dyDescent="0.25">
      <c r="B1308" s="54" t="s">
        <v>12</v>
      </c>
      <c r="C1308" s="52"/>
      <c r="D1308" s="75"/>
      <c r="E1308" s="111"/>
      <c r="F1308" s="111"/>
      <c r="G1308" s="111"/>
      <c r="H1308" s="76"/>
      <c r="L1308" s="1" t="s">
        <v>233</v>
      </c>
      <c r="M1308" s="29" t="s">
        <v>195</v>
      </c>
      <c r="N1308" s="228" t="s">
        <v>12</v>
      </c>
    </row>
    <row r="1309" spans="1:14" ht="15" customHeight="1" x14ac:dyDescent="0.25">
      <c r="B1309" s="5"/>
      <c r="D1309" s="6"/>
      <c r="E1309" s="6"/>
      <c r="F1309" s="6"/>
      <c r="G1309" s="6"/>
      <c r="H1309" s="6"/>
      <c r="L1309" s="1" t="s">
        <v>233</v>
      </c>
      <c r="M1309" s="29" t="s">
        <v>195</v>
      </c>
    </row>
    <row r="1310" spans="1:14" ht="18.75" customHeight="1" x14ac:dyDescent="0.3">
      <c r="A1310" s="38" t="s">
        <v>26</v>
      </c>
      <c r="C1310" s="52">
        <f>A1276</f>
        <v>33</v>
      </c>
      <c r="D1310" s="112">
        <f ca="1" xml:space="preserve"> D1282 + D1287 - D1293 + D1306 + D1308</f>
        <v>0</v>
      </c>
      <c r="E1310" s="112">
        <f ca="1" xml:space="preserve"> E1282 + E1287 - E1293 + E1306 + E1308</f>
        <v>0</v>
      </c>
      <c r="F1310" s="112">
        <f ca="1" xml:space="preserve"> F1282 + F1287 - F1293 + F1306 + F1308</f>
        <v>0</v>
      </c>
      <c r="G1310" s="112">
        <f ca="1" xml:space="preserve"> G1282 + G1287 - G1293 + G1306 + G1308</f>
        <v>26276</v>
      </c>
      <c r="H1310" s="174">
        <f ca="1" xml:space="preserve"> H1282 + H1287 - H1293 + H1306 + H1308</f>
        <v>0</v>
      </c>
      <c r="L1310" s="1" t="s">
        <v>233</v>
      </c>
      <c r="M1310" s="29" t="s">
        <v>195</v>
      </c>
      <c r="N1310" s="228" t="s">
        <v>26</v>
      </c>
    </row>
    <row r="1311" spans="1:14" ht="15" customHeight="1" x14ac:dyDescent="0.25">
      <c r="B1311" s="5"/>
      <c r="C1311" s="108" t="s">
        <v>158</v>
      </c>
      <c r="D1311" s="6"/>
      <c r="E1311" s="6"/>
      <c r="F1311" s="28"/>
      <c r="G1311" s="28"/>
      <c r="H1311" s="28"/>
      <c r="L1311" s="1" t="s">
        <v>233</v>
      </c>
      <c r="M1311" s="29" t="s">
        <v>195</v>
      </c>
      <c r="N1311" s="228" t="s">
        <v>158</v>
      </c>
    </row>
    <row r="1312" spans="1:14" ht="15.75" customHeight="1" thickBot="1" x14ac:dyDescent="0.3">
      <c r="L1312" s="1" t="s">
        <v>233</v>
      </c>
      <c r="M1312" s="29" t="s">
        <v>195</v>
      </c>
    </row>
    <row r="1313" spans="1:14" ht="15" customHeight="1" x14ac:dyDescent="0.25">
      <c r="A1313" s="7"/>
      <c r="B1313" s="7"/>
      <c r="C1313" s="7"/>
      <c r="D1313" s="170"/>
      <c r="E1313" s="7"/>
      <c r="F1313" s="7"/>
      <c r="G1313" s="7"/>
      <c r="H1313" s="7"/>
      <c r="L1313" s="1" t="s">
        <v>233</v>
      </c>
      <c r="M1313" s="29" t="s">
        <v>195</v>
      </c>
    </row>
    <row r="1314" spans="1:14" ht="21" customHeight="1" x14ac:dyDescent="0.35">
      <c r="A1314" s="12">
        <f>MAX(A$1:A1313)+1</f>
        <v>34</v>
      </c>
      <c r="B1314" s="12"/>
      <c r="C1314" s="214" t="str">
        <f ca="1">OFFSET($B$4,A1314-1,0)</f>
        <v>Rolling Hills - Rolling Hills</v>
      </c>
      <c r="D1314" s="215"/>
      <c r="E1314" s="216"/>
      <c r="F1314" s="216"/>
      <c r="G1314" s="217"/>
      <c r="H1314" s="218"/>
      <c r="L1314" s="1" t="s">
        <v>233</v>
      </c>
      <c r="M1314" s="29" t="s">
        <v>212</v>
      </c>
      <c r="N1314" s="228">
        <v>36</v>
      </c>
    </row>
    <row r="1315" spans="1:14" ht="15" customHeight="1" x14ac:dyDescent="0.25">
      <c r="C1315" s="1" t="str">
        <f ca="1">VLOOKUP(C1314,Facilities,3,FALSE)</f>
        <v>REC only</v>
      </c>
      <c r="L1315" s="1" t="s">
        <v>233</v>
      </c>
      <c r="M1315" s="29" t="s">
        <v>212</v>
      </c>
      <c r="N1315" s="228" t="s">
        <v>181</v>
      </c>
    </row>
    <row r="1316" spans="1:14" ht="18.75" customHeight="1" x14ac:dyDescent="0.3">
      <c r="A1316" s="8" t="s">
        <v>21</v>
      </c>
      <c r="B1316" s="8"/>
      <c r="D1316" s="118">
        <f>StartYear</f>
        <v>2017</v>
      </c>
      <c r="E1316" s="2">
        <f>D1316+1</f>
        <v>2018</v>
      </c>
      <c r="F1316" s="2">
        <f>E1316+1</f>
        <v>2019</v>
      </c>
      <c r="G1316" s="2">
        <f>F1316+1</f>
        <v>2020</v>
      </c>
      <c r="H1316" s="2">
        <f>G1316+1</f>
        <v>2021</v>
      </c>
      <c r="L1316" s="1" t="s">
        <v>233</v>
      </c>
      <c r="M1316" s="29" t="s">
        <v>212</v>
      </c>
      <c r="N1316" s="228" t="s">
        <v>21</v>
      </c>
    </row>
    <row r="1317" spans="1:14" ht="15" customHeight="1" x14ac:dyDescent="0.25">
      <c r="B1317" s="119" t="str">
        <f ca="1">IF(C1353&lt;&gt;"REC only","Total MWh ","")&amp;IF(C1315="PSE owned","Produced","Purchased")&amp;" from "&amp;C1314</f>
        <v>Purchased from Rolling Hills - Rolling Hills</v>
      </c>
      <c r="C1317" s="52"/>
      <c r="D1317" s="3"/>
      <c r="E1317" s="3"/>
      <c r="F1317" s="3">
        <v>15000</v>
      </c>
      <c r="G1317" s="3"/>
      <c r="H1317" s="4"/>
      <c r="L1317" s="1" t="s">
        <v>233</v>
      </c>
      <c r="M1317" s="231" t="s">
        <v>212</v>
      </c>
      <c r="N1317" s="228" t="s">
        <v>277</v>
      </c>
    </row>
    <row r="1318" spans="1:14" ht="15" customHeight="1" x14ac:dyDescent="0.25">
      <c r="B1318" s="57" t="s">
        <v>25</v>
      </c>
      <c r="C1318" s="52"/>
      <c r="D1318" s="132"/>
      <c r="E1318" s="132"/>
      <c r="F1318" s="132">
        <v>1</v>
      </c>
      <c r="G1318" s="132"/>
      <c r="H1318" s="133"/>
      <c r="L1318" s="1" t="s">
        <v>233</v>
      </c>
      <c r="M1318" s="29" t="s">
        <v>212</v>
      </c>
      <c r="N1318" s="228" t="s">
        <v>25</v>
      </c>
    </row>
    <row r="1319" spans="1:14" ht="15" customHeight="1" x14ac:dyDescent="0.25">
      <c r="B1319" s="57" t="s">
        <v>20</v>
      </c>
      <c r="C1319" s="52"/>
      <c r="D1319" s="42"/>
      <c r="E1319" s="42"/>
      <c r="F1319" s="42">
        <v>1</v>
      </c>
      <c r="G1319" s="42"/>
      <c r="H1319" s="43"/>
      <c r="L1319" s="1" t="s">
        <v>233</v>
      </c>
      <c r="M1319" s="29" t="s">
        <v>212</v>
      </c>
      <c r="N1319" s="228" t="s">
        <v>20</v>
      </c>
    </row>
    <row r="1320" spans="1:14" ht="15" customHeight="1" x14ac:dyDescent="0.25">
      <c r="B1320" s="54" t="s">
        <v>22</v>
      </c>
      <c r="C1320" s="55"/>
      <c r="D1320" s="131">
        <f xml:space="preserve"> D1317 * D1318 * D1319</f>
        <v>0</v>
      </c>
      <c r="E1320" s="131">
        <f xml:space="preserve"> E1317 * E1318 * E1319</f>
        <v>0</v>
      </c>
      <c r="F1320" s="131">
        <f xml:space="preserve"> ROUNDDOWN(F1317 * F1318 * F1319,0)</f>
        <v>15000</v>
      </c>
      <c r="G1320" s="131">
        <f xml:space="preserve"> ROUNDDOWN(G1317 * G1318 * G1319,0)</f>
        <v>0</v>
      </c>
      <c r="H1320" s="131">
        <f xml:space="preserve"> ROUNDDOWN(H1317 * H1318 * H1319,0)</f>
        <v>0</v>
      </c>
      <c r="L1320" s="1" t="s">
        <v>233</v>
      </c>
      <c r="M1320" s="29" t="s">
        <v>212</v>
      </c>
      <c r="N1320" s="228" t="s">
        <v>22</v>
      </c>
    </row>
    <row r="1321" spans="1:14" ht="15" customHeight="1" x14ac:dyDescent="0.25">
      <c r="B1321" s="22"/>
      <c r="C1321" s="29"/>
      <c r="D1321" s="36"/>
      <c r="E1321" s="36"/>
      <c r="F1321" s="36"/>
      <c r="G1321" s="167"/>
      <c r="H1321" s="36"/>
      <c r="L1321" s="1" t="s">
        <v>233</v>
      </c>
      <c r="M1321" s="29" t="s">
        <v>212</v>
      </c>
    </row>
    <row r="1322" spans="1:14" ht="18.75" customHeight="1" x14ac:dyDescent="0.3">
      <c r="A1322" s="39" t="s">
        <v>119</v>
      </c>
      <c r="C1322" s="29"/>
      <c r="D1322" s="2">
        <f>StartYear</f>
        <v>2017</v>
      </c>
      <c r="E1322" s="2">
        <f>D1322+1</f>
        <v>2018</v>
      </c>
      <c r="F1322" s="2">
        <f>E1322+1</f>
        <v>2019</v>
      </c>
      <c r="G1322" s="2">
        <f>F1322+1</f>
        <v>2020</v>
      </c>
      <c r="H1322" s="2">
        <f>G1322+1</f>
        <v>2021</v>
      </c>
      <c r="L1322" s="1" t="s">
        <v>233</v>
      </c>
      <c r="M1322" s="29" t="s">
        <v>212</v>
      </c>
      <c r="N1322" s="228" t="s">
        <v>119</v>
      </c>
    </row>
    <row r="1323" spans="1:14" x14ac:dyDescent="0.25">
      <c r="B1323" s="57" t="s">
        <v>10</v>
      </c>
      <c r="C1323" s="52"/>
      <c r="D1323" s="10">
        <f ca="1">IF(VLOOKUP($C1314,Facilities,5,FALSE)="Eligible", D1320*ApprenticeshipBonus, 0 )</f>
        <v>0</v>
      </c>
      <c r="E1323" s="109">
        <f ca="1">IF(VLOOKUP($C1314,Facilities,5,FALSE)="Eligible", E1320*ApprenticeshipBonus, 0 )</f>
        <v>0</v>
      </c>
      <c r="F1323" s="109">
        <f ca="1">IF(VLOOKUP($C1314,Facilities,5,FALSE)="Eligible", F1320*ApprenticeshipBonus, 0 )</f>
        <v>0</v>
      </c>
      <c r="G1323" s="109">
        <f ca="1">IF(VLOOKUP($C1314,Facilities,5,FALSE)="Eligible", G1320*ApprenticeshipBonus, 0 )</f>
        <v>0</v>
      </c>
      <c r="H1323" s="11">
        <f ca="1">IF(VLOOKUP($C1314,Facilities,5,FALSE)="Eligible", H1320*ApprenticeshipBonus, 0 )</f>
        <v>0</v>
      </c>
      <c r="L1323" s="1" t="s">
        <v>233</v>
      </c>
      <c r="M1323" s="29" t="s">
        <v>212</v>
      </c>
      <c r="N1323" s="228" t="s">
        <v>10</v>
      </c>
    </row>
    <row r="1324" spans="1:14" ht="15" customHeight="1" x14ac:dyDescent="0.25">
      <c r="B1324" s="57" t="s">
        <v>6</v>
      </c>
      <c r="C1324" s="52"/>
      <c r="D1324" s="44">
        <f ca="1">IF(VLOOKUP($C1314,Facilities,6,FALSE)="Eligible", D1320, 0 )</f>
        <v>0</v>
      </c>
      <c r="E1324" s="110">
        <f ca="1">IF(VLOOKUP($C1314,Facilities,6,FALSE)="Eligible", E1320, 0 )</f>
        <v>0</v>
      </c>
      <c r="F1324" s="110">
        <f ca="1">IF(VLOOKUP($C1314,Facilities,6,FALSE)="Eligible", F1320, 0 )</f>
        <v>0</v>
      </c>
      <c r="G1324" s="110">
        <f ca="1">IF(VLOOKUP($C1314,Facilities,6,FALSE)="Eligible", G1320, 0 )</f>
        <v>0</v>
      </c>
      <c r="H1324" s="45">
        <f ca="1">IF(VLOOKUP($C1314,Facilities,6,FALSE)="Eligible", H1320, 0 )</f>
        <v>0</v>
      </c>
      <c r="L1324" s="1" t="s">
        <v>233</v>
      </c>
      <c r="M1324" s="29" t="s">
        <v>212</v>
      </c>
      <c r="N1324" s="228" t="s">
        <v>6</v>
      </c>
    </row>
    <row r="1325" spans="1:14" ht="15" customHeight="1" x14ac:dyDescent="0.25">
      <c r="B1325" s="56" t="s">
        <v>121</v>
      </c>
      <c r="C1325" s="55"/>
      <c r="D1325" s="37">
        <f ca="1">SUM(D1323:D1324)</f>
        <v>0</v>
      </c>
      <c r="E1325" s="37">
        <f ca="1">SUM(E1323:E1324)</f>
        <v>0</v>
      </c>
      <c r="F1325" s="37">
        <f ca="1">SUM(F1323:F1324)</f>
        <v>0</v>
      </c>
      <c r="G1325" s="37">
        <f ca="1">SUM(G1323:G1324)</f>
        <v>0</v>
      </c>
      <c r="H1325" s="37">
        <f ca="1">SUM(H1323:H1324)</f>
        <v>0</v>
      </c>
      <c r="L1325" s="1" t="s">
        <v>233</v>
      </c>
      <c r="M1325" s="29" t="s">
        <v>212</v>
      </c>
      <c r="N1325" s="228" t="s">
        <v>121</v>
      </c>
    </row>
    <row r="1326" spans="1:14" ht="15" customHeight="1" x14ac:dyDescent="0.25">
      <c r="B1326" s="29"/>
      <c r="C1326" s="29"/>
      <c r="D1326" s="30"/>
      <c r="E1326" s="30"/>
      <c r="F1326" s="30"/>
      <c r="G1326" s="169"/>
      <c r="H1326" s="30"/>
      <c r="L1326" s="1" t="s">
        <v>233</v>
      </c>
      <c r="M1326" s="29" t="s">
        <v>212</v>
      </c>
    </row>
    <row r="1327" spans="1:14" ht="18.75" customHeight="1" x14ac:dyDescent="0.3">
      <c r="A1327" s="38" t="s">
        <v>30</v>
      </c>
      <c r="C1327" s="29"/>
      <c r="D1327" s="2">
        <f>StartYear</f>
        <v>2017</v>
      </c>
      <c r="E1327" s="2">
        <f>D1327+1</f>
        <v>2018</v>
      </c>
      <c r="F1327" s="2">
        <f>E1327+1</f>
        <v>2019</v>
      </c>
      <c r="G1327" s="2">
        <f>F1327+1</f>
        <v>2020</v>
      </c>
      <c r="H1327" s="2">
        <f>G1327+1</f>
        <v>2021</v>
      </c>
      <c r="L1327" s="1" t="s">
        <v>233</v>
      </c>
      <c r="M1327" s="29" t="s">
        <v>212</v>
      </c>
      <c r="N1327" s="228" t="s">
        <v>30</v>
      </c>
    </row>
    <row r="1328" spans="1:14" ht="15" customHeight="1" x14ac:dyDescent="0.25">
      <c r="B1328" s="57" t="s">
        <v>47</v>
      </c>
      <c r="C1328" s="52"/>
      <c r="D1328" s="3"/>
      <c r="E1328" s="3"/>
      <c r="F1328" s="3"/>
      <c r="G1328" s="3"/>
      <c r="H1328" s="4"/>
      <c r="L1328" s="1" t="s">
        <v>233</v>
      </c>
      <c r="M1328" s="29" t="s">
        <v>212</v>
      </c>
      <c r="N1328" s="228" t="s">
        <v>47</v>
      </c>
    </row>
    <row r="1329" spans="1:14" ht="15" customHeight="1" x14ac:dyDescent="0.25">
      <c r="B1329" s="58" t="s">
        <v>23</v>
      </c>
      <c r="C1329" s="59"/>
      <c r="D1329" s="137"/>
      <c r="E1329" s="137"/>
      <c r="F1329" s="137"/>
      <c r="G1329" s="137"/>
      <c r="H1329" s="138"/>
      <c r="L1329" s="1" t="s">
        <v>233</v>
      </c>
      <c r="M1329" s="29" t="s">
        <v>212</v>
      </c>
      <c r="N1329" s="228" t="s">
        <v>23</v>
      </c>
    </row>
    <row r="1330" spans="1:14" ht="15" customHeight="1" x14ac:dyDescent="0.25">
      <c r="B1330" s="68" t="s">
        <v>89</v>
      </c>
      <c r="C1330" s="67"/>
      <c r="D1330" s="191"/>
      <c r="E1330" s="139"/>
      <c r="F1330" s="139"/>
      <c r="G1330" s="139"/>
      <c r="H1330" s="140"/>
      <c r="L1330" s="1" t="s">
        <v>233</v>
      </c>
      <c r="M1330" s="29" t="s">
        <v>212</v>
      </c>
      <c r="N1330" s="228" t="s">
        <v>89</v>
      </c>
    </row>
    <row r="1331" spans="1:14" ht="15" customHeight="1" x14ac:dyDescent="0.25">
      <c r="B1331" s="32" t="s">
        <v>90</v>
      </c>
      <c r="D1331" s="6">
        <f>SUM(D1328:D1330)</f>
        <v>0</v>
      </c>
      <c r="E1331" s="6">
        <f>SUM(E1328:E1330)</f>
        <v>0</v>
      </c>
      <c r="F1331" s="6">
        <f>SUM(F1328:F1330)</f>
        <v>0</v>
      </c>
      <c r="G1331" s="6">
        <f>SUM(G1328:G1330)</f>
        <v>0</v>
      </c>
      <c r="H1331" s="6">
        <f>SUM(H1328:H1330)</f>
        <v>0</v>
      </c>
      <c r="L1331" s="1" t="s">
        <v>233</v>
      </c>
      <c r="M1331" s="29" t="s">
        <v>212</v>
      </c>
      <c r="N1331" s="228" t="s">
        <v>90</v>
      </c>
    </row>
    <row r="1332" spans="1:14" ht="15" customHeight="1" x14ac:dyDescent="0.25">
      <c r="B1332" s="5"/>
      <c r="D1332" s="6"/>
      <c r="E1332" s="6"/>
      <c r="F1332" s="6"/>
      <c r="G1332" s="167"/>
      <c r="H1332" s="6"/>
      <c r="L1332" s="1" t="s">
        <v>233</v>
      </c>
      <c r="M1332" s="29" t="s">
        <v>212</v>
      </c>
    </row>
    <row r="1333" spans="1:14" ht="18.75" customHeight="1" x14ac:dyDescent="0.3">
      <c r="A1333" s="8" t="s">
        <v>100</v>
      </c>
      <c r="D1333" s="2">
        <f>StartYear</f>
        <v>2017</v>
      </c>
      <c r="E1333" s="2">
        <f>D1333+1</f>
        <v>2018</v>
      </c>
      <c r="F1333" s="2">
        <f>E1333+1</f>
        <v>2019</v>
      </c>
      <c r="G1333" s="2">
        <f>F1333+1</f>
        <v>2020</v>
      </c>
      <c r="H1333" s="2">
        <f>G1333+1</f>
        <v>2021</v>
      </c>
      <c r="L1333" s="1" t="s">
        <v>233</v>
      </c>
      <c r="M1333" s="29" t="s">
        <v>212</v>
      </c>
      <c r="N1333" s="228" t="s">
        <v>100</v>
      </c>
    </row>
    <row r="1334" spans="1:14" ht="15" customHeight="1" x14ac:dyDescent="0.25">
      <c r="B1334" s="57" t="str">
        <f>(StartYear-1) &amp; " Surplus Applied to " &amp; StartYear</f>
        <v>2016 Surplus Applied to 2017</v>
      </c>
      <c r="C1334" s="29"/>
      <c r="D1334" s="186">
        <v>0</v>
      </c>
      <c r="E1334" s="187"/>
      <c r="F1334" s="187"/>
      <c r="G1334" s="187"/>
      <c r="H1334" s="188"/>
      <c r="L1334" s="1" t="s">
        <v>233</v>
      </c>
      <c r="M1334" s="29" t="s">
        <v>212</v>
      </c>
      <c r="N1334" s="228" t="s">
        <v>235</v>
      </c>
    </row>
    <row r="1335" spans="1:14" ht="15" customHeight="1" x14ac:dyDescent="0.25">
      <c r="B1335" s="57" t="str">
        <f>StartYear &amp; " Surplus Applied to " &amp; (StartYear-1)</f>
        <v>2017 Surplus Applied to 2016</v>
      </c>
      <c r="C1335" s="29"/>
      <c r="D1335" s="189">
        <v>0</v>
      </c>
      <c r="E1335" s="113"/>
      <c r="F1335" s="113"/>
      <c r="G1335" s="113"/>
      <c r="H1335" s="117"/>
      <c r="L1335" s="1" t="s">
        <v>233</v>
      </c>
      <c r="M1335" s="29" t="s">
        <v>212</v>
      </c>
      <c r="N1335" s="228" t="s">
        <v>236</v>
      </c>
    </row>
    <row r="1336" spans="1:14" ht="15" customHeight="1" x14ac:dyDescent="0.25">
      <c r="B1336" s="57" t="str">
        <f>( StartYear) &amp; " Surplus Applied to " &amp; ( StartYear + 1 )</f>
        <v>2017 Surplus Applied to 2018</v>
      </c>
      <c r="C1336" s="29"/>
      <c r="D1336" s="184">
        <f ca="1">D1320+D1325-D1331</f>
        <v>0</v>
      </c>
      <c r="E1336" s="185">
        <f ca="1">D1336</f>
        <v>0</v>
      </c>
      <c r="F1336" s="181"/>
      <c r="G1336" s="181"/>
      <c r="H1336" s="182"/>
      <c r="L1336" s="1" t="s">
        <v>233</v>
      </c>
      <c r="M1336" s="29" t="s">
        <v>212</v>
      </c>
      <c r="N1336" s="228" t="s">
        <v>237</v>
      </c>
    </row>
    <row r="1337" spans="1:14" ht="15" customHeight="1" x14ac:dyDescent="0.25">
      <c r="B1337" s="57" t="str">
        <f xml:space="preserve"> ( StartYear + 1 ) &amp; " Surplus Applied to " &amp; ( StartYear )</f>
        <v>2018 Surplus Applied to 2017</v>
      </c>
      <c r="C1337" s="52"/>
      <c r="D1337" s="134">
        <v>0</v>
      </c>
      <c r="E1337" s="9">
        <v>0</v>
      </c>
      <c r="F1337" s="113"/>
      <c r="G1337" s="113"/>
      <c r="H1337" s="117"/>
      <c r="L1337" s="1" t="s">
        <v>233</v>
      </c>
      <c r="M1337" s="29" t="s">
        <v>212</v>
      </c>
      <c r="N1337" s="228" t="s">
        <v>238</v>
      </c>
    </row>
    <row r="1338" spans="1:14" ht="15" customHeight="1" x14ac:dyDescent="0.25">
      <c r="B1338" s="119" t="str">
        <f xml:space="preserve"> ( StartYear + 1 ) &amp; " Surplus Applied to " &amp; ( StartYear + 2 )</f>
        <v>2018 Surplus Applied to 2019</v>
      </c>
      <c r="C1338" s="52"/>
      <c r="D1338" s="114"/>
      <c r="E1338" s="9">
        <v>0</v>
      </c>
      <c r="F1338" s="51">
        <f>E1338</f>
        <v>0</v>
      </c>
      <c r="G1338" s="113"/>
      <c r="H1338" s="117"/>
      <c r="L1338" s="1" t="s">
        <v>233</v>
      </c>
      <c r="M1338" s="29" t="s">
        <v>212</v>
      </c>
      <c r="N1338" s="228" t="s">
        <v>239</v>
      </c>
    </row>
    <row r="1339" spans="1:14" ht="15" customHeight="1" x14ac:dyDescent="0.25">
      <c r="B1339" s="119" t="str">
        <f xml:space="preserve"> ( StartYear + 2 ) &amp; " Surplus Applied to " &amp; ( StartYear + 1 )</f>
        <v>2019 Surplus Applied to 2018</v>
      </c>
      <c r="C1339" s="52"/>
      <c r="D1339" s="114"/>
      <c r="E1339" s="51">
        <v>0</v>
      </c>
      <c r="F1339" s="9">
        <v>0</v>
      </c>
      <c r="G1339" s="113"/>
      <c r="H1339" s="117"/>
      <c r="L1339" s="1" t="s">
        <v>233</v>
      </c>
      <c r="M1339" s="29" t="s">
        <v>212</v>
      </c>
      <c r="N1339" s="228" t="s">
        <v>240</v>
      </c>
    </row>
    <row r="1340" spans="1:14" ht="15" customHeight="1" x14ac:dyDescent="0.25">
      <c r="B1340" s="165" t="str">
        <f xml:space="preserve"> ( StartYear + 2 ) &amp; " Surplus Applied to " &amp; ( StartYear + 3 )</f>
        <v>2019 Surplus Applied to 2020</v>
      </c>
      <c r="C1340" s="29"/>
      <c r="D1340" s="114"/>
      <c r="E1340" s="113"/>
      <c r="F1340" s="9">
        <v>15000</v>
      </c>
      <c r="G1340" s="51">
        <f>F1340</f>
        <v>15000</v>
      </c>
      <c r="H1340" s="117"/>
      <c r="L1340" s="1" t="s">
        <v>233</v>
      </c>
      <c r="M1340" s="29" t="s">
        <v>212</v>
      </c>
      <c r="N1340" s="228" t="s">
        <v>241</v>
      </c>
    </row>
    <row r="1341" spans="1:14" ht="15" customHeight="1" x14ac:dyDescent="0.25">
      <c r="B1341" s="165" t="str">
        <f xml:space="preserve"> ( StartYear + 3 ) &amp; " Surplus Applied to " &amp; ( StartYear + 2 )</f>
        <v>2020 Surplus Applied to 2019</v>
      </c>
      <c r="C1341" s="29"/>
      <c r="D1341" s="114"/>
      <c r="E1341" s="113"/>
      <c r="F1341" s="51">
        <v>0</v>
      </c>
      <c r="G1341" s="9">
        <v>0</v>
      </c>
      <c r="H1341" s="117"/>
      <c r="L1341" s="1" t="s">
        <v>233</v>
      </c>
      <c r="M1341" s="29" t="s">
        <v>212</v>
      </c>
      <c r="N1341" s="228" t="s">
        <v>242</v>
      </c>
    </row>
    <row r="1342" spans="1:14" ht="15" customHeight="1" x14ac:dyDescent="0.25">
      <c r="B1342" s="165" t="str">
        <f xml:space="preserve"> ( StartYear + 3 ) &amp; " Surplus Applied to " &amp; ( StartYear + 4 )</f>
        <v>2020 Surplus Applied to 2021</v>
      </c>
      <c r="C1342" s="29"/>
      <c r="D1342" s="114"/>
      <c r="E1342" s="113"/>
      <c r="F1342" s="113"/>
      <c r="G1342" s="9">
        <f ca="1">G1320+G1325-G1331</f>
        <v>0</v>
      </c>
      <c r="H1342" s="46">
        <f ca="1">G1342</f>
        <v>0</v>
      </c>
      <c r="L1342" s="1" t="s">
        <v>233</v>
      </c>
      <c r="M1342" s="29" t="s">
        <v>212</v>
      </c>
      <c r="N1342" s="228" t="s">
        <v>243</v>
      </c>
    </row>
    <row r="1343" spans="1:14" ht="15" customHeight="1" x14ac:dyDescent="0.25">
      <c r="B1343" s="165" t="str">
        <f xml:space="preserve"> ( StartYear + 4 ) &amp; " Surplus Applied to " &amp; ( StartYear + 3 )</f>
        <v>2021 Surplus Applied to 2020</v>
      </c>
      <c r="C1343" s="29"/>
      <c r="D1343" s="115"/>
      <c r="E1343" s="116"/>
      <c r="F1343" s="116"/>
      <c r="G1343" s="47">
        <v>0</v>
      </c>
      <c r="H1343" s="41">
        <v>0</v>
      </c>
      <c r="L1343" s="1" t="s">
        <v>233</v>
      </c>
      <c r="M1343" s="29" t="s">
        <v>212</v>
      </c>
      <c r="N1343" s="228" t="s">
        <v>244</v>
      </c>
    </row>
    <row r="1344" spans="1:14" ht="15" customHeight="1" x14ac:dyDescent="0.25">
      <c r="B1344" s="32" t="s">
        <v>17</v>
      </c>
      <c r="D1344" s="6">
        <f ca="1">D1334-D1335+D1337-D1336</f>
        <v>0</v>
      </c>
      <c r="E1344" s="6">
        <f ca="1">E1336+E1339-E1337-E1338</f>
        <v>0</v>
      </c>
      <c r="F1344" s="6">
        <f>F1338+F1341-F1339-F1340</f>
        <v>-15000</v>
      </c>
      <c r="G1344" s="6">
        <f ca="1">G1340+G1343-G1341-G1342</f>
        <v>15000</v>
      </c>
      <c r="H1344" s="6">
        <f ca="1">H1342 - H1343</f>
        <v>0</v>
      </c>
      <c r="L1344" s="1" t="s">
        <v>233</v>
      </c>
      <c r="M1344" s="29" t="s">
        <v>212</v>
      </c>
      <c r="N1344" s="228" t="s">
        <v>17</v>
      </c>
    </row>
    <row r="1345" spans="1:14" ht="15" customHeight="1" x14ac:dyDescent="0.25">
      <c r="B1345" s="5"/>
      <c r="D1345" s="6"/>
      <c r="E1345" s="6"/>
      <c r="F1345" s="6"/>
      <c r="G1345" s="6"/>
      <c r="H1345" s="6"/>
      <c r="L1345" s="1" t="s">
        <v>233</v>
      </c>
      <c r="M1345" s="29" t="s">
        <v>212</v>
      </c>
    </row>
    <row r="1346" spans="1:14" ht="15" customHeight="1" x14ac:dyDescent="0.25">
      <c r="B1346" s="54" t="s">
        <v>12</v>
      </c>
      <c r="C1346" s="52"/>
      <c r="D1346" s="75"/>
      <c r="E1346" s="111"/>
      <c r="F1346" s="111"/>
      <c r="G1346" s="111"/>
      <c r="H1346" s="76"/>
      <c r="L1346" s="1" t="s">
        <v>233</v>
      </c>
      <c r="M1346" s="29" t="s">
        <v>212</v>
      </c>
      <c r="N1346" s="228" t="s">
        <v>12</v>
      </c>
    </row>
    <row r="1347" spans="1:14" ht="15" customHeight="1" x14ac:dyDescent="0.25">
      <c r="B1347" s="5"/>
      <c r="D1347" s="6"/>
      <c r="E1347" s="6"/>
      <c r="F1347" s="6"/>
      <c r="G1347" s="6"/>
      <c r="H1347" s="6"/>
      <c r="L1347" s="1" t="s">
        <v>233</v>
      </c>
      <c r="M1347" s="29" t="s">
        <v>212</v>
      </c>
    </row>
    <row r="1348" spans="1:14" ht="18.75" customHeight="1" x14ac:dyDescent="0.3">
      <c r="A1348" s="38" t="s">
        <v>26</v>
      </c>
      <c r="C1348" s="52">
        <f>A1314</f>
        <v>34</v>
      </c>
      <c r="D1348" s="112">
        <f ca="1" xml:space="preserve"> D1320 + D1325 - D1331 + D1344 + D1346</f>
        <v>0</v>
      </c>
      <c r="E1348" s="112">
        <f ca="1" xml:space="preserve"> E1320 + E1325 - E1331 + E1344 + E1346</f>
        <v>0</v>
      </c>
      <c r="F1348" s="112">
        <f ca="1" xml:space="preserve"> F1320 + F1325 - F1331 + F1344 + F1346</f>
        <v>0</v>
      </c>
      <c r="G1348" s="112">
        <f ca="1" xml:space="preserve"> G1320 + G1325 - G1331 + G1344 + G1346</f>
        <v>15000</v>
      </c>
      <c r="H1348" s="174">
        <f ca="1" xml:space="preserve"> H1320 + H1325 - H1331 + H1344 + H1346</f>
        <v>0</v>
      </c>
      <c r="L1348" s="1" t="s">
        <v>233</v>
      </c>
      <c r="M1348" s="29" t="s">
        <v>212</v>
      </c>
      <c r="N1348" s="228" t="s">
        <v>26</v>
      </c>
    </row>
    <row r="1349" spans="1:14" ht="15" customHeight="1" x14ac:dyDescent="0.25">
      <c r="B1349" s="5"/>
      <c r="C1349" s="108" t="s">
        <v>158</v>
      </c>
      <c r="D1349" s="6"/>
      <c r="E1349" s="6"/>
      <c r="F1349" s="28"/>
      <c r="G1349" s="28"/>
      <c r="H1349" s="28"/>
      <c r="L1349" s="1" t="s">
        <v>233</v>
      </c>
      <c r="M1349" s="29" t="s">
        <v>212</v>
      </c>
      <c r="N1349" s="228" t="s">
        <v>158</v>
      </c>
    </row>
    <row r="1350" spans="1:14" ht="15.75" customHeight="1" thickBot="1" x14ac:dyDescent="0.3">
      <c r="L1350" s="1" t="s">
        <v>233</v>
      </c>
      <c r="M1350" s="29" t="s">
        <v>212</v>
      </c>
    </row>
    <row r="1351" spans="1:14" ht="15" customHeight="1" x14ac:dyDescent="0.25">
      <c r="A1351" s="7"/>
      <c r="B1351" s="7"/>
      <c r="C1351" s="7"/>
      <c r="D1351" s="170"/>
      <c r="E1351" s="7"/>
      <c r="F1351" s="7"/>
      <c r="G1351" s="7"/>
      <c r="H1351" s="7"/>
      <c r="L1351" s="1" t="s">
        <v>233</v>
      </c>
      <c r="M1351" s="29" t="s">
        <v>212</v>
      </c>
    </row>
    <row r="1352" spans="1:14" ht="21" customHeight="1" x14ac:dyDescent="0.35">
      <c r="A1352" s="12">
        <f>MAX(A$1:A1351)+1</f>
        <v>35</v>
      </c>
      <c r="B1352" s="12"/>
      <c r="C1352" s="214" t="str">
        <f ca="1">OFFSET($B$4,A1352-1,0)</f>
        <v>Roseburg LFG - Roseburg LFG Energy</v>
      </c>
      <c r="D1352" s="215"/>
      <c r="E1352" s="216"/>
      <c r="F1352" s="216"/>
      <c r="G1352" s="217"/>
      <c r="H1352" s="218"/>
      <c r="L1352" s="1" t="s">
        <v>233</v>
      </c>
      <c r="M1352" s="29" t="s">
        <v>196</v>
      </c>
      <c r="N1352" s="228">
        <v>37</v>
      </c>
    </row>
    <row r="1353" spans="1:14" ht="15" customHeight="1" x14ac:dyDescent="0.25">
      <c r="C1353" s="1" t="str">
        <f ca="1">VLOOKUP(C1352,Facilities,3,FALSE)</f>
        <v>REC only</v>
      </c>
      <c r="L1353" s="1" t="s">
        <v>233</v>
      </c>
      <c r="M1353" s="29" t="s">
        <v>196</v>
      </c>
      <c r="N1353" s="228" t="s">
        <v>181</v>
      </c>
    </row>
    <row r="1354" spans="1:14" ht="18.75" customHeight="1" x14ac:dyDescent="0.3">
      <c r="A1354" s="8" t="s">
        <v>21</v>
      </c>
      <c r="B1354" s="8"/>
      <c r="D1354" s="118">
        <f>StartYear</f>
        <v>2017</v>
      </c>
      <c r="E1354" s="2">
        <f>D1354+1</f>
        <v>2018</v>
      </c>
      <c r="F1354" s="2">
        <f>E1354+1</f>
        <v>2019</v>
      </c>
      <c r="G1354" s="2">
        <f>F1354+1</f>
        <v>2020</v>
      </c>
      <c r="H1354" s="2">
        <f>G1354+1</f>
        <v>2021</v>
      </c>
      <c r="L1354" s="1" t="s">
        <v>233</v>
      </c>
      <c r="M1354" s="29" t="s">
        <v>196</v>
      </c>
      <c r="N1354" s="228" t="s">
        <v>21</v>
      </c>
    </row>
    <row r="1355" spans="1:14" ht="15" customHeight="1" x14ac:dyDescent="0.25">
      <c r="B1355" s="119" t="str">
        <f ca="1">IF(C1391&lt;&gt;"REC only","Total MWh ","")&amp;IF(C1353="PSE owned","Produced","Purchased")&amp;" from "&amp;C1352</f>
        <v>Purchased from Roseburg LFG - Roseburg LFG Energy</v>
      </c>
      <c r="C1355" s="52"/>
      <c r="D1355" s="3"/>
      <c r="E1355" s="3"/>
      <c r="F1355" s="3">
        <v>2361</v>
      </c>
      <c r="G1355" s="3"/>
      <c r="H1355" s="4"/>
      <c r="L1355" s="1" t="s">
        <v>233</v>
      </c>
      <c r="M1355" s="29" t="s">
        <v>196</v>
      </c>
      <c r="N1355" s="228" t="s">
        <v>278</v>
      </c>
    </row>
    <row r="1356" spans="1:14" ht="15" customHeight="1" x14ac:dyDescent="0.25">
      <c r="B1356" s="57" t="s">
        <v>25</v>
      </c>
      <c r="C1356" s="52"/>
      <c r="D1356" s="132"/>
      <c r="E1356" s="132"/>
      <c r="F1356" s="132">
        <v>1</v>
      </c>
      <c r="G1356" s="132"/>
      <c r="H1356" s="133"/>
      <c r="L1356" s="1" t="s">
        <v>233</v>
      </c>
      <c r="M1356" s="29" t="s">
        <v>196</v>
      </c>
      <c r="N1356" s="228" t="s">
        <v>25</v>
      </c>
    </row>
    <row r="1357" spans="1:14" ht="15" customHeight="1" x14ac:dyDescent="0.25">
      <c r="B1357" s="57" t="s">
        <v>20</v>
      </c>
      <c r="C1357" s="52"/>
      <c r="D1357" s="42"/>
      <c r="E1357" s="42"/>
      <c r="F1357" s="42">
        <v>1</v>
      </c>
      <c r="G1357" s="42"/>
      <c r="H1357" s="43"/>
      <c r="L1357" s="1" t="s">
        <v>233</v>
      </c>
      <c r="M1357" s="29" t="s">
        <v>196</v>
      </c>
      <c r="N1357" s="228" t="s">
        <v>20</v>
      </c>
    </row>
    <row r="1358" spans="1:14" ht="15" customHeight="1" x14ac:dyDescent="0.25">
      <c r="B1358" s="54" t="s">
        <v>22</v>
      </c>
      <c r="C1358" s="55"/>
      <c r="D1358" s="131">
        <f xml:space="preserve"> D1355 * D1356 * D1357</f>
        <v>0</v>
      </c>
      <c r="E1358" s="131">
        <f xml:space="preserve"> E1355 * E1356 * E1357</f>
        <v>0</v>
      </c>
      <c r="F1358" s="131">
        <f xml:space="preserve"> ROUNDDOWN(F1355 * F1356 * F1357,0)</f>
        <v>2361</v>
      </c>
      <c r="G1358" s="131">
        <f xml:space="preserve"> ROUNDDOWN(G1355 * G1356 * G1357,0)</f>
        <v>0</v>
      </c>
      <c r="H1358" s="131">
        <f xml:space="preserve"> ROUNDDOWN(H1355 * H1356 * H1357,0)</f>
        <v>0</v>
      </c>
      <c r="L1358" s="1" t="s">
        <v>233</v>
      </c>
      <c r="M1358" s="29" t="s">
        <v>196</v>
      </c>
      <c r="N1358" s="228" t="s">
        <v>22</v>
      </c>
    </row>
    <row r="1359" spans="1:14" ht="15" customHeight="1" x14ac:dyDescent="0.25">
      <c r="B1359" s="22"/>
      <c r="C1359" s="29"/>
      <c r="D1359" s="36"/>
      <c r="E1359" s="36"/>
      <c r="F1359" s="36"/>
      <c r="G1359" s="167"/>
      <c r="H1359" s="36"/>
      <c r="L1359" s="1" t="s">
        <v>233</v>
      </c>
      <c r="M1359" s="29" t="s">
        <v>196</v>
      </c>
    </row>
    <row r="1360" spans="1:14" ht="18.75" customHeight="1" x14ac:dyDescent="0.3">
      <c r="A1360" s="39" t="s">
        <v>119</v>
      </c>
      <c r="C1360" s="29"/>
      <c r="D1360" s="2">
        <f>StartYear</f>
        <v>2017</v>
      </c>
      <c r="E1360" s="2">
        <f>D1360+1</f>
        <v>2018</v>
      </c>
      <c r="F1360" s="2">
        <f>E1360+1</f>
        <v>2019</v>
      </c>
      <c r="G1360" s="2">
        <f>F1360+1</f>
        <v>2020</v>
      </c>
      <c r="H1360" s="2">
        <f>G1360+1</f>
        <v>2021</v>
      </c>
      <c r="L1360" s="1" t="s">
        <v>233</v>
      </c>
      <c r="M1360" s="29" t="s">
        <v>196</v>
      </c>
      <c r="N1360" s="228" t="s">
        <v>119</v>
      </c>
    </row>
    <row r="1361" spans="1:14" x14ac:dyDescent="0.25">
      <c r="B1361" s="57" t="s">
        <v>10</v>
      </c>
      <c r="C1361" s="52"/>
      <c r="D1361" s="10">
        <f ca="1">IF(VLOOKUP($C1352,Facilities,5,FALSE)="Eligible", D1358*ApprenticeshipBonus, 0 )</f>
        <v>0</v>
      </c>
      <c r="E1361" s="109">
        <f ca="1">IF(VLOOKUP($C1352,Facilities,5,FALSE)="Eligible", E1358*ApprenticeshipBonus, 0 )</f>
        <v>0</v>
      </c>
      <c r="F1361" s="109">
        <f ca="1">IF(VLOOKUP($C1352,Facilities,5,FALSE)="Eligible", F1358*ApprenticeshipBonus, 0 )</f>
        <v>0</v>
      </c>
      <c r="G1361" s="109">
        <f ca="1">IF(VLOOKUP($C1352,Facilities,5,FALSE)="Eligible", G1358*ApprenticeshipBonus, 0 )</f>
        <v>0</v>
      </c>
      <c r="H1361" s="11">
        <f ca="1">IF(VLOOKUP($C1352,Facilities,5,FALSE)="Eligible", H1358*ApprenticeshipBonus, 0 )</f>
        <v>0</v>
      </c>
      <c r="L1361" s="1" t="s">
        <v>233</v>
      </c>
      <c r="M1361" s="29" t="s">
        <v>196</v>
      </c>
      <c r="N1361" s="228" t="s">
        <v>10</v>
      </c>
    </row>
    <row r="1362" spans="1:14" ht="15" customHeight="1" x14ac:dyDescent="0.25">
      <c r="B1362" s="57" t="s">
        <v>6</v>
      </c>
      <c r="C1362" s="52"/>
      <c r="D1362" s="44">
        <f ca="1">IF(VLOOKUP($C1352,Facilities,6,FALSE)="Eligible", D1358, 0 )</f>
        <v>0</v>
      </c>
      <c r="E1362" s="110">
        <f ca="1">IF(VLOOKUP($C1352,Facilities,6,FALSE)="Eligible", E1358, 0 )</f>
        <v>0</v>
      </c>
      <c r="F1362" s="110">
        <f ca="1">IF(VLOOKUP($C1352,Facilities,6,FALSE)="Eligible", F1358, 0 )</f>
        <v>0</v>
      </c>
      <c r="G1362" s="110">
        <f ca="1">IF(VLOOKUP($C1352,Facilities,6,FALSE)="Eligible", G1358, 0 )</f>
        <v>0</v>
      </c>
      <c r="H1362" s="45">
        <f ca="1">IF(VLOOKUP($C1352,Facilities,6,FALSE)="Eligible", H1358, 0 )</f>
        <v>0</v>
      </c>
      <c r="L1362" s="1" t="s">
        <v>233</v>
      </c>
      <c r="M1362" s="29" t="s">
        <v>196</v>
      </c>
      <c r="N1362" s="228" t="s">
        <v>6</v>
      </c>
    </row>
    <row r="1363" spans="1:14" ht="15" customHeight="1" x14ac:dyDescent="0.25">
      <c r="B1363" s="56" t="s">
        <v>121</v>
      </c>
      <c r="C1363" s="55"/>
      <c r="D1363" s="37">
        <f ca="1">SUM(D1361:D1362)</f>
        <v>0</v>
      </c>
      <c r="E1363" s="37">
        <f ca="1">SUM(E1361:E1362)</f>
        <v>0</v>
      </c>
      <c r="F1363" s="37">
        <f ca="1">SUM(F1361:F1362)</f>
        <v>0</v>
      </c>
      <c r="G1363" s="37">
        <f ca="1">SUM(G1361:G1362)</f>
        <v>0</v>
      </c>
      <c r="H1363" s="37">
        <f ca="1">SUM(H1361:H1362)</f>
        <v>0</v>
      </c>
      <c r="L1363" s="1" t="s">
        <v>233</v>
      </c>
      <c r="M1363" s="29" t="s">
        <v>196</v>
      </c>
      <c r="N1363" s="228" t="s">
        <v>121</v>
      </c>
    </row>
    <row r="1364" spans="1:14" ht="15" customHeight="1" x14ac:dyDescent="0.25">
      <c r="B1364" s="29"/>
      <c r="C1364" s="29"/>
      <c r="D1364" s="30"/>
      <c r="E1364" s="30"/>
      <c r="F1364" s="30"/>
      <c r="G1364" s="169"/>
      <c r="H1364" s="30"/>
      <c r="L1364" s="1" t="s">
        <v>233</v>
      </c>
      <c r="M1364" s="29" t="s">
        <v>196</v>
      </c>
    </row>
    <row r="1365" spans="1:14" ht="18.75" customHeight="1" x14ac:dyDescent="0.3">
      <c r="A1365" s="38" t="s">
        <v>30</v>
      </c>
      <c r="C1365" s="29"/>
      <c r="D1365" s="2">
        <f>StartYear</f>
        <v>2017</v>
      </c>
      <c r="E1365" s="2">
        <f>D1365+1</f>
        <v>2018</v>
      </c>
      <c r="F1365" s="2">
        <f>E1365+1</f>
        <v>2019</v>
      </c>
      <c r="G1365" s="2">
        <f>F1365+1</f>
        <v>2020</v>
      </c>
      <c r="H1365" s="2">
        <f>G1365+1</f>
        <v>2021</v>
      </c>
      <c r="L1365" s="1" t="s">
        <v>233</v>
      </c>
      <c r="M1365" s="29" t="s">
        <v>196</v>
      </c>
      <c r="N1365" s="228" t="s">
        <v>30</v>
      </c>
    </row>
    <row r="1366" spans="1:14" ht="15" customHeight="1" x14ac:dyDescent="0.25">
      <c r="B1366" s="57" t="s">
        <v>47</v>
      </c>
      <c r="C1366" s="52"/>
      <c r="D1366" s="3"/>
      <c r="E1366" s="3"/>
      <c r="F1366" s="3"/>
      <c r="G1366" s="3"/>
      <c r="H1366" s="4"/>
      <c r="L1366" s="1" t="s">
        <v>233</v>
      </c>
      <c r="M1366" s="29" t="s">
        <v>196</v>
      </c>
      <c r="N1366" s="228" t="s">
        <v>47</v>
      </c>
    </row>
    <row r="1367" spans="1:14" ht="15" customHeight="1" x14ac:dyDescent="0.25">
      <c r="B1367" s="58" t="s">
        <v>23</v>
      </c>
      <c r="C1367" s="59"/>
      <c r="D1367" s="137"/>
      <c r="E1367" s="137"/>
      <c r="F1367" s="137"/>
      <c r="G1367" s="137"/>
      <c r="H1367" s="138"/>
      <c r="L1367" s="1" t="s">
        <v>233</v>
      </c>
      <c r="M1367" s="29" t="s">
        <v>196</v>
      </c>
      <c r="N1367" s="228" t="s">
        <v>23</v>
      </c>
    </row>
    <row r="1368" spans="1:14" ht="15" customHeight="1" x14ac:dyDescent="0.25">
      <c r="B1368" s="68" t="s">
        <v>89</v>
      </c>
      <c r="C1368" s="67"/>
      <c r="D1368" s="191"/>
      <c r="E1368" s="139"/>
      <c r="F1368" s="139"/>
      <c r="G1368" s="139"/>
      <c r="H1368" s="140"/>
      <c r="L1368" s="1" t="s">
        <v>233</v>
      </c>
      <c r="M1368" s="29" t="s">
        <v>196</v>
      </c>
      <c r="N1368" s="228" t="s">
        <v>89</v>
      </c>
    </row>
    <row r="1369" spans="1:14" ht="15" customHeight="1" x14ac:dyDescent="0.25">
      <c r="B1369" s="32" t="s">
        <v>90</v>
      </c>
      <c r="D1369" s="6">
        <f>SUM(D1366:D1368)</f>
        <v>0</v>
      </c>
      <c r="E1369" s="6">
        <f>SUM(E1366:E1368)</f>
        <v>0</v>
      </c>
      <c r="F1369" s="6">
        <f>SUM(F1366:F1368)</f>
        <v>0</v>
      </c>
      <c r="G1369" s="6">
        <f>SUM(G1366:G1368)</f>
        <v>0</v>
      </c>
      <c r="H1369" s="6">
        <f>SUM(H1366:H1368)</f>
        <v>0</v>
      </c>
      <c r="L1369" s="1" t="s">
        <v>233</v>
      </c>
      <c r="M1369" s="29" t="s">
        <v>196</v>
      </c>
      <c r="N1369" s="228" t="s">
        <v>90</v>
      </c>
    </row>
    <row r="1370" spans="1:14" ht="15" customHeight="1" x14ac:dyDescent="0.25">
      <c r="B1370" s="5"/>
      <c r="D1370" s="6"/>
      <c r="E1370" s="6"/>
      <c r="F1370" s="6"/>
      <c r="G1370" s="167"/>
      <c r="H1370" s="6"/>
      <c r="L1370" s="1" t="s">
        <v>233</v>
      </c>
      <c r="M1370" s="29" t="s">
        <v>196</v>
      </c>
    </row>
    <row r="1371" spans="1:14" ht="18.75" customHeight="1" x14ac:dyDescent="0.3">
      <c r="A1371" s="8" t="s">
        <v>100</v>
      </c>
      <c r="D1371" s="2">
        <f>StartYear</f>
        <v>2017</v>
      </c>
      <c r="E1371" s="2">
        <f>D1371+1</f>
        <v>2018</v>
      </c>
      <c r="F1371" s="2">
        <f>E1371+1</f>
        <v>2019</v>
      </c>
      <c r="G1371" s="2">
        <f>F1371+1</f>
        <v>2020</v>
      </c>
      <c r="H1371" s="2">
        <f>G1371+1</f>
        <v>2021</v>
      </c>
      <c r="L1371" s="1" t="s">
        <v>233</v>
      </c>
      <c r="M1371" s="29" t="s">
        <v>196</v>
      </c>
      <c r="N1371" s="228" t="s">
        <v>100</v>
      </c>
    </row>
    <row r="1372" spans="1:14" ht="15" customHeight="1" x14ac:dyDescent="0.25">
      <c r="B1372" s="57" t="str">
        <f>(StartYear-1) &amp; " Surplus Applied to " &amp; StartYear</f>
        <v>2016 Surplus Applied to 2017</v>
      </c>
      <c r="C1372" s="29"/>
      <c r="D1372" s="186">
        <v>0</v>
      </c>
      <c r="E1372" s="187"/>
      <c r="F1372" s="187"/>
      <c r="G1372" s="187"/>
      <c r="H1372" s="188"/>
      <c r="L1372" s="1" t="s">
        <v>233</v>
      </c>
      <c r="M1372" s="29" t="s">
        <v>196</v>
      </c>
      <c r="N1372" s="228" t="s">
        <v>235</v>
      </c>
    </row>
    <row r="1373" spans="1:14" ht="15" customHeight="1" x14ac:dyDescent="0.25">
      <c r="B1373" s="57" t="str">
        <f>StartYear &amp; " Surplus Applied to " &amp; (StartYear-1)</f>
        <v>2017 Surplus Applied to 2016</v>
      </c>
      <c r="C1373" s="29"/>
      <c r="D1373" s="189">
        <v>0</v>
      </c>
      <c r="E1373" s="113"/>
      <c r="F1373" s="113"/>
      <c r="G1373" s="113"/>
      <c r="H1373" s="117"/>
      <c r="L1373" s="1" t="s">
        <v>233</v>
      </c>
      <c r="M1373" s="29" t="s">
        <v>196</v>
      </c>
      <c r="N1373" s="228" t="s">
        <v>236</v>
      </c>
    </row>
    <row r="1374" spans="1:14" ht="15" customHeight="1" x14ac:dyDescent="0.25">
      <c r="B1374" s="57" t="str">
        <f>( StartYear) &amp; " Surplus Applied to " &amp; ( StartYear + 1 )</f>
        <v>2017 Surplus Applied to 2018</v>
      </c>
      <c r="C1374" s="29"/>
      <c r="D1374" s="184">
        <f ca="1">D1358+D1363-D1369</f>
        <v>0</v>
      </c>
      <c r="E1374" s="185">
        <f ca="1">D1374</f>
        <v>0</v>
      </c>
      <c r="F1374" s="181"/>
      <c r="G1374" s="181"/>
      <c r="H1374" s="182"/>
      <c r="L1374" s="1" t="s">
        <v>233</v>
      </c>
      <c r="M1374" s="29" t="s">
        <v>196</v>
      </c>
      <c r="N1374" s="228" t="s">
        <v>237</v>
      </c>
    </row>
    <row r="1375" spans="1:14" ht="15" customHeight="1" x14ac:dyDescent="0.25">
      <c r="B1375" s="57" t="str">
        <f xml:space="preserve"> ( StartYear + 1 ) &amp; " Surplus Applied to " &amp; ( StartYear )</f>
        <v>2018 Surplus Applied to 2017</v>
      </c>
      <c r="C1375" s="52"/>
      <c r="D1375" s="134">
        <v>0</v>
      </c>
      <c r="E1375" s="9">
        <v>0</v>
      </c>
      <c r="F1375" s="113"/>
      <c r="G1375" s="113"/>
      <c r="H1375" s="117"/>
      <c r="L1375" s="1" t="s">
        <v>233</v>
      </c>
      <c r="M1375" s="29" t="s">
        <v>196</v>
      </c>
      <c r="N1375" s="228" t="s">
        <v>238</v>
      </c>
    </row>
    <row r="1376" spans="1:14" ht="15" customHeight="1" x14ac:dyDescent="0.25">
      <c r="B1376" s="119" t="str">
        <f xml:space="preserve"> ( StartYear + 1 ) &amp; " Surplus Applied to " &amp; ( StartYear + 2 )</f>
        <v>2018 Surplus Applied to 2019</v>
      </c>
      <c r="C1376" s="52"/>
      <c r="D1376" s="114"/>
      <c r="E1376" s="9">
        <v>0</v>
      </c>
      <c r="F1376" s="51">
        <f>E1376</f>
        <v>0</v>
      </c>
      <c r="G1376" s="113"/>
      <c r="H1376" s="117"/>
      <c r="L1376" s="1" t="s">
        <v>233</v>
      </c>
      <c r="M1376" s="29" t="s">
        <v>196</v>
      </c>
      <c r="N1376" s="228" t="s">
        <v>239</v>
      </c>
    </row>
    <row r="1377" spans="1:14" ht="15" customHeight="1" x14ac:dyDescent="0.25">
      <c r="B1377" s="119" t="str">
        <f xml:space="preserve"> ( StartYear + 2 ) &amp; " Surplus Applied to " &amp; ( StartYear + 1 )</f>
        <v>2019 Surplus Applied to 2018</v>
      </c>
      <c r="C1377" s="52"/>
      <c r="D1377" s="114"/>
      <c r="E1377" s="51">
        <v>0</v>
      </c>
      <c r="F1377" s="9">
        <v>0</v>
      </c>
      <c r="G1377" s="113"/>
      <c r="H1377" s="117"/>
      <c r="L1377" s="1" t="s">
        <v>233</v>
      </c>
      <c r="M1377" s="29" t="s">
        <v>196</v>
      </c>
      <c r="N1377" s="228" t="s">
        <v>240</v>
      </c>
    </row>
    <row r="1378" spans="1:14" ht="15" customHeight="1" x14ac:dyDescent="0.25">
      <c r="B1378" s="165" t="str">
        <f xml:space="preserve"> ( StartYear + 2 ) &amp; " Surplus Applied to " &amp; ( StartYear + 3 )</f>
        <v>2019 Surplus Applied to 2020</v>
      </c>
      <c r="C1378" s="29"/>
      <c r="D1378" s="114"/>
      <c r="E1378" s="113"/>
      <c r="F1378" s="9">
        <v>2361</v>
      </c>
      <c r="G1378" s="51">
        <f>F1378</f>
        <v>2361</v>
      </c>
      <c r="H1378" s="117"/>
      <c r="L1378" s="1" t="s">
        <v>233</v>
      </c>
      <c r="M1378" s="29" t="s">
        <v>196</v>
      </c>
      <c r="N1378" s="228" t="s">
        <v>241</v>
      </c>
    </row>
    <row r="1379" spans="1:14" ht="15" customHeight="1" x14ac:dyDescent="0.25">
      <c r="B1379" s="165" t="str">
        <f xml:space="preserve"> ( StartYear + 3 ) &amp; " Surplus Applied to " &amp; ( StartYear + 2 )</f>
        <v>2020 Surplus Applied to 2019</v>
      </c>
      <c r="C1379" s="29"/>
      <c r="D1379" s="114"/>
      <c r="E1379" s="113"/>
      <c r="F1379" s="51">
        <v>0</v>
      </c>
      <c r="G1379" s="9">
        <v>0</v>
      </c>
      <c r="H1379" s="117"/>
      <c r="L1379" s="1" t="s">
        <v>233</v>
      </c>
      <c r="M1379" s="29" t="s">
        <v>196</v>
      </c>
      <c r="N1379" s="228" t="s">
        <v>242</v>
      </c>
    </row>
    <row r="1380" spans="1:14" ht="15" customHeight="1" x14ac:dyDescent="0.25">
      <c r="B1380" s="165" t="str">
        <f xml:space="preserve"> ( StartYear + 3 ) &amp; " Surplus Applied to " &amp; ( StartYear + 4 )</f>
        <v>2020 Surplus Applied to 2021</v>
      </c>
      <c r="C1380" s="29"/>
      <c r="D1380" s="114"/>
      <c r="E1380" s="113"/>
      <c r="F1380" s="113"/>
      <c r="G1380" s="9">
        <f ca="1">G1358+G1363-G1369</f>
        <v>0</v>
      </c>
      <c r="H1380" s="46">
        <f ca="1">G1380</f>
        <v>0</v>
      </c>
      <c r="L1380" s="1" t="s">
        <v>233</v>
      </c>
      <c r="M1380" s="29" t="s">
        <v>196</v>
      </c>
      <c r="N1380" s="228" t="s">
        <v>243</v>
      </c>
    </row>
    <row r="1381" spans="1:14" ht="15" customHeight="1" x14ac:dyDescent="0.25">
      <c r="B1381" s="165" t="str">
        <f xml:space="preserve"> ( StartYear + 4 ) &amp; " Surplus Applied to " &amp; ( StartYear + 3 )</f>
        <v>2021 Surplus Applied to 2020</v>
      </c>
      <c r="C1381" s="29"/>
      <c r="D1381" s="115"/>
      <c r="E1381" s="116"/>
      <c r="F1381" s="116"/>
      <c r="G1381" s="47">
        <v>0</v>
      </c>
      <c r="H1381" s="41">
        <v>0</v>
      </c>
      <c r="L1381" s="1" t="s">
        <v>233</v>
      </c>
      <c r="M1381" s="29" t="s">
        <v>196</v>
      </c>
      <c r="N1381" s="228" t="s">
        <v>244</v>
      </c>
    </row>
    <row r="1382" spans="1:14" ht="15" customHeight="1" x14ac:dyDescent="0.25">
      <c r="B1382" s="32" t="s">
        <v>17</v>
      </c>
      <c r="D1382" s="6">
        <f ca="1">D1372-D1373+D1375-D1374</f>
        <v>0</v>
      </c>
      <c r="E1382" s="6">
        <f ca="1">E1374+E1377-E1375-E1376</f>
        <v>0</v>
      </c>
      <c r="F1382" s="6">
        <f>F1376+F1379-F1377-F1378</f>
        <v>-2361</v>
      </c>
      <c r="G1382" s="6">
        <f ca="1">G1378+G1381-G1379-G1380</f>
        <v>2361</v>
      </c>
      <c r="H1382" s="6">
        <f ca="1">H1380 - H1381</f>
        <v>0</v>
      </c>
      <c r="L1382" s="1" t="s">
        <v>233</v>
      </c>
      <c r="M1382" s="29" t="s">
        <v>196</v>
      </c>
      <c r="N1382" s="228" t="s">
        <v>17</v>
      </c>
    </row>
    <row r="1383" spans="1:14" ht="15" customHeight="1" x14ac:dyDescent="0.25">
      <c r="B1383" s="5"/>
      <c r="D1383" s="6"/>
      <c r="E1383" s="6"/>
      <c r="F1383" s="6"/>
      <c r="G1383" s="6"/>
      <c r="H1383" s="6"/>
      <c r="L1383" s="1" t="s">
        <v>233</v>
      </c>
      <c r="M1383" s="29" t="s">
        <v>196</v>
      </c>
    </row>
    <row r="1384" spans="1:14" ht="15" customHeight="1" x14ac:dyDescent="0.25">
      <c r="B1384" s="54" t="s">
        <v>12</v>
      </c>
      <c r="C1384" s="52"/>
      <c r="D1384" s="75"/>
      <c r="E1384" s="111"/>
      <c r="F1384" s="111"/>
      <c r="G1384" s="111"/>
      <c r="H1384" s="76"/>
      <c r="L1384" s="1" t="s">
        <v>233</v>
      </c>
      <c r="M1384" s="29" t="s">
        <v>196</v>
      </c>
      <c r="N1384" s="228" t="s">
        <v>12</v>
      </c>
    </row>
    <row r="1385" spans="1:14" ht="15" customHeight="1" x14ac:dyDescent="0.25">
      <c r="B1385" s="5"/>
      <c r="D1385" s="6"/>
      <c r="E1385" s="6"/>
      <c r="F1385" s="6"/>
      <c r="G1385" s="6"/>
      <c r="H1385" s="6"/>
      <c r="L1385" s="1" t="s">
        <v>233</v>
      </c>
      <c r="M1385" s="29" t="s">
        <v>196</v>
      </c>
    </row>
    <row r="1386" spans="1:14" ht="18.75" customHeight="1" x14ac:dyDescent="0.3">
      <c r="A1386" s="38" t="s">
        <v>26</v>
      </c>
      <c r="C1386" s="52">
        <f>A1352</f>
        <v>35</v>
      </c>
      <c r="D1386" s="112">
        <f ca="1" xml:space="preserve"> D1358 + D1363 - D1369 + D1382 + D1384</f>
        <v>0</v>
      </c>
      <c r="E1386" s="112">
        <f ca="1" xml:space="preserve"> E1358 + E1363 - E1369 + E1382 + E1384</f>
        <v>0</v>
      </c>
      <c r="F1386" s="112">
        <f ca="1" xml:space="preserve"> F1358 + F1363 - F1369 + F1382 + F1384</f>
        <v>0</v>
      </c>
      <c r="G1386" s="112">
        <f ca="1" xml:space="preserve"> G1358 + G1363 - G1369 + G1382 + G1384</f>
        <v>2361</v>
      </c>
      <c r="H1386" s="174">
        <f ca="1" xml:space="preserve"> H1358 + H1363 - H1369 + H1382 + H1384</f>
        <v>0</v>
      </c>
      <c r="L1386" s="1" t="s">
        <v>233</v>
      </c>
      <c r="M1386" s="29" t="s">
        <v>196</v>
      </c>
      <c r="N1386" s="228" t="s">
        <v>26</v>
      </c>
    </row>
    <row r="1387" spans="1:14" ht="15" customHeight="1" x14ac:dyDescent="0.25">
      <c r="B1387" s="5"/>
      <c r="C1387" s="108" t="s">
        <v>158</v>
      </c>
      <c r="D1387" s="6"/>
      <c r="E1387" s="6"/>
      <c r="F1387" s="28"/>
      <c r="G1387" s="28"/>
      <c r="H1387" s="28"/>
      <c r="L1387" s="1" t="s">
        <v>233</v>
      </c>
      <c r="M1387" s="29" t="s">
        <v>196</v>
      </c>
      <c r="N1387" s="228" t="s">
        <v>158</v>
      </c>
    </row>
    <row r="1388" spans="1:14" ht="15.75" customHeight="1" thickBot="1" x14ac:dyDescent="0.3">
      <c r="L1388" s="1" t="s">
        <v>233</v>
      </c>
      <c r="M1388" s="29" t="s">
        <v>196</v>
      </c>
    </row>
    <row r="1389" spans="1:14" ht="15" customHeight="1" x14ac:dyDescent="0.25">
      <c r="A1389" s="7"/>
      <c r="B1389" s="7"/>
      <c r="C1389" s="7"/>
      <c r="D1389" s="170"/>
      <c r="E1389" s="7"/>
      <c r="F1389" s="7"/>
      <c r="G1389" s="7"/>
      <c r="H1389" s="7"/>
      <c r="L1389" s="1" t="s">
        <v>233</v>
      </c>
      <c r="M1389" s="29" t="s">
        <v>196</v>
      </c>
    </row>
    <row r="1390" spans="1:14" ht="21" customHeight="1" x14ac:dyDescent="0.35">
      <c r="A1390" s="12">
        <f>MAX(A$1:A1389)+1</f>
        <v>36</v>
      </c>
      <c r="B1390" s="12"/>
      <c r="C1390" s="214" t="str">
        <f ca="1">OFFSET($B$4,A1390-1,0)</f>
        <v>Salmon Falls Wind Park, LLC - Salmon Falls Wind Park</v>
      </c>
      <c r="D1390" s="215"/>
      <c r="E1390" s="216"/>
      <c r="F1390" s="216"/>
      <c r="G1390" s="217"/>
      <c r="H1390" s="218"/>
      <c r="L1390" s="1" t="s">
        <v>233</v>
      </c>
      <c r="M1390" s="29" t="s">
        <v>197</v>
      </c>
      <c r="N1390" s="228">
        <v>38</v>
      </c>
    </row>
    <row r="1391" spans="1:14" ht="15" customHeight="1" x14ac:dyDescent="0.25">
      <c r="C1391" s="1" t="str">
        <f ca="1">VLOOKUP(C1390,Facilities,3,FALSE)</f>
        <v>REC only</v>
      </c>
      <c r="L1391" s="1" t="s">
        <v>233</v>
      </c>
      <c r="M1391" s="29" t="s">
        <v>197</v>
      </c>
      <c r="N1391" s="228" t="s">
        <v>181</v>
      </c>
    </row>
    <row r="1392" spans="1:14" ht="18.75" customHeight="1" x14ac:dyDescent="0.3">
      <c r="A1392" s="8" t="s">
        <v>21</v>
      </c>
      <c r="B1392" s="8"/>
      <c r="D1392" s="118">
        <f>StartYear</f>
        <v>2017</v>
      </c>
      <c r="E1392" s="2">
        <f>D1392+1</f>
        <v>2018</v>
      </c>
      <c r="F1392" s="2">
        <f>E1392+1</f>
        <v>2019</v>
      </c>
      <c r="G1392" s="2">
        <f>F1392+1</f>
        <v>2020</v>
      </c>
      <c r="H1392" s="2">
        <f>G1392+1</f>
        <v>2021</v>
      </c>
      <c r="L1392" s="1" t="s">
        <v>233</v>
      </c>
      <c r="M1392" s="29" t="s">
        <v>197</v>
      </c>
      <c r="N1392" s="228" t="s">
        <v>21</v>
      </c>
    </row>
    <row r="1393" spans="1:14" ht="15" customHeight="1" x14ac:dyDescent="0.25">
      <c r="B1393" s="119" t="str">
        <f ca="1">IF(C1429&lt;&gt;"REC only","Total MWh ","")&amp;IF(C1391="PSE owned","Produced","Purchased")&amp;" from "&amp;C1390</f>
        <v>Purchased from Salmon Falls Wind Park, LLC - Salmon Falls Wind Park</v>
      </c>
      <c r="C1393" s="52"/>
      <c r="D1393" s="3"/>
      <c r="E1393" s="3"/>
      <c r="F1393" s="3">
        <v>17090</v>
      </c>
      <c r="G1393" s="3"/>
      <c r="H1393" s="4"/>
      <c r="L1393" s="1" t="s">
        <v>233</v>
      </c>
      <c r="M1393" s="29" t="s">
        <v>197</v>
      </c>
      <c r="N1393" s="228" t="s">
        <v>279</v>
      </c>
    </row>
    <row r="1394" spans="1:14" ht="15" customHeight="1" x14ac:dyDescent="0.25">
      <c r="B1394" s="57" t="s">
        <v>25</v>
      </c>
      <c r="C1394" s="52"/>
      <c r="D1394" s="132"/>
      <c r="E1394" s="132"/>
      <c r="F1394" s="132">
        <v>1</v>
      </c>
      <c r="G1394" s="132"/>
      <c r="H1394" s="133"/>
      <c r="L1394" s="1" t="s">
        <v>233</v>
      </c>
      <c r="M1394" s="29" t="s">
        <v>197</v>
      </c>
      <c r="N1394" s="228" t="s">
        <v>25</v>
      </c>
    </row>
    <row r="1395" spans="1:14" ht="15" customHeight="1" x14ac:dyDescent="0.25">
      <c r="B1395" s="57" t="s">
        <v>20</v>
      </c>
      <c r="C1395" s="52"/>
      <c r="D1395" s="42"/>
      <c r="E1395" s="42"/>
      <c r="F1395" s="42">
        <v>1</v>
      </c>
      <c r="G1395" s="42"/>
      <c r="H1395" s="43"/>
      <c r="L1395" s="1" t="s">
        <v>233</v>
      </c>
      <c r="M1395" s="29" t="s">
        <v>197</v>
      </c>
      <c r="N1395" s="228" t="s">
        <v>20</v>
      </c>
    </row>
    <row r="1396" spans="1:14" ht="15" customHeight="1" x14ac:dyDescent="0.25">
      <c r="B1396" s="54" t="s">
        <v>22</v>
      </c>
      <c r="C1396" s="55"/>
      <c r="D1396" s="131">
        <f xml:space="preserve"> D1393 * D1394 * D1395</f>
        <v>0</v>
      </c>
      <c r="E1396" s="131">
        <f xml:space="preserve"> E1393 * E1394 * E1395</f>
        <v>0</v>
      </c>
      <c r="F1396" s="131">
        <f xml:space="preserve"> ROUNDDOWN(F1393 * F1394 * F1395,0)</f>
        <v>17090</v>
      </c>
      <c r="G1396" s="131">
        <f xml:space="preserve"> ROUNDDOWN(G1393 * G1394 * G1395,0)</f>
        <v>0</v>
      </c>
      <c r="H1396" s="131">
        <f xml:space="preserve"> ROUNDDOWN(H1393 * H1394 * H1395,0)</f>
        <v>0</v>
      </c>
      <c r="L1396" s="1" t="s">
        <v>233</v>
      </c>
      <c r="M1396" s="29" t="s">
        <v>197</v>
      </c>
      <c r="N1396" s="228" t="s">
        <v>22</v>
      </c>
    </row>
    <row r="1397" spans="1:14" ht="15" customHeight="1" x14ac:dyDescent="0.25">
      <c r="B1397" s="22"/>
      <c r="C1397" s="29"/>
      <c r="D1397" s="36"/>
      <c r="E1397" s="36"/>
      <c r="F1397" s="36"/>
      <c r="G1397" s="167"/>
      <c r="H1397" s="36"/>
      <c r="L1397" s="1" t="s">
        <v>233</v>
      </c>
      <c r="M1397" s="29" t="s">
        <v>197</v>
      </c>
    </row>
    <row r="1398" spans="1:14" ht="18.75" customHeight="1" x14ac:dyDescent="0.3">
      <c r="A1398" s="39" t="s">
        <v>119</v>
      </c>
      <c r="C1398" s="29"/>
      <c r="D1398" s="2">
        <f>StartYear</f>
        <v>2017</v>
      </c>
      <c r="E1398" s="2">
        <f>D1398+1</f>
        <v>2018</v>
      </c>
      <c r="F1398" s="2">
        <f>E1398+1</f>
        <v>2019</v>
      </c>
      <c r="G1398" s="2">
        <f>F1398+1</f>
        <v>2020</v>
      </c>
      <c r="H1398" s="2">
        <f>G1398+1</f>
        <v>2021</v>
      </c>
      <c r="L1398" s="1" t="s">
        <v>233</v>
      </c>
      <c r="M1398" s="29" t="s">
        <v>197</v>
      </c>
      <c r="N1398" s="228" t="s">
        <v>119</v>
      </c>
    </row>
    <row r="1399" spans="1:14" x14ac:dyDescent="0.25">
      <c r="B1399" s="57" t="s">
        <v>10</v>
      </c>
      <c r="C1399" s="52"/>
      <c r="D1399" s="10">
        <f ca="1">IF(VLOOKUP($C1390,Facilities,5,FALSE)="Eligible", D1396*ApprenticeshipBonus, 0 )</f>
        <v>0</v>
      </c>
      <c r="E1399" s="109">
        <f ca="1">IF(VLOOKUP($C1390,Facilities,5,FALSE)="Eligible", E1396*ApprenticeshipBonus, 0 )</f>
        <v>0</v>
      </c>
      <c r="F1399" s="109">
        <f ca="1">IF(VLOOKUP($C1390,Facilities,5,FALSE)="Eligible", F1396*ApprenticeshipBonus, 0 )</f>
        <v>0</v>
      </c>
      <c r="G1399" s="109">
        <f ca="1">IF(VLOOKUP($C1390,Facilities,5,FALSE)="Eligible", G1396*ApprenticeshipBonus, 0 )</f>
        <v>0</v>
      </c>
      <c r="H1399" s="11">
        <f ca="1">IF(VLOOKUP($C1390,Facilities,5,FALSE)="Eligible", H1396*ApprenticeshipBonus, 0 )</f>
        <v>0</v>
      </c>
      <c r="L1399" s="1" t="s">
        <v>233</v>
      </c>
      <c r="M1399" s="29" t="s">
        <v>197</v>
      </c>
      <c r="N1399" s="228" t="s">
        <v>10</v>
      </c>
    </row>
    <row r="1400" spans="1:14" ht="15" customHeight="1" x14ac:dyDescent="0.25">
      <c r="B1400" s="57" t="s">
        <v>6</v>
      </c>
      <c r="C1400" s="52"/>
      <c r="D1400" s="44">
        <f ca="1">IF(VLOOKUP($C1390,Facilities,6,FALSE)="Eligible", D1396, 0 )</f>
        <v>0</v>
      </c>
      <c r="E1400" s="110">
        <f ca="1">IF(VLOOKUP($C1390,Facilities,6,FALSE)="Eligible", E1396, 0 )</f>
        <v>0</v>
      </c>
      <c r="F1400" s="110">
        <f ca="1">IF(VLOOKUP($C1390,Facilities,6,FALSE)="Eligible", F1396, 0 )</f>
        <v>0</v>
      </c>
      <c r="G1400" s="110">
        <f ca="1">IF(VLOOKUP($C1390,Facilities,6,FALSE)="Eligible", G1396, 0 )</f>
        <v>0</v>
      </c>
      <c r="H1400" s="45">
        <f ca="1">IF(VLOOKUP($C1390,Facilities,6,FALSE)="Eligible", H1396, 0 )</f>
        <v>0</v>
      </c>
      <c r="L1400" s="1" t="s">
        <v>233</v>
      </c>
      <c r="M1400" s="29" t="s">
        <v>197</v>
      </c>
      <c r="N1400" s="228" t="s">
        <v>6</v>
      </c>
    </row>
    <row r="1401" spans="1:14" ht="15" customHeight="1" x14ac:dyDescent="0.25">
      <c r="B1401" s="56" t="s">
        <v>121</v>
      </c>
      <c r="C1401" s="55"/>
      <c r="D1401" s="37">
        <f ca="1">SUM(D1399:D1400)</f>
        <v>0</v>
      </c>
      <c r="E1401" s="37">
        <f ca="1">SUM(E1399:E1400)</f>
        <v>0</v>
      </c>
      <c r="F1401" s="37">
        <f ca="1">SUM(F1399:F1400)</f>
        <v>0</v>
      </c>
      <c r="G1401" s="37">
        <f ca="1">SUM(G1399:G1400)</f>
        <v>0</v>
      </c>
      <c r="H1401" s="37">
        <f ca="1">SUM(H1399:H1400)</f>
        <v>0</v>
      </c>
      <c r="L1401" s="1" t="s">
        <v>233</v>
      </c>
      <c r="M1401" s="29" t="s">
        <v>197</v>
      </c>
      <c r="N1401" s="228" t="s">
        <v>121</v>
      </c>
    </row>
    <row r="1402" spans="1:14" ht="15" customHeight="1" x14ac:dyDescent="0.25">
      <c r="B1402" s="29"/>
      <c r="C1402" s="29"/>
      <c r="D1402" s="30"/>
      <c r="E1402" s="30"/>
      <c r="F1402" s="30"/>
      <c r="G1402" s="169"/>
      <c r="H1402" s="30"/>
      <c r="L1402" s="1" t="s">
        <v>233</v>
      </c>
      <c r="M1402" s="29" t="s">
        <v>197</v>
      </c>
    </row>
    <row r="1403" spans="1:14" ht="18.75" customHeight="1" x14ac:dyDescent="0.3">
      <c r="A1403" s="38" t="s">
        <v>30</v>
      </c>
      <c r="C1403" s="29"/>
      <c r="D1403" s="2">
        <f>StartYear</f>
        <v>2017</v>
      </c>
      <c r="E1403" s="2">
        <f>D1403+1</f>
        <v>2018</v>
      </c>
      <c r="F1403" s="2">
        <f>E1403+1</f>
        <v>2019</v>
      </c>
      <c r="G1403" s="2">
        <f>F1403+1</f>
        <v>2020</v>
      </c>
      <c r="H1403" s="2">
        <f>G1403+1</f>
        <v>2021</v>
      </c>
      <c r="L1403" s="1" t="s">
        <v>233</v>
      </c>
      <c r="M1403" s="29" t="s">
        <v>197</v>
      </c>
      <c r="N1403" s="228" t="s">
        <v>30</v>
      </c>
    </row>
    <row r="1404" spans="1:14" ht="15" customHeight="1" x14ac:dyDescent="0.25">
      <c r="B1404" s="57" t="s">
        <v>47</v>
      </c>
      <c r="C1404" s="52"/>
      <c r="D1404" s="3"/>
      <c r="E1404" s="3"/>
      <c r="F1404" s="3"/>
      <c r="G1404" s="3"/>
      <c r="H1404" s="4"/>
      <c r="L1404" s="1" t="s">
        <v>233</v>
      </c>
      <c r="M1404" s="29" t="s">
        <v>197</v>
      </c>
      <c r="N1404" s="228" t="s">
        <v>47</v>
      </c>
    </row>
    <row r="1405" spans="1:14" ht="15" customHeight="1" x14ac:dyDescent="0.25">
      <c r="B1405" s="58" t="s">
        <v>23</v>
      </c>
      <c r="C1405" s="59"/>
      <c r="D1405" s="137"/>
      <c r="E1405" s="137"/>
      <c r="F1405" s="137"/>
      <c r="G1405" s="137"/>
      <c r="H1405" s="138"/>
      <c r="L1405" s="1" t="s">
        <v>233</v>
      </c>
      <c r="M1405" s="29" t="s">
        <v>197</v>
      </c>
      <c r="N1405" s="228" t="s">
        <v>23</v>
      </c>
    </row>
    <row r="1406" spans="1:14" ht="15" customHeight="1" x14ac:dyDescent="0.25">
      <c r="B1406" s="68" t="s">
        <v>89</v>
      </c>
      <c r="C1406" s="67"/>
      <c r="D1406" s="191"/>
      <c r="E1406" s="139"/>
      <c r="F1406" s="139"/>
      <c r="G1406" s="139"/>
      <c r="H1406" s="140"/>
      <c r="L1406" s="1" t="s">
        <v>233</v>
      </c>
      <c r="M1406" s="29" t="s">
        <v>197</v>
      </c>
      <c r="N1406" s="228" t="s">
        <v>89</v>
      </c>
    </row>
    <row r="1407" spans="1:14" ht="15" customHeight="1" x14ac:dyDescent="0.25">
      <c r="B1407" s="32" t="s">
        <v>90</v>
      </c>
      <c r="D1407" s="6">
        <f>SUM(D1404:D1406)</f>
        <v>0</v>
      </c>
      <c r="E1407" s="6">
        <f>SUM(E1404:E1406)</f>
        <v>0</v>
      </c>
      <c r="F1407" s="6">
        <f>SUM(F1404:F1406)</f>
        <v>0</v>
      </c>
      <c r="G1407" s="6">
        <f>SUM(G1404:G1406)</f>
        <v>0</v>
      </c>
      <c r="H1407" s="6">
        <f>SUM(H1404:H1406)</f>
        <v>0</v>
      </c>
      <c r="L1407" s="1" t="s">
        <v>233</v>
      </c>
      <c r="M1407" s="29" t="s">
        <v>197</v>
      </c>
      <c r="N1407" s="228" t="s">
        <v>90</v>
      </c>
    </row>
    <row r="1408" spans="1:14" ht="15" customHeight="1" x14ac:dyDescent="0.25">
      <c r="B1408" s="5"/>
      <c r="D1408" s="6"/>
      <c r="E1408" s="6"/>
      <c r="F1408" s="6"/>
      <c r="G1408" s="167"/>
      <c r="H1408" s="6"/>
      <c r="L1408" s="1" t="s">
        <v>233</v>
      </c>
      <c r="M1408" s="29" t="s">
        <v>197</v>
      </c>
    </row>
    <row r="1409" spans="1:14" ht="18.75" customHeight="1" x14ac:dyDescent="0.3">
      <c r="A1409" s="8" t="s">
        <v>100</v>
      </c>
      <c r="D1409" s="2">
        <f>StartYear</f>
        <v>2017</v>
      </c>
      <c r="E1409" s="2">
        <f>D1409+1</f>
        <v>2018</v>
      </c>
      <c r="F1409" s="2">
        <f>E1409+1</f>
        <v>2019</v>
      </c>
      <c r="G1409" s="2">
        <f>F1409+1</f>
        <v>2020</v>
      </c>
      <c r="H1409" s="2">
        <f>G1409+1</f>
        <v>2021</v>
      </c>
      <c r="L1409" s="1" t="s">
        <v>233</v>
      </c>
      <c r="M1409" s="29" t="s">
        <v>197</v>
      </c>
      <c r="N1409" s="228" t="s">
        <v>100</v>
      </c>
    </row>
    <row r="1410" spans="1:14" ht="15" customHeight="1" x14ac:dyDescent="0.25">
      <c r="B1410" s="57" t="str">
        <f>(StartYear-1) &amp; " Surplus Applied to " &amp; StartYear</f>
        <v>2016 Surplus Applied to 2017</v>
      </c>
      <c r="C1410" s="29"/>
      <c r="D1410" s="186">
        <v>0</v>
      </c>
      <c r="E1410" s="187"/>
      <c r="F1410" s="187"/>
      <c r="G1410" s="187"/>
      <c r="H1410" s="188"/>
      <c r="L1410" s="1" t="s">
        <v>233</v>
      </c>
      <c r="M1410" s="29" t="s">
        <v>197</v>
      </c>
      <c r="N1410" s="228" t="s">
        <v>235</v>
      </c>
    </row>
    <row r="1411" spans="1:14" ht="15" customHeight="1" x14ac:dyDescent="0.25">
      <c r="B1411" s="57" t="str">
        <f>StartYear &amp; " Surplus Applied to " &amp; (StartYear-1)</f>
        <v>2017 Surplus Applied to 2016</v>
      </c>
      <c r="C1411" s="29"/>
      <c r="D1411" s="189">
        <v>0</v>
      </c>
      <c r="E1411" s="113"/>
      <c r="F1411" s="113"/>
      <c r="G1411" s="113"/>
      <c r="H1411" s="117"/>
      <c r="L1411" s="1" t="s">
        <v>233</v>
      </c>
      <c r="M1411" s="29" t="s">
        <v>197</v>
      </c>
      <c r="N1411" s="228" t="s">
        <v>236</v>
      </c>
    </row>
    <row r="1412" spans="1:14" ht="15" customHeight="1" x14ac:dyDescent="0.25">
      <c r="B1412" s="57" t="str">
        <f>( StartYear) &amp; " Surplus Applied to " &amp; ( StartYear + 1 )</f>
        <v>2017 Surplus Applied to 2018</v>
      </c>
      <c r="C1412" s="29"/>
      <c r="D1412" s="184">
        <f ca="1">D1396+D1401-D1407</f>
        <v>0</v>
      </c>
      <c r="E1412" s="185">
        <f ca="1">D1412</f>
        <v>0</v>
      </c>
      <c r="F1412" s="181"/>
      <c r="G1412" s="181"/>
      <c r="H1412" s="182"/>
      <c r="L1412" s="1" t="s">
        <v>233</v>
      </c>
      <c r="M1412" s="29" t="s">
        <v>197</v>
      </c>
      <c r="N1412" s="228" t="s">
        <v>237</v>
      </c>
    </row>
    <row r="1413" spans="1:14" ht="15" customHeight="1" x14ac:dyDescent="0.25">
      <c r="B1413" s="57" t="str">
        <f xml:space="preserve"> ( StartYear + 1 ) &amp; " Surplus Applied to " &amp; ( StartYear )</f>
        <v>2018 Surplus Applied to 2017</v>
      </c>
      <c r="C1413" s="52"/>
      <c r="D1413" s="134">
        <v>0</v>
      </c>
      <c r="E1413" s="9">
        <v>0</v>
      </c>
      <c r="F1413" s="113"/>
      <c r="G1413" s="113"/>
      <c r="H1413" s="117"/>
      <c r="L1413" s="1" t="s">
        <v>233</v>
      </c>
      <c r="M1413" s="29" t="s">
        <v>197</v>
      </c>
      <c r="N1413" s="228" t="s">
        <v>238</v>
      </c>
    </row>
    <row r="1414" spans="1:14" ht="15" customHeight="1" x14ac:dyDescent="0.25">
      <c r="B1414" s="119" t="str">
        <f xml:space="preserve"> ( StartYear + 1 ) &amp; " Surplus Applied to " &amp; ( StartYear + 2 )</f>
        <v>2018 Surplus Applied to 2019</v>
      </c>
      <c r="C1414" s="52"/>
      <c r="D1414" s="114"/>
      <c r="E1414" s="9">
        <v>0</v>
      </c>
      <c r="F1414" s="51">
        <f>E1414</f>
        <v>0</v>
      </c>
      <c r="G1414" s="113"/>
      <c r="H1414" s="117"/>
      <c r="L1414" s="1" t="s">
        <v>233</v>
      </c>
      <c r="M1414" s="29" t="s">
        <v>197</v>
      </c>
      <c r="N1414" s="228" t="s">
        <v>239</v>
      </c>
    </row>
    <row r="1415" spans="1:14" ht="15" customHeight="1" x14ac:dyDescent="0.25">
      <c r="B1415" s="119" t="str">
        <f xml:space="preserve"> ( StartYear + 2 ) &amp; " Surplus Applied to " &amp; ( StartYear + 1 )</f>
        <v>2019 Surplus Applied to 2018</v>
      </c>
      <c r="C1415" s="52"/>
      <c r="D1415" s="114"/>
      <c r="E1415" s="51">
        <v>0</v>
      </c>
      <c r="F1415" s="9">
        <v>0</v>
      </c>
      <c r="G1415" s="113"/>
      <c r="H1415" s="117"/>
      <c r="L1415" s="1" t="s">
        <v>233</v>
      </c>
      <c r="M1415" s="29" t="s">
        <v>197</v>
      </c>
      <c r="N1415" s="228" t="s">
        <v>240</v>
      </c>
    </row>
    <row r="1416" spans="1:14" ht="15" customHeight="1" x14ac:dyDescent="0.25">
      <c r="B1416" s="165" t="str">
        <f xml:space="preserve"> ( StartYear + 2 ) &amp; " Surplus Applied to " &amp; ( StartYear + 3 )</f>
        <v>2019 Surplus Applied to 2020</v>
      </c>
      <c r="C1416" s="29"/>
      <c r="D1416" s="114"/>
      <c r="E1416" s="113"/>
      <c r="F1416" s="9">
        <v>17090</v>
      </c>
      <c r="G1416" s="51">
        <f>F1416</f>
        <v>17090</v>
      </c>
      <c r="H1416" s="117"/>
      <c r="L1416" s="1" t="s">
        <v>233</v>
      </c>
      <c r="M1416" s="29" t="s">
        <v>197</v>
      </c>
      <c r="N1416" s="228" t="s">
        <v>241</v>
      </c>
    </row>
    <row r="1417" spans="1:14" ht="15" customHeight="1" x14ac:dyDescent="0.25">
      <c r="B1417" s="165" t="str">
        <f xml:space="preserve"> ( StartYear + 3 ) &amp; " Surplus Applied to " &amp; ( StartYear + 2 )</f>
        <v>2020 Surplus Applied to 2019</v>
      </c>
      <c r="C1417" s="29"/>
      <c r="D1417" s="114"/>
      <c r="E1417" s="113"/>
      <c r="F1417" s="51">
        <v>0</v>
      </c>
      <c r="G1417" s="9">
        <v>0</v>
      </c>
      <c r="H1417" s="117"/>
      <c r="L1417" s="1" t="s">
        <v>233</v>
      </c>
      <c r="M1417" s="29" t="s">
        <v>197</v>
      </c>
      <c r="N1417" s="228" t="s">
        <v>242</v>
      </c>
    </row>
    <row r="1418" spans="1:14" ht="15" customHeight="1" x14ac:dyDescent="0.25">
      <c r="B1418" s="165" t="str">
        <f xml:space="preserve"> ( StartYear + 3 ) &amp; " Surplus Applied to " &amp; ( StartYear + 4 )</f>
        <v>2020 Surplus Applied to 2021</v>
      </c>
      <c r="C1418" s="29"/>
      <c r="D1418" s="114"/>
      <c r="E1418" s="113"/>
      <c r="F1418" s="113"/>
      <c r="G1418" s="9">
        <f ca="1">G1396+G1401-G1407</f>
        <v>0</v>
      </c>
      <c r="H1418" s="46">
        <f ca="1">G1418</f>
        <v>0</v>
      </c>
      <c r="L1418" s="1" t="s">
        <v>233</v>
      </c>
      <c r="M1418" s="29" t="s">
        <v>197</v>
      </c>
      <c r="N1418" s="228" t="s">
        <v>243</v>
      </c>
    </row>
    <row r="1419" spans="1:14" ht="15" customHeight="1" x14ac:dyDescent="0.25">
      <c r="B1419" s="165" t="str">
        <f xml:space="preserve"> ( StartYear + 4 ) &amp; " Surplus Applied to " &amp; ( StartYear + 3 )</f>
        <v>2021 Surplus Applied to 2020</v>
      </c>
      <c r="C1419" s="29"/>
      <c r="D1419" s="115"/>
      <c r="E1419" s="116"/>
      <c r="F1419" s="116"/>
      <c r="G1419" s="47">
        <v>0</v>
      </c>
      <c r="H1419" s="41">
        <v>0</v>
      </c>
      <c r="L1419" s="1" t="s">
        <v>233</v>
      </c>
      <c r="M1419" s="29" t="s">
        <v>197</v>
      </c>
      <c r="N1419" s="228" t="s">
        <v>244</v>
      </c>
    </row>
    <row r="1420" spans="1:14" ht="15" customHeight="1" x14ac:dyDescent="0.25">
      <c r="B1420" s="32" t="s">
        <v>17</v>
      </c>
      <c r="D1420" s="6">
        <f ca="1">D1410-D1411+D1413-D1412</f>
        <v>0</v>
      </c>
      <c r="E1420" s="6">
        <f ca="1">E1412+E1415-E1413-E1414</f>
        <v>0</v>
      </c>
      <c r="F1420" s="6">
        <f>F1414+F1417-F1415-F1416</f>
        <v>-17090</v>
      </c>
      <c r="G1420" s="6">
        <f ca="1">G1416+G1419-G1417-G1418</f>
        <v>17090</v>
      </c>
      <c r="H1420" s="6">
        <f ca="1">H1418 - H1419</f>
        <v>0</v>
      </c>
      <c r="L1420" s="1" t="s">
        <v>233</v>
      </c>
      <c r="M1420" s="29" t="s">
        <v>197</v>
      </c>
      <c r="N1420" s="228" t="s">
        <v>17</v>
      </c>
    </row>
    <row r="1421" spans="1:14" ht="15" customHeight="1" x14ac:dyDescent="0.25">
      <c r="B1421" s="5"/>
      <c r="D1421" s="6"/>
      <c r="E1421" s="6"/>
      <c r="F1421" s="6"/>
      <c r="G1421" s="6"/>
      <c r="H1421" s="6"/>
      <c r="L1421" s="1" t="s">
        <v>233</v>
      </c>
      <c r="M1421" s="29" t="s">
        <v>197</v>
      </c>
    </row>
    <row r="1422" spans="1:14" ht="15" customHeight="1" x14ac:dyDescent="0.25">
      <c r="B1422" s="54" t="s">
        <v>12</v>
      </c>
      <c r="C1422" s="52"/>
      <c r="D1422" s="75"/>
      <c r="E1422" s="111"/>
      <c r="F1422" s="111"/>
      <c r="G1422" s="111"/>
      <c r="H1422" s="76"/>
      <c r="L1422" s="1" t="s">
        <v>233</v>
      </c>
      <c r="M1422" s="29" t="s">
        <v>197</v>
      </c>
      <c r="N1422" s="228" t="s">
        <v>12</v>
      </c>
    </row>
    <row r="1423" spans="1:14" ht="15" customHeight="1" x14ac:dyDescent="0.25">
      <c r="B1423" s="5"/>
      <c r="D1423" s="6"/>
      <c r="E1423" s="6"/>
      <c r="F1423" s="6"/>
      <c r="G1423" s="6"/>
      <c r="H1423" s="6"/>
      <c r="L1423" s="1" t="s">
        <v>233</v>
      </c>
      <c r="M1423" s="29" t="s">
        <v>197</v>
      </c>
    </row>
    <row r="1424" spans="1:14" ht="18.75" customHeight="1" x14ac:dyDescent="0.3">
      <c r="A1424" s="38" t="s">
        <v>26</v>
      </c>
      <c r="C1424" s="52">
        <f>A1390</f>
        <v>36</v>
      </c>
      <c r="D1424" s="112">
        <f ca="1" xml:space="preserve"> D1396 + D1401 - D1407 + D1420 + D1422</f>
        <v>0</v>
      </c>
      <c r="E1424" s="112">
        <f ca="1" xml:space="preserve"> E1396 + E1401 - E1407 + E1420 + E1422</f>
        <v>0</v>
      </c>
      <c r="F1424" s="112">
        <f ca="1" xml:space="preserve"> F1396 + F1401 - F1407 + F1420 + F1422</f>
        <v>0</v>
      </c>
      <c r="G1424" s="112">
        <f ca="1" xml:space="preserve"> G1396 + G1401 - G1407 + G1420 + G1422</f>
        <v>17090</v>
      </c>
      <c r="H1424" s="174">
        <f ca="1" xml:space="preserve"> H1396 + H1401 - H1407 + H1420 + H1422</f>
        <v>0</v>
      </c>
      <c r="L1424" s="1" t="s">
        <v>233</v>
      </c>
      <c r="M1424" s="29" t="s">
        <v>197</v>
      </c>
      <c r="N1424" s="228" t="s">
        <v>26</v>
      </c>
    </row>
    <row r="1425" spans="1:14" ht="15" customHeight="1" x14ac:dyDescent="0.25">
      <c r="B1425" s="5"/>
      <c r="C1425" s="108" t="s">
        <v>158</v>
      </c>
      <c r="D1425" s="6"/>
      <c r="E1425" s="6"/>
      <c r="F1425" s="28"/>
      <c r="G1425" s="28"/>
      <c r="H1425" s="28"/>
      <c r="L1425" s="1" t="s">
        <v>233</v>
      </c>
      <c r="M1425" s="29" t="s">
        <v>197</v>
      </c>
      <c r="N1425" s="228" t="s">
        <v>158</v>
      </c>
    </row>
    <row r="1426" spans="1:14" ht="15.75" customHeight="1" thickBot="1" x14ac:dyDescent="0.3">
      <c r="L1426" s="1" t="s">
        <v>233</v>
      </c>
      <c r="M1426" s="29" t="s">
        <v>197</v>
      </c>
    </row>
    <row r="1427" spans="1:14" ht="15" customHeight="1" x14ac:dyDescent="0.25">
      <c r="A1427" s="7"/>
      <c r="B1427" s="7"/>
      <c r="C1427" s="7"/>
      <c r="D1427" s="170"/>
      <c r="E1427" s="7"/>
      <c r="F1427" s="7"/>
      <c r="G1427" s="7"/>
      <c r="H1427" s="7"/>
      <c r="L1427" s="1" t="s">
        <v>233</v>
      </c>
      <c r="M1427" s="29" t="s">
        <v>197</v>
      </c>
    </row>
    <row r="1428" spans="1:14" ht="21" customHeight="1" x14ac:dyDescent="0.35">
      <c r="A1428" s="12">
        <f>MAX(A$1:A1427)+1</f>
        <v>37</v>
      </c>
      <c r="B1428" s="12"/>
      <c r="C1428" s="214" t="str">
        <f ca="1">OFFSET($B$4,A1428-1,0)</f>
        <v>Sawtooth Wind Project - Sawtooth Wind Project</v>
      </c>
      <c r="D1428" s="215"/>
      <c r="E1428" s="216"/>
      <c r="F1428" s="216"/>
      <c r="G1428" s="217"/>
      <c r="H1428" s="218"/>
      <c r="L1428" s="1" t="s">
        <v>233</v>
      </c>
      <c r="M1428" s="29" t="s">
        <v>198</v>
      </c>
      <c r="N1428" s="228">
        <v>39</v>
      </c>
    </row>
    <row r="1429" spans="1:14" ht="15" customHeight="1" x14ac:dyDescent="0.25">
      <c r="C1429" s="1" t="str">
        <f ca="1">VLOOKUP(C1428,Facilities,3,FALSE)</f>
        <v>REC only</v>
      </c>
      <c r="L1429" s="1" t="s">
        <v>233</v>
      </c>
      <c r="M1429" s="29" t="s">
        <v>198</v>
      </c>
      <c r="N1429" s="228" t="s">
        <v>181</v>
      </c>
    </row>
    <row r="1430" spans="1:14" ht="18.75" customHeight="1" x14ac:dyDescent="0.3">
      <c r="A1430" s="8" t="s">
        <v>21</v>
      </c>
      <c r="B1430" s="8"/>
      <c r="D1430" s="118">
        <f>StartYear</f>
        <v>2017</v>
      </c>
      <c r="E1430" s="2">
        <f>D1430+1</f>
        <v>2018</v>
      </c>
      <c r="F1430" s="2">
        <f>E1430+1</f>
        <v>2019</v>
      </c>
      <c r="G1430" s="2">
        <f>F1430+1</f>
        <v>2020</v>
      </c>
      <c r="H1430" s="2">
        <f>G1430+1</f>
        <v>2021</v>
      </c>
      <c r="L1430" s="1" t="s">
        <v>233</v>
      </c>
      <c r="M1430" s="29" t="s">
        <v>198</v>
      </c>
      <c r="N1430" s="228" t="s">
        <v>21</v>
      </c>
    </row>
    <row r="1431" spans="1:14" ht="15" customHeight="1" x14ac:dyDescent="0.25">
      <c r="B1431" s="119" t="str">
        <f ca="1">IF(C1467&lt;&gt;"REC only","Total MWh ","")&amp;IF(C1429="PSE owned","Produced","Purchased")&amp;" from "&amp;C1428</f>
        <v>Purchased from Sawtooth Wind Project - Sawtooth Wind Project</v>
      </c>
      <c r="C1431" s="52"/>
      <c r="D1431" s="3"/>
      <c r="E1431" s="3"/>
      <c r="F1431" s="3">
        <v>54367</v>
      </c>
      <c r="G1431" s="3">
        <v>3360</v>
      </c>
      <c r="H1431" s="4"/>
      <c r="L1431" s="1" t="s">
        <v>233</v>
      </c>
      <c r="M1431" s="29" t="s">
        <v>198</v>
      </c>
      <c r="N1431" s="228" t="s">
        <v>280</v>
      </c>
    </row>
    <row r="1432" spans="1:14" ht="15" customHeight="1" x14ac:dyDescent="0.25">
      <c r="B1432" s="57" t="s">
        <v>25</v>
      </c>
      <c r="C1432" s="52"/>
      <c r="D1432" s="132"/>
      <c r="E1432" s="132"/>
      <c r="F1432" s="132">
        <v>1</v>
      </c>
      <c r="G1432" s="132">
        <v>1</v>
      </c>
      <c r="H1432" s="133"/>
      <c r="L1432" s="1" t="s">
        <v>233</v>
      </c>
      <c r="M1432" s="29" t="s">
        <v>198</v>
      </c>
      <c r="N1432" s="228" t="s">
        <v>25</v>
      </c>
    </row>
    <row r="1433" spans="1:14" ht="15" customHeight="1" x14ac:dyDescent="0.25">
      <c r="B1433" s="57" t="s">
        <v>20</v>
      </c>
      <c r="C1433" s="52"/>
      <c r="D1433" s="42"/>
      <c r="E1433" s="42"/>
      <c r="F1433" s="42">
        <v>1</v>
      </c>
      <c r="G1433" s="42">
        <v>1</v>
      </c>
      <c r="H1433" s="43"/>
      <c r="L1433" s="1" t="s">
        <v>233</v>
      </c>
      <c r="M1433" s="29" t="s">
        <v>198</v>
      </c>
      <c r="N1433" s="228" t="s">
        <v>20</v>
      </c>
    </row>
    <row r="1434" spans="1:14" ht="15" customHeight="1" x14ac:dyDescent="0.25">
      <c r="B1434" s="54" t="s">
        <v>22</v>
      </c>
      <c r="C1434" s="55"/>
      <c r="D1434" s="131">
        <f xml:space="preserve"> D1431 * D1432 * D1433</f>
        <v>0</v>
      </c>
      <c r="E1434" s="131">
        <f xml:space="preserve"> E1431 * E1432 * E1433</f>
        <v>0</v>
      </c>
      <c r="F1434" s="131">
        <f xml:space="preserve"> ROUNDDOWN(F1431 * F1432 * F1433,0)</f>
        <v>54367</v>
      </c>
      <c r="G1434" s="131">
        <f xml:space="preserve"> ROUNDDOWN(G1431 * G1432 * G1433,0)</f>
        <v>3360</v>
      </c>
      <c r="H1434" s="131">
        <f xml:space="preserve"> ROUNDDOWN(H1431 * H1432 * H1433,0)</f>
        <v>0</v>
      </c>
      <c r="L1434" s="1" t="s">
        <v>233</v>
      </c>
      <c r="M1434" s="29" t="s">
        <v>198</v>
      </c>
      <c r="N1434" s="228" t="s">
        <v>22</v>
      </c>
    </row>
    <row r="1435" spans="1:14" ht="15" customHeight="1" x14ac:dyDescent="0.25">
      <c r="B1435" s="22"/>
      <c r="C1435" s="29"/>
      <c r="D1435" s="36"/>
      <c r="E1435" s="36"/>
      <c r="F1435" s="36"/>
      <c r="G1435" s="167"/>
      <c r="H1435" s="36"/>
      <c r="L1435" s="1" t="s">
        <v>233</v>
      </c>
      <c r="M1435" s="29" t="s">
        <v>198</v>
      </c>
    </row>
    <row r="1436" spans="1:14" ht="18.75" customHeight="1" x14ac:dyDescent="0.3">
      <c r="A1436" s="39" t="s">
        <v>119</v>
      </c>
      <c r="C1436" s="29"/>
      <c r="D1436" s="2">
        <f>StartYear</f>
        <v>2017</v>
      </c>
      <c r="E1436" s="2">
        <f>D1436+1</f>
        <v>2018</v>
      </c>
      <c r="F1436" s="2">
        <f>E1436+1</f>
        <v>2019</v>
      </c>
      <c r="G1436" s="2">
        <f>F1436+1</f>
        <v>2020</v>
      </c>
      <c r="H1436" s="2">
        <f>G1436+1</f>
        <v>2021</v>
      </c>
      <c r="L1436" s="1" t="s">
        <v>233</v>
      </c>
      <c r="M1436" s="29" t="s">
        <v>198</v>
      </c>
      <c r="N1436" s="228" t="s">
        <v>119</v>
      </c>
    </row>
    <row r="1437" spans="1:14" x14ac:dyDescent="0.25">
      <c r="B1437" s="57" t="s">
        <v>10</v>
      </c>
      <c r="C1437" s="52"/>
      <c r="D1437" s="10">
        <f ca="1">IF(VLOOKUP($C1428,Facilities,5,FALSE)="Eligible", D1434*ApprenticeshipBonus, 0 )</f>
        <v>0</v>
      </c>
      <c r="E1437" s="109">
        <f ca="1">IF(VLOOKUP($C1428,Facilities,5,FALSE)="Eligible", E1434*ApprenticeshipBonus, 0 )</f>
        <v>0</v>
      </c>
      <c r="F1437" s="109">
        <f ca="1">IF(VLOOKUP($C1428,Facilities,5,FALSE)="Eligible", F1434*ApprenticeshipBonus, 0 )</f>
        <v>0</v>
      </c>
      <c r="G1437" s="109">
        <f ca="1">IF(VLOOKUP($C1428,Facilities,5,FALSE)="Eligible", G1434*ApprenticeshipBonus, 0 )</f>
        <v>0</v>
      </c>
      <c r="H1437" s="11">
        <f ca="1">IF(VLOOKUP($C1428,Facilities,5,FALSE)="Eligible", H1434*ApprenticeshipBonus, 0 )</f>
        <v>0</v>
      </c>
      <c r="L1437" s="1" t="s">
        <v>233</v>
      </c>
      <c r="M1437" s="29" t="s">
        <v>198</v>
      </c>
      <c r="N1437" s="228" t="s">
        <v>10</v>
      </c>
    </row>
    <row r="1438" spans="1:14" ht="15" customHeight="1" x14ac:dyDescent="0.25">
      <c r="B1438" s="57" t="s">
        <v>6</v>
      </c>
      <c r="C1438" s="52"/>
      <c r="D1438" s="44">
        <f ca="1">IF(VLOOKUP($C1428,Facilities,6,FALSE)="Eligible", D1434, 0 )</f>
        <v>0</v>
      </c>
      <c r="E1438" s="110">
        <f ca="1">IF(VLOOKUP($C1428,Facilities,6,FALSE)="Eligible", E1434, 0 )</f>
        <v>0</v>
      </c>
      <c r="F1438" s="110">
        <f ca="1">IF(VLOOKUP($C1428,Facilities,6,FALSE)="Eligible", F1434, 0 )</f>
        <v>0</v>
      </c>
      <c r="G1438" s="110">
        <f ca="1">IF(VLOOKUP($C1428,Facilities,6,FALSE)="Eligible", G1434, 0 )</f>
        <v>0</v>
      </c>
      <c r="H1438" s="45">
        <f ca="1">IF(VLOOKUP($C1428,Facilities,6,FALSE)="Eligible", H1434, 0 )</f>
        <v>0</v>
      </c>
      <c r="L1438" s="1" t="s">
        <v>233</v>
      </c>
      <c r="M1438" s="29" t="s">
        <v>198</v>
      </c>
      <c r="N1438" s="228" t="s">
        <v>6</v>
      </c>
    </row>
    <row r="1439" spans="1:14" ht="15" customHeight="1" x14ac:dyDescent="0.25">
      <c r="B1439" s="56" t="s">
        <v>121</v>
      </c>
      <c r="C1439" s="55"/>
      <c r="D1439" s="37">
        <f ca="1">SUM(D1437:D1438)</f>
        <v>0</v>
      </c>
      <c r="E1439" s="37">
        <f ca="1">SUM(E1437:E1438)</f>
        <v>0</v>
      </c>
      <c r="F1439" s="37">
        <f ca="1">SUM(F1437:F1438)</f>
        <v>0</v>
      </c>
      <c r="G1439" s="37">
        <f ca="1">SUM(G1437:G1438)</f>
        <v>0</v>
      </c>
      <c r="H1439" s="37">
        <f ca="1">SUM(H1437:H1438)</f>
        <v>0</v>
      </c>
      <c r="L1439" s="1" t="s">
        <v>233</v>
      </c>
      <c r="M1439" s="29" t="s">
        <v>198</v>
      </c>
      <c r="N1439" s="228" t="s">
        <v>121</v>
      </c>
    </row>
    <row r="1440" spans="1:14" ht="15" customHeight="1" x14ac:dyDescent="0.25">
      <c r="B1440" s="29"/>
      <c r="C1440" s="29"/>
      <c r="D1440" s="30"/>
      <c r="E1440" s="30"/>
      <c r="F1440" s="30"/>
      <c r="G1440" s="169"/>
      <c r="H1440" s="30"/>
      <c r="L1440" s="1" t="s">
        <v>233</v>
      </c>
      <c r="M1440" s="29" t="s">
        <v>198</v>
      </c>
    </row>
    <row r="1441" spans="1:14" ht="18.75" customHeight="1" x14ac:dyDescent="0.3">
      <c r="A1441" s="38" t="s">
        <v>30</v>
      </c>
      <c r="C1441" s="29"/>
      <c r="D1441" s="2">
        <f>StartYear</f>
        <v>2017</v>
      </c>
      <c r="E1441" s="2">
        <f>D1441+1</f>
        <v>2018</v>
      </c>
      <c r="F1441" s="2">
        <f>E1441+1</f>
        <v>2019</v>
      </c>
      <c r="G1441" s="2">
        <f>F1441+1</f>
        <v>2020</v>
      </c>
      <c r="H1441" s="2">
        <f>G1441+1</f>
        <v>2021</v>
      </c>
      <c r="L1441" s="1" t="s">
        <v>233</v>
      </c>
      <c r="M1441" s="29" t="s">
        <v>198</v>
      </c>
      <c r="N1441" s="228" t="s">
        <v>30</v>
      </c>
    </row>
    <row r="1442" spans="1:14" ht="15" customHeight="1" x14ac:dyDescent="0.25">
      <c r="B1442" s="57" t="s">
        <v>47</v>
      </c>
      <c r="C1442" s="52"/>
      <c r="D1442" s="3"/>
      <c r="E1442" s="3"/>
      <c r="F1442" s="3"/>
      <c r="G1442" s="3"/>
      <c r="H1442" s="4"/>
      <c r="L1442" s="1" t="s">
        <v>233</v>
      </c>
      <c r="M1442" s="29" t="s">
        <v>198</v>
      </c>
      <c r="N1442" s="228" t="s">
        <v>47</v>
      </c>
    </row>
    <row r="1443" spans="1:14" ht="15" customHeight="1" x14ac:dyDescent="0.25">
      <c r="B1443" s="58" t="s">
        <v>23</v>
      </c>
      <c r="C1443" s="59"/>
      <c r="D1443" s="137"/>
      <c r="E1443" s="137"/>
      <c r="F1443" s="137"/>
      <c r="G1443" s="137"/>
      <c r="H1443" s="138"/>
      <c r="L1443" s="1" t="s">
        <v>233</v>
      </c>
      <c r="M1443" s="29" t="s">
        <v>198</v>
      </c>
      <c r="N1443" s="228" t="s">
        <v>23</v>
      </c>
    </row>
    <row r="1444" spans="1:14" ht="15" customHeight="1" x14ac:dyDescent="0.25">
      <c r="B1444" s="68" t="s">
        <v>89</v>
      </c>
      <c r="C1444" s="67"/>
      <c r="D1444" s="191"/>
      <c r="E1444" s="139"/>
      <c r="F1444" s="139"/>
      <c r="G1444" s="139"/>
      <c r="H1444" s="140"/>
      <c r="L1444" s="1" t="s">
        <v>233</v>
      </c>
      <c r="M1444" s="29" t="s">
        <v>198</v>
      </c>
      <c r="N1444" s="228" t="s">
        <v>89</v>
      </c>
    </row>
    <row r="1445" spans="1:14" ht="15" customHeight="1" x14ac:dyDescent="0.25">
      <c r="B1445" s="32" t="s">
        <v>90</v>
      </c>
      <c r="D1445" s="6">
        <f>SUM(D1442:D1444)</f>
        <v>0</v>
      </c>
      <c r="E1445" s="6">
        <f>SUM(E1442:E1444)</f>
        <v>0</v>
      </c>
      <c r="F1445" s="6">
        <f>SUM(F1442:F1444)</f>
        <v>0</v>
      </c>
      <c r="G1445" s="6">
        <f>SUM(G1442:G1444)</f>
        <v>0</v>
      </c>
      <c r="H1445" s="6">
        <f>SUM(H1442:H1444)</f>
        <v>0</v>
      </c>
      <c r="L1445" s="1" t="s">
        <v>233</v>
      </c>
      <c r="M1445" s="29" t="s">
        <v>198</v>
      </c>
      <c r="N1445" s="228" t="s">
        <v>90</v>
      </c>
    </row>
    <row r="1446" spans="1:14" ht="15" customHeight="1" x14ac:dyDescent="0.25">
      <c r="B1446" s="5"/>
      <c r="D1446" s="6"/>
      <c r="E1446" s="6"/>
      <c r="F1446" s="6"/>
      <c r="G1446" s="167"/>
      <c r="H1446" s="6"/>
      <c r="L1446" s="1" t="s">
        <v>233</v>
      </c>
      <c r="M1446" s="29" t="s">
        <v>198</v>
      </c>
    </row>
    <row r="1447" spans="1:14" ht="18.75" customHeight="1" x14ac:dyDescent="0.3">
      <c r="A1447" s="8" t="s">
        <v>100</v>
      </c>
      <c r="D1447" s="2">
        <f>StartYear</f>
        <v>2017</v>
      </c>
      <c r="E1447" s="2">
        <f>D1447+1</f>
        <v>2018</v>
      </c>
      <c r="F1447" s="2">
        <f>E1447+1</f>
        <v>2019</v>
      </c>
      <c r="G1447" s="2">
        <f>F1447+1</f>
        <v>2020</v>
      </c>
      <c r="H1447" s="2">
        <f>G1447+1</f>
        <v>2021</v>
      </c>
      <c r="L1447" s="1" t="s">
        <v>233</v>
      </c>
      <c r="M1447" s="29" t="s">
        <v>198</v>
      </c>
      <c r="N1447" s="228" t="s">
        <v>100</v>
      </c>
    </row>
    <row r="1448" spans="1:14" ht="15" customHeight="1" x14ac:dyDescent="0.25">
      <c r="B1448" s="57" t="str">
        <f>(StartYear-1) &amp; " Surplus Applied to " &amp; StartYear</f>
        <v>2016 Surplus Applied to 2017</v>
      </c>
      <c r="C1448" s="29"/>
      <c r="D1448" s="186">
        <v>0</v>
      </c>
      <c r="E1448" s="187"/>
      <c r="F1448" s="187"/>
      <c r="G1448" s="187"/>
      <c r="H1448" s="188"/>
      <c r="L1448" s="1" t="s">
        <v>233</v>
      </c>
      <c r="M1448" s="29" t="s">
        <v>198</v>
      </c>
      <c r="N1448" s="228" t="s">
        <v>235</v>
      </c>
    </row>
    <row r="1449" spans="1:14" ht="15" customHeight="1" x14ac:dyDescent="0.25">
      <c r="B1449" s="57" t="str">
        <f>StartYear &amp; " Surplus Applied to " &amp; (StartYear-1)</f>
        <v>2017 Surplus Applied to 2016</v>
      </c>
      <c r="C1449" s="29"/>
      <c r="D1449" s="189">
        <v>0</v>
      </c>
      <c r="E1449" s="113"/>
      <c r="F1449" s="113"/>
      <c r="G1449" s="113"/>
      <c r="H1449" s="117"/>
      <c r="L1449" s="1" t="s">
        <v>233</v>
      </c>
      <c r="M1449" s="29" t="s">
        <v>198</v>
      </c>
      <c r="N1449" s="228" t="s">
        <v>236</v>
      </c>
    </row>
    <row r="1450" spans="1:14" ht="15" customHeight="1" x14ac:dyDescent="0.25">
      <c r="B1450" s="57" t="str">
        <f>( StartYear) &amp; " Surplus Applied to " &amp; ( StartYear + 1 )</f>
        <v>2017 Surplus Applied to 2018</v>
      </c>
      <c r="C1450" s="29"/>
      <c r="D1450" s="184">
        <f ca="1">D1434+D1439-D1445</f>
        <v>0</v>
      </c>
      <c r="E1450" s="185">
        <f ca="1">D1450</f>
        <v>0</v>
      </c>
      <c r="F1450" s="181"/>
      <c r="G1450" s="181"/>
      <c r="H1450" s="182"/>
      <c r="L1450" s="1" t="s">
        <v>233</v>
      </c>
      <c r="M1450" s="29" t="s">
        <v>198</v>
      </c>
      <c r="N1450" s="228" t="s">
        <v>237</v>
      </c>
    </row>
    <row r="1451" spans="1:14" ht="15" customHeight="1" x14ac:dyDescent="0.25">
      <c r="B1451" s="57" t="str">
        <f xml:space="preserve"> ( StartYear + 1 ) &amp; " Surplus Applied to " &amp; ( StartYear )</f>
        <v>2018 Surplus Applied to 2017</v>
      </c>
      <c r="C1451" s="52"/>
      <c r="D1451" s="134">
        <v>0</v>
      </c>
      <c r="E1451" s="9">
        <v>0</v>
      </c>
      <c r="F1451" s="113"/>
      <c r="G1451" s="113"/>
      <c r="H1451" s="117"/>
      <c r="L1451" s="1" t="s">
        <v>233</v>
      </c>
      <c r="M1451" s="29" t="s">
        <v>198</v>
      </c>
      <c r="N1451" s="228" t="s">
        <v>238</v>
      </c>
    </row>
    <row r="1452" spans="1:14" ht="15" customHeight="1" x14ac:dyDescent="0.25">
      <c r="B1452" s="119" t="str">
        <f xml:space="preserve"> ( StartYear + 1 ) &amp; " Surplus Applied to " &amp; ( StartYear + 2 )</f>
        <v>2018 Surplus Applied to 2019</v>
      </c>
      <c r="C1452" s="52"/>
      <c r="D1452" s="114"/>
      <c r="E1452" s="9">
        <v>0</v>
      </c>
      <c r="F1452" s="51">
        <f>E1452</f>
        <v>0</v>
      </c>
      <c r="G1452" s="113"/>
      <c r="H1452" s="117"/>
      <c r="L1452" s="1" t="s">
        <v>233</v>
      </c>
      <c r="M1452" s="29" t="s">
        <v>198</v>
      </c>
      <c r="N1452" s="228" t="s">
        <v>239</v>
      </c>
    </row>
    <row r="1453" spans="1:14" ht="15" customHeight="1" x14ac:dyDescent="0.25">
      <c r="B1453" s="119" t="str">
        <f xml:space="preserve"> ( StartYear + 2 ) &amp; " Surplus Applied to " &amp; ( StartYear + 1 )</f>
        <v>2019 Surplus Applied to 2018</v>
      </c>
      <c r="C1453" s="52"/>
      <c r="D1453" s="114"/>
      <c r="E1453" s="51">
        <v>0</v>
      </c>
      <c r="F1453" s="9">
        <v>0</v>
      </c>
      <c r="G1453" s="113"/>
      <c r="H1453" s="117"/>
      <c r="L1453" s="1" t="s">
        <v>233</v>
      </c>
      <c r="M1453" s="29" t="s">
        <v>198</v>
      </c>
      <c r="N1453" s="228" t="s">
        <v>240</v>
      </c>
    </row>
    <row r="1454" spans="1:14" ht="15" customHeight="1" x14ac:dyDescent="0.25">
      <c r="B1454" s="165" t="str">
        <f xml:space="preserve"> ( StartYear + 2 ) &amp; " Surplus Applied to " &amp; ( StartYear + 3 )</f>
        <v>2019 Surplus Applied to 2020</v>
      </c>
      <c r="C1454" s="29"/>
      <c r="D1454" s="114"/>
      <c r="E1454" s="113"/>
      <c r="F1454" s="9">
        <v>54367</v>
      </c>
      <c r="G1454" s="51">
        <f>F1454</f>
        <v>54367</v>
      </c>
      <c r="H1454" s="117"/>
      <c r="L1454" s="1" t="s">
        <v>233</v>
      </c>
      <c r="M1454" s="29" t="s">
        <v>198</v>
      </c>
      <c r="N1454" s="228" t="s">
        <v>241</v>
      </c>
    </row>
    <row r="1455" spans="1:14" ht="15" customHeight="1" x14ac:dyDescent="0.25">
      <c r="B1455" s="165" t="str">
        <f xml:space="preserve"> ( StartYear + 3 ) &amp; " Surplus Applied to " &amp; ( StartYear + 2 )</f>
        <v>2020 Surplus Applied to 2019</v>
      </c>
      <c r="C1455" s="29"/>
      <c r="D1455" s="114"/>
      <c r="E1455" s="113"/>
      <c r="F1455" s="51">
        <v>0</v>
      </c>
      <c r="G1455" s="9">
        <v>0</v>
      </c>
      <c r="H1455" s="117"/>
      <c r="L1455" s="1" t="s">
        <v>233</v>
      </c>
      <c r="M1455" s="29" t="s">
        <v>198</v>
      </c>
      <c r="N1455" s="228" t="s">
        <v>242</v>
      </c>
    </row>
    <row r="1456" spans="1:14" ht="15" customHeight="1" x14ac:dyDescent="0.25">
      <c r="B1456" s="165" t="str">
        <f xml:space="preserve"> ( StartYear + 3 ) &amp; " Surplus Applied to " &amp; ( StartYear + 4 )</f>
        <v>2020 Surplus Applied to 2021</v>
      </c>
      <c r="C1456" s="29"/>
      <c r="D1456" s="114"/>
      <c r="E1456" s="113"/>
      <c r="F1456" s="113"/>
      <c r="G1456" s="9">
        <v>0</v>
      </c>
      <c r="H1456" s="46">
        <f>G1456</f>
        <v>0</v>
      </c>
      <c r="L1456" s="1" t="s">
        <v>233</v>
      </c>
      <c r="M1456" s="29" t="s">
        <v>198</v>
      </c>
      <c r="N1456" s="228" t="s">
        <v>243</v>
      </c>
    </row>
    <row r="1457" spans="1:14" ht="15" customHeight="1" x14ac:dyDescent="0.25">
      <c r="B1457" s="165" t="str">
        <f xml:space="preserve"> ( StartYear + 4 ) &amp; " Surplus Applied to " &amp; ( StartYear + 3 )</f>
        <v>2021 Surplus Applied to 2020</v>
      </c>
      <c r="C1457" s="29"/>
      <c r="D1457" s="115"/>
      <c r="E1457" s="116"/>
      <c r="F1457" s="116"/>
      <c r="G1457" s="47">
        <v>0</v>
      </c>
      <c r="H1457" s="41">
        <v>0</v>
      </c>
      <c r="L1457" s="1" t="s">
        <v>233</v>
      </c>
      <c r="M1457" s="29" t="s">
        <v>198</v>
      </c>
      <c r="N1457" s="228" t="s">
        <v>244</v>
      </c>
    </row>
    <row r="1458" spans="1:14" ht="15" customHeight="1" x14ac:dyDescent="0.25">
      <c r="B1458" s="32" t="s">
        <v>17</v>
      </c>
      <c r="D1458" s="6">
        <f ca="1">D1448-D1449+D1451-D1450</f>
        <v>0</v>
      </c>
      <c r="E1458" s="6">
        <f ca="1">E1450+E1453-E1451-E1452</f>
        <v>0</v>
      </c>
      <c r="F1458" s="6">
        <f>F1452+F1455-F1453-F1454</f>
        <v>-54367</v>
      </c>
      <c r="G1458" s="6">
        <f>G1454+G1457-G1455-G1456</f>
        <v>54367</v>
      </c>
      <c r="H1458" s="6">
        <f>H1456 - H1457</f>
        <v>0</v>
      </c>
      <c r="L1458" s="1" t="s">
        <v>233</v>
      </c>
      <c r="M1458" s="29" t="s">
        <v>198</v>
      </c>
      <c r="N1458" s="228" t="s">
        <v>17</v>
      </c>
    </row>
    <row r="1459" spans="1:14" ht="15" customHeight="1" x14ac:dyDescent="0.25">
      <c r="B1459" s="5"/>
      <c r="D1459" s="6"/>
      <c r="E1459" s="6"/>
      <c r="F1459" s="6"/>
      <c r="G1459" s="6"/>
      <c r="H1459" s="6"/>
      <c r="L1459" s="1" t="s">
        <v>233</v>
      </c>
      <c r="M1459" s="29" t="s">
        <v>198</v>
      </c>
    </row>
    <row r="1460" spans="1:14" ht="15" customHeight="1" x14ac:dyDescent="0.25">
      <c r="B1460" s="54" t="s">
        <v>12</v>
      </c>
      <c r="C1460" s="52"/>
      <c r="D1460" s="75"/>
      <c r="E1460" s="111"/>
      <c r="F1460" s="111"/>
      <c r="G1460" s="111"/>
      <c r="H1460" s="76"/>
      <c r="L1460" s="1" t="s">
        <v>233</v>
      </c>
      <c r="M1460" s="29" t="s">
        <v>198</v>
      </c>
      <c r="N1460" s="228" t="s">
        <v>12</v>
      </c>
    </row>
    <row r="1461" spans="1:14" ht="15" customHeight="1" x14ac:dyDescent="0.25">
      <c r="B1461" s="5"/>
      <c r="D1461" s="6"/>
      <c r="E1461" s="6"/>
      <c r="F1461" s="6"/>
      <c r="G1461" s="6"/>
      <c r="H1461" s="6"/>
      <c r="L1461" s="1" t="s">
        <v>233</v>
      </c>
      <c r="M1461" s="29" t="s">
        <v>198</v>
      </c>
    </row>
    <row r="1462" spans="1:14" ht="18.75" customHeight="1" x14ac:dyDescent="0.3">
      <c r="A1462" s="38" t="s">
        <v>26</v>
      </c>
      <c r="C1462" s="52">
        <f>A1428</f>
        <v>37</v>
      </c>
      <c r="D1462" s="112">
        <f ca="1" xml:space="preserve"> D1434 + D1439 - D1445 + D1458 + D1460</f>
        <v>0</v>
      </c>
      <c r="E1462" s="112">
        <f ca="1" xml:space="preserve"> E1434 + E1439 - E1445 + E1458 + E1460</f>
        <v>0</v>
      </c>
      <c r="F1462" s="112">
        <f ca="1" xml:space="preserve"> F1434 + F1439 - F1445 + F1458 + F1460</f>
        <v>0</v>
      </c>
      <c r="G1462" s="112">
        <f ca="1" xml:space="preserve"> G1434 + G1439 - G1445 + G1458 + G1460</f>
        <v>57727</v>
      </c>
      <c r="H1462" s="174">
        <f ca="1" xml:space="preserve"> H1434 + H1439 - H1445 + H1458 + H1460</f>
        <v>0</v>
      </c>
      <c r="L1462" s="1" t="s">
        <v>233</v>
      </c>
      <c r="M1462" s="29" t="s">
        <v>198</v>
      </c>
      <c r="N1462" s="228" t="s">
        <v>26</v>
      </c>
    </row>
    <row r="1463" spans="1:14" ht="15" customHeight="1" x14ac:dyDescent="0.25">
      <c r="B1463" s="5"/>
      <c r="C1463" s="108" t="s">
        <v>158</v>
      </c>
      <c r="D1463" s="6"/>
      <c r="E1463" s="6"/>
      <c r="F1463" s="28"/>
      <c r="G1463" s="28"/>
      <c r="H1463" s="28"/>
      <c r="L1463" s="1" t="s">
        <v>233</v>
      </c>
      <c r="M1463" s="29" t="s">
        <v>198</v>
      </c>
      <c r="N1463" s="228" t="s">
        <v>158</v>
      </c>
    </row>
    <row r="1464" spans="1:14" ht="15.75" customHeight="1" thickBot="1" x14ac:dyDescent="0.3">
      <c r="L1464" s="1" t="s">
        <v>233</v>
      </c>
      <c r="M1464" s="29" t="s">
        <v>198</v>
      </c>
    </row>
    <row r="1465" spans="1:14" ht="15" customHeight="1" x14ac:dyDescent="0.25">
      <c r="A1465" s="7"/>
      <c r="B1465" s="7"/>
      <c r="C1465" s="7"/>
      <c r="D1465" s="170"/>
      <c r="E1465" s="7"/>
      <c r="F1465" s="7"/>
      <c r="G1465" s="7"/>
      <c r="H1465" s="7"/>
      <c r="L1465" s="1" t="s">
        <v>233</v>
      </c>
      <c r="M1465" s="29" t="s">
        <v>198</v>
      </c>
    </row>
    <row r="1466" spans="1:14" ht="21" customHeight="1" x14ac:dyDescent="0.35">
      <c r="A1466" s="12">
        <f>MAX(A$1:A1465)+1</f>
        <v>38</v>
      </c>
      <c r="B1466" s="12"/>
      <c r="C1466" s="214" t="str">
        <f ca="1">OFFSET($B$4,A1466-1,0)</f>
        <v>Stateline (WA) - FPL Energy Vansycle LLC</v>
      </c>
      <c r="D1466" s="215"/>
      <c r="E1466" s="216"/>
      <c r="F1466" s="216"/>
      <c r="G1466" s="217"/>
      <c r="H1466" s="218"/>
      <c r="L1466" s="1" t="s">
        <v>233</v>
      </c>
      <c r="M1466" s="29" t="s">
        <v>213</v>
      </c>
      <c r="N1466" s="228">
        <v>40</v>
      </c>
    </row>
    <row r="1467" spans="1:14" ht="15" customHeight="1" x14ac:dyDescent="0.25">
      <c r="C1467" s="1" t="str">
        <f ca="1">VLOOKUP(C1466,Facilities,3,FALSE)</f>
        <v>REC only</v>
      </c>
      <c r="D1467" s="1"/>
      <c r="L1467" s="1" t="s">
        <v>233</v>
      </c>
      <c r="M1467" s="29" t="s">
        <v>213</v>
      </c>
      <c r="N1467" s="228" t="s">
        <v>181</v>
      </c>
    </row>
    <row r="1468" spans="1:14" ht="18.75" customHeight="1" x14ac:dyDescent="0.3">
      <c r="A1468" s="8" t="s">
        <v>21</v>
      </c>
      <c r="B1468" s="8"/>
      <c r="D1468" s="2">
        <f>D290</f>
        <v>2017</v>
      </c>
      <c r="E1468" s="2">
        <f>D1468+1</f>
        <v>2018</v>
      </c>
      <c r="F1468" s="2">
        <f>E1468+1</f>
        <v>2019</v>
      </c>
      <c r="G1468" s="2">
        <f>F1468+1</f>
        <v>2020</v>
      </c>
      <c r="H1468" s="2">
        <f>G1468+1</f>
        <v>2021</v>
      </c>
      <c r="L1468" s="1" t="s">
        <v>233</v>
      </c>
      <c r="M1468" s="29" t="s">
        <v>213</v>
      </c>
      <c r="N1468" s="228" t="s">
        <v>21</v>
      </c>
    </row>
    <row r="1469" spans="1:14" ht="15" customHeight="1" x14ac:dyDescent="0.25">
      <c r="B1469" s="119" t="str">
        <f ca="1">IF(C1505&lt;&gt;"REC only","Total MWh ","")&amp;IF(C1467="PSE owned","Produced","Purchased")&amp;" from "&amp;C1466</f>
        <v>Purchased from Stateline (WA) - FPL Energy Vansycle LLC</v>
      </c>
      <c r="C1469" s="52"/>
      <c r="D1469" s="3">
        <v>3890</v>
      </c>
      <c r="E1469" s="3"/>
      <c r="F1469" s="3">
        <v>2582</v>
      </c>
      <c r="G1469" s="3"/>
      <c r="H1469" s="4"/>
      <c r="L1469" s="1" t="s">
        <v>233</v>
      </c>
      <c r="M1469" s="29" t="s">
        <v>213</v>
      </c>
      <c r="N1469" s="228" t="s">
        <v>281</v>
      </c>
    </row>
    <row r="1470" spans="1:14" ht="15" customHeight="1" x14ac:dyDescent="0.25">
      <c r="B1470" s="57" t="s">
        <v>25</v>
      </c>
      <c r="C1470" s="52"/>
      <c r="D1470" s="132">
        <v>1</v>
      </c>
      <c r="E1470" s="132"/>
      <c r="F1470" s="132">
        <v>1</v>
      </c>
      <c r="G1470" s="132"/>
      <c r="H1470" s="133"/>
      <c r="L1470" s="1" t="s">
        <v>233</v>
      </c>
      <c r="M1470" s="29" t="s">
        <v>213</v>
      </c>
      <c r="N1470" s="228" t="s">
        <v>25</v>
      </c>
    </row>
    <row r="1471" spans="1:14" ht="15" customHeight="1" x14ac:dyDescent="0.25">
      <c r="B1471" s="57" t="s">
        <v>20</v>
      </c>
      <c r="C1471" s="52"/>
      <c r="D1471" s="42">
        <v>1</v>
      </c>
      <c r="E1471" s="42"/>
      <c r="F1471" s="42">
        <v>1</v>
      </c>
      <c r="G1471" s="42"/>
      <c r="H1471" s="43"/>
      <c r="L1471" s="1" t="s">
        <v>233</v>
      </c>
      <c r="M1471" s="29" t="s">
        <v>213</v>
      </c>
      <c r="N1471" s="228" t="s">
        <v>20</v>
      </c>
    </row>
    <row r="1472" spans="1:14" ht="15" customHeight="1" x14ac:dyDescent="0.25">
      <c r="B1472" s="54" t="s">
        <v>22</v>
      </c>
      <c r="C1472" s="55"/>
      <c r="D1472" s="131">
        <f xml:space="preserve"> D1469 * D1470 * D1471</f>
        <v>3890</v>
      </c>
      <c r="E1472" s="131">
        <f xml:space="preserve"> E1469 * E1470 * E1471</f>
        <v>0</v>
      </c>
      <c r="F1472" s="131">
        <f xml:space="preserve"> ROUNDDOWN(F1469 * F1470 * F1471,0)</f>
        <v>2582</v>
      </c>
      <c r="G1472" s="131">
        <f xml:space="preserve"> ROUNDDOWN(G1469 * G1470 * G1471,0)</f>
        <v>0</v>
      </c>
      <c r="H1472" s="131">
        <f xml:space="preserve"> ROUNDDOWN(H1469 * H1470 * H1471,0)</f>
        <v>0</v>
      </c>
      <c r="L1472" s="1" t="s">
        <v>233</v>
      </c>
      <c r="M1472" s="29" t="s">
        <v>213</v>
      </c>
      <c r="N1472" s="228" t="s">
        <v>22</v>
      </c>
    </row>
    <row r="1473" spans="1:14" ht="15" customHeight="1" x14ac:dyDescent="0.25">
      <c r="B1473" s="22"/>
      <c r="C1473" s="29"/>
      <c r="D1473" s="36"/>
      <c r="E1473" s="36"/>
      <c r="F1473" s="36"/>
      <c r="G1473" s="167"/>
      <c r="H1473" s="36"/>
      <c r="L1473" s="1" t="s">
        <v>233</v>
      </c>
      <c r="M1473" s="29" t="s">
        <v>213</v>
      </c>
    </row>
    <row r="1474" spans="1:14" ht="18.75" customHeight="1" x14ac:dyDescent="0.3">
      <c r="A1474" s="39" t="s">
        <v>119</v>
      </c>
      <c r="C1474" s="29"/>
      <c r="D1474" s="2">
        <f>D1468</f>
        <v>2017</v>
      </c>
      <c r="E1474" s="2">
        <f>D1474+1</f>
        <v>2018</v>
      </c>
      <c r="F1474" s="2">
        <f>E1474+1</f>
        <v>2019</v>
      </c>
      <c r="G1474" s="2">
        <f>F1474+1</f>
        <v>2020</v>
      </c>
      <c r="H1474" s="2">
        <f>G1474+1</f>
        <v>2021</v>
      </c>
      <c r="L1474" s="1" t="s">
        <v>233</v>
      </c>
      <c r="M1474" s="29" t="s">
        <v>213</v>
      </c>
      <c r="N1474" s="228" t="s">
        <v>119</v>
      </c>
    </row>
    <row r="1475" spans="1:14" x14ac:dyDescent="0.25">
      <c r="B1475" s="57" t="s">
        <v>10</v>
      </c>
      <c r="C1475" s="52"/>
      <c r="D1475" s="10">
        <f ca="1">IF(VLOOKUP($C1466,Facilities,5,FALSE)="Eligible", D1472*ApprenticeshipBonus, 0 )</f>
        <v>0</v>
      </c>
      <c r="E1475" s="109">
        <f ca="1">IF(VLOOKUP($C1466,Facilities,5,FALSE)="Eligible", E1472*ApprenticeshipBonus, 0 )</f>
        <v>0</v>
      </c>
      <c r="F1475" s="109">
        <f ca="1">IF(VLOOKUP($C1466,Facilities,5,FALSE)="Eligible", F1472*ApprenticeshipBonus, 0 )</f>
        <v>0</v>
      </c>
      <c r="G1475" s="109">
        <f ca="1">IF(VLOOKUP($C1466,Facilities,5,FALSE)="Eligible", G1472*ApprenticeshipBonus, 0 )</f>
        <v>0</v>
      </c>
      <c r="H1475" s="11">
        <f ca="1">IF(VLOOKUP($C1466,Facilities,5,FALSE)="Eligible", H1472*ApprenticeshipBonus, 0 )</f>
        <v>0</v>
      </c>
      <c r="L1475" s="1" t="s">
        <v>233</v>
      </c>
      <c r="M1475" s="29" t="s">
        <v>213</v>
      </c>
      <c r="N1475" s="228" t="s">
        <v>10</v>
      </c>
    </row>
    <row r="1476" spans="1:14" ht="15" customHeight="1" x14ac:dyDescent="0.25">
      <c r="B1476" s="57" t="s">
        <v>6</v>
      </c>
      <c r="C1476" s="52"/>
      <c r="D1476" s="44">
        <f ca="1">IF(VLOOKUP($C1466,Facilities,6,FALSE)="Eligible", D1472, 0 )</f>
        <v>0</v>
      </c>
      <c r="E1476" s="110">
        <f ca="1">IF(VLOOKUP($C1466,Facilities,6,FALSE)="Eligible", E1472, 0 )</f>
        <v>0</v>
      </c>
      <c r="F1476" s="110">
        <f ca="1">IF(VLOOKUP($C1466,Facilities,6,FALSE)="Eligible", F1472, 0 )</f>
        <v>0</v>
      </c>
      <c r="G1476" s="110">
        <f ca="1">IF(VLOOKUP($C1466,Facilities,6,FALSE)="Eligible", G1472, 0 )</f>
        <v>0</v>
      </c>
      <c r="H1476" s="45">
        <f ca="1">IF(VLOOKUP($C1466,Facilities,6,FALSE)="Eligible", H1472, 0 )</f>
        <v>0</v>
      </c>
      <c r="L1476" s="1" t="s">
        <v>233</v>
      </c>
      <c r="M1476" s="29" t="s">
        <v>213</v>
      </c>
      <c r="N1476" s="228" t="s">
        <v>6</v>
      </c>
    </row>
    <row r="1477" spans="1:14" ht="15" customHeight="1" x14ac:dyDescent="0.25">
      <c r="B1477" s="56" t="s">
        <v>121</v>
      </c>
      <c r="C1477" s="55"/>
      <c r="D1477" s="37">
        <f ca="1">SUM(D1475:D1476)</f>
        <v>0</v>
      </c>
      <c r="E1477" s="37">
        <f ca="1">SUM(E1475:E1476)</f>
        <v>0</v>
      </c>
      <c r="F1477" s="37">
        <f ca="1">SUM(F1475:F1476)</f>
        <v>0</v>
      </c>
      <c r="G1477" s="37">
        <f ca="1">SUM(G1475:G1476)</f>
        <v>0</v>
      </c>
      <c r="H1477" s="37">
        <f ca="1">SUM(H1475:H1476)</f>
        <v>0</v>
      </c>
      <c r="L1477" s="1" t="s">
        <v>233</v>
      </c>
      <c r="M1477" s="29" t="s">
        <v>213</v>
      </c>
      <c r="N1477" s="228" t="s">
        <v>121</v>
      </c>
    </row>
    <row r="1478" spans="1:14" ht="15" customHeight="1" x14ac:dyDescent="0.25">
      <c r="B1478" s="29"/>
      <c r="C1478" s="29"/>
      <c r="D1478" s="30"/>
      <c r="E1478" s="30"/>
      <c r="F1478" s="30"/>
      <c r="G1478" s="169"/>
      <c r="H1478" s="30"/>
      <c r="L1478" s="1" t="s">
        <v>233</v>
      </c>
      <c r="M1478" s="29" t="s">
        <v>213</v>
      </c>
    </row>
    <row r="1479" spans="1:14" ht="18.75" customHeight="1" x14ac:dyDescent="0.3">
      <c r="A1479" s="38" t="s">
        <v>30</v>
      </c>
      <c r="C1479" s="29"/>
      <c r="D1479" s="2">
        <f>D1468</f>
        <v>2017</v>
      </c>
      <c r="E1479" s="2">
        <f>D1479+1</f>
        <v>2018</v>
      </c>
      <c r="F1479" s="2">
        <f>E1479+1</f>
        <v>2019</v>
      </c>
      <c r="G1479" s="2">
        <f>F1479+1</f>
        <v>2020</v>
      </c>
      <c r="H1479" s="2">
        <f>G1479+1</f>
        <v>2021</v>
      </c>
      <c r="L1479" s="1" t="s">
        <v>233</v>
      </c>
      <c r="M1479" s="29" t="s">
        <v>213</v>
      </c>
      <c r="N1479" s="228" t="s">
        <v>30</v>
      </c>
    </row>
    <row r="1480" spans="1:14" ht="15" customHeight="1" x14ac:dyDescent="0.25">
      <c r="B1480" s="57" t="s">
        <v>47</v>
      </c>
      <c r="C1480" s="52"/>
      <c r="D1480" s="3">
        <v>0</v>
      </c>
      <c r="E1480" s="3">
        <v>0</v>
      </c>
      <c r="F1480" s="3">
        <v>0</v>
      </c>
      <c r="G1480" s="3">
        <v>0</v>
      </c>
      <c r="H1480" s="4">
        <v>0</v>
      </c>
      <c r="L1480" s="1" t="s">
        <v>233</v>
      </c>
      <c r="M1480" s="29" t="s">
        <v>213</v>
      </c>
      <c r="N1480" s="228" t="s">
        <v>47</v>
      </c>
    </row>
    <row r="1481" spans="1:14" ht="15" customHeight="1" x14ac:dyDescent="0.25">
      <c r="B1481" s="58" t="s">
        <v>23</v>
      </c>
      <c r="C1481" s="59"/>
      <c r="D1481" s="137">
        <v>0</v>
      </c>
      <c r="E1481" s="137">
        <v>0</v>
      </c>
      <c r="F1481" s="137">
        <v>0</v>
      </c>
      <c r="G1481" s="137">
        <v>0</v>
      </c>
      <c r="H1481" s="138">
        <v>0</v>
      </c>
      <c r="L1481" s="1" t="s">
        <v>233</v>
      </c>
      <c r="M1481" s="29" t="s">
        <v>213</v>
      </c>
      <c r="N1481" s="228" t="s">
        <v>23</v>
      </c>
    </row>
    <row r="1482" spans="1:14" ht="15" customHeight="1" x14ac:dyDescent="0.25">
      <c r="B1482" s="68" t="s">
        <v>89</v>
      </c>
      <c r="C1482" s="67"/>
      <c r="D1482" s="191">
        <v>0</v>
      </c>
      <c r="E1482" s="139">
        <v>0</v>
      </c>
      <c r="F1482" s="139">
        <v>0</v>
      </c>
      <c r="G1482" s="139">
        <v>0</v>
      </c>
      <c r="H1482" s="140">
        <v>0</v>
      </c>
      <c r="L1482" s="1" t="s">
        <v>233</v>
      </c>
      <c r="M1482" s="29" t="s">
        <v>213</v>
      </c>
      <c r="N1482" s="228" t="s">
        <v>89</v>
      </c>
    </row>
    <row r="1483" spans="1:14" ht="15" customHeight="1" x14ac:dyDescent="0.25">
      <c r="B1483" s="32" t="s">
        <v>90</v>
      </c>
      <c r="D1483" s="6">
        <f>SUM(D1480:D1482)</f>
        <v>0</v>
      </c>
      <c r="E1483" s="6">
        <f>SUM(E1480:E1482)</f>
        <v>0</v>
      </c>
      <c r="F1483" s="6">
        <f>SUM(F1480:F1482)</f>
        <v>0</v>
      </c>
      <c r="G1483" s="6">
        <f>SUM(G1480:G1482)</f>
        <v>0</v>
      </c>
      <c r="H1483" s="6">
        <f>SUM(H1480:H1482)</f>
        <v>0</v>
      </c>
      <c r="L1483" s="1" t="s">
        <v>233</v>
      </c>
      <c r="M1483" s="29" t="s">
        <v>213</v>
      </c>
      <c r="N1483" s="228" t="s">
        <v>90</v>
      </c>
    </row>
    <row r="1484" spans="1:14" ht="15" customHeight="1" x14ac:dyDescent="0.25">
      <c r="B1484" s="5"/>
      <c r="D1484" s="6"/>
      <c r="E1484" s="6"/>
      <c r="F1484" s="6"/>
      <c r="G1484" s="167"/>
      <c r="H1484" s="6"/>
      <c r="L1484" s="1" t="s">
        <v>233</v>
      </c>
      <c r="M1484" s="29" t="s">
        <v>213</v>
      </c>
    </row>
    <row r="1485" spans="1:14" ht="18.75" customHeight="1" x14ac:dyDescent="0.3">
      <c r="A1485" s="8" t="s">
        <v>100</v>
      </c>
      <c r="D1485" s="2">
        <f>D1468</f>
        <v>2017</v>
      </c>
      <c r="E1485" s="2">
        <f>D1485+1</f>
        <v>2018</v>
      </c>
      <c r="F1485" s="2">
        <f>E1485+1</f>
        <v>2019</v>
      </c>
      <c r="G1485" s="2">
        <f>F1485+1</f>
        <v>2020</v>
      </c>
      <c r="H1485" s="2">
        <f>G1485+1</f>
        <v>2021</v>
      </c>
      <c r="L1485" s="1" t="s">
        <v>233</v>
      </c>
      <c r="M1485" s="29" t="s">
        <v>213</v>
      </c>
      <c r="N1485" s="228" t="s">
        <v>100</v>
      </c>
    </row>
    <row r="1486" spans="1:14" ht="15" customHeight="1" x14ac:dyDescent="0.25">
      <c r="B1486" s="57" t="str">
        <f>(StartYear-1) &amp; " Surplus Applied to " &amp; StartYear</f>
        <v>2016 Surplus Applied to 2017</v>
      </c>
      <c r="C1486" s="29"/>
      <c r="D1486" s="186">
        <v>0</v>
      </c>
      <c r="E1486" s="187"/>
      <c r="F1486" s="187"/>
      <c r="G1486" s="187"/>
      <c r="H1486" s="188"/>
      <c r="L1486" s="1" t="s">
        <v>233</v>
      </c>
      <c r="M1486" s="29" t="s">
        <v>213</v>
      </c>
      <c r="N1486" s="228" t="s">
        <v>235</v>
      </c>
    </row>
    <row r="1487" spans="1:14" ht="15" customHeight="1" x14ac:dyDescent="0.25">
      <c r="B1487" s="57" t="str">
        <f>StartYear &amp; " Surplus Applied to " &amp; (StartYear-1)</f>
        <v>2017 Surplus Applied to 2016</v>
      </c>
      <c r="C1487" s="29"/>
      <c r="D1487" s="189">
        <v>0</v>
      </c>
      <c r="E1487" s="113"/>
      <c r="F1487" s="113"/>
      <c r="G1487" s="113"/>
      <c r="H1487" s="117"/>
      <c r="L1487" s="1" t="s">
        <v>233</v>
      </c>
      <c r="M1487" s="29" t="s">
        <v>213</v>
      </c>
      <c r="N1487" s="228" t="s">
        <v>236</v>
      </c>
    </row>
    <row r="1488" spans="1:14" ht="15" customHeight="1" x14ac:dyDescent="0.25">
      <c r="B1488" s="57" t="str">
        <f>( StartYear) &amp; " Surplus Applied to " &amp; ( StartYear + 1 )</f>
        <v>2017 Surplus Applied to 2018</v>
      </c>
      <c r="C1488" s="29"/>
      <c r="D1488" s="184">
        <v>0</v>
      </c>
      <c r="E1488" s="185">
        <f>D1488</f>
        <v>0</v>
      </c>
      <c r="F1488" s="181"/>
      <c r="G1488" s="181"/>
      <c r="H1488" s="182"/>
      <c r="L1488" s="1" t="s">
        <v>233</v>
      </c>
      <c r="M1488" s="29" t="s">
        <v>213</v>
      </c>
      <c r="N1488" s="228" t="s">
        <v>237</v>
      </c>
    </row>
    <row r="1489" spans="1:14" ht="15" customHeight="1" x14ac:dyDescent="0.25">
      <c r="B1489" s="57" t="str">
        <f xml:space="preserve"> ( StartYear + 1 ) &amp; " Surplus Applied to " &amp; ( StartYear )</f>
        <v>2018 Surplus Applied to 2017</v>
      </c>
      <c r="C1489" s="52"/>
      <c r="D1489" s="134">
        <v>0</v>
      </c>
      <c r="E1489" s="9">
        <v>0</v>
      </c>
      <c r="F1489" s="113"/>
      <c r="G1489" s="113"/>
      <c r="H1489" s="117"/>
      <c r="L1489" s="1" t="s">
        <v>233</v>
      </c>
      <c r="M1489" s="29" t="s">
        <v>213</v>
      </c>
      <c r="N1489" s="228" t="s">
        <v>238</v>
      </c>
    </row>
    <row r="1490" spans="1:14" ht="15" customHeight="1" x14ac:dyDescent="0.25">
      <c r="B1490" s="119" t="str">
        <f xml:space="preserve"> ( StartYear + 1 ) &amp; " Surplus Applied to " &amp; ( StartYear + 2 )</f>
        <v>2018 Surplus Applied to 2019</v>
      </c>
      <c r="C1490" s="52"/>
      <c r="D1490" s="114"/>
      <c r="E1490" s="9">
        <v>0</v>
      </c>
      <c r="F1490" s="51">
        <f>E1490</f>
        <v>0</v>
      </c>
      <c r="G1490" s="113"/>
      <c r="H1490" s="117"/>
      <c r="L1490" s="1" t="s">
        <v>233</v>
      </c>
      <c r="M1490" s="29" t="s">
        <v>213</v>
      </c>
      <c r="N1490" s="228" t="s">
        <v>239</v>
      </c>
    </row>
    <row r="1491" spans="1:14" ht="15" customHeight="1" x14ac:dyDescent="0.25">
      <c r="B1491" s="119" t="str">
        <f xml:space="preserve"> ( StartYear + 2 ) &amp; " Surplus Applied to " &amp; ( StartYear + 1 )</f>
        <v>2019 Surplus Applied to 2018</v>
      </c>
      <c r="C1491" s="52"/>
      <c r="D1491" s="114"/>
      <c r="E1491" s="51">
        <v>0</v>
      </c>
      <c r="F1491" s="9">
        <v>0</v>
      </c>
      <c r="G1491" s="113"/>
      <c r="H1491" s="117"/>
      <c r="L1491" s="1" t="s">
        <v>233</v>
      </c>
      <c r="M1491" s="29" t="s">
        <v>213</v>
      </c>
      <c r="N1491" s="228" t="s">
        <v>240</v>
      </c>
    </row>
    <row r="1492" spans="1:14" ht="15" customHeight="1" x14ac:dyDescent="0.25">
      <c r="B1492" s="165" t="str">
        <f xml:space="preserve"> ( StartYear + 2 ) &amp; " Surplus Applied to " &amp; ( StartYear + 3 )</f>
        <v>2019 Surplus Applied to 2020</v>
      </c>
      <c r="C1492" s="29"/>
      <c r="D1492" s="114"/>
      <c r="E1492" s="113"/>
      <c r="F1492" s="9">
        <v>2582</v>
      </c>
      <c r="G1492" s="51">
        <f>F1492</f>
        <v>2582</v>
      </c>
      <c r="H1492" s="117"/>
      <c r="L1492" s="1" t="s">
        <v>233</v>
      </c>
      <c r="M1492" s="29" t="s">
        <v>213</v>
      </c>
      <c r="N1492" s="228" t="s">
        <v>241</v>
      </c>
    </row>
    <row r="1493" spans="1:14" ht="15" customHeight="1" x14ac:dyDescent="0.25">
      <c r="B1493" s="165" t="str">
        <f xml:space="preserve"> ( StartYear + 3 ) &amp; " Surplus Applied to " &amp; ( StartYear + 2 )</f>
        <v>2020 Surplus Applied to 2019</v>
      </c>
      <c r="C1493" s="29"/>
      <c r="D1493" s="114"/>
      <c r="E1493" s="113"/>
      <c r="F1493" s="51">
        <v>0</v>
      </c>
      <c r="G1493" s="9">
        <v>0</v>
      </c>
      <c r="H1493" s="117"/>
      <c r="L1493" s="1" t="s">
        <v>233</v>
      </c>
      <c r="M1493" s="29" t="s">
        <v>213</v>
      </c>
      <c r="N1493" s="228" t="s">
        <v>242</v>
      </c>
    </row>
    <row r="1494" spans="1:14" ht="15" customHeight="1" x14ac:dyDescent="0.25">
      <c r="B1494" s="165" t="str">
        <f xml:space="preserve"> ( StartYear + 3 ) &amp; " Surplus Applied to " &amp; ( StartYear + 4 )</f>
        <v>2020 Surplus Applied to 2021</v>
      </c>
      <c r="C1494" s="29"/>
      <c r="D1494" s="114"/>
      <c r="E1494" s="113"/>
      <c r="F1494" s="113"/>
      <c r="G1494" s="9">
        <f ca="1">G1472+G1477-G1483</f>
        <v>0</v>
      </c>
      <c r="H1494" s="46">
        <f ca="1">G1494</f>
        <v>0</v>
      </c>
      <c r="L1494" s="1" t="s">
        <v>233</v>
      </c>
      <c r="M1494" s="29" t="s">
        <v>213</v>
      </c>
      <c r="N1494" s="228" t="s">
        <v>243</v>
      </c>
    </row>
    <row r="1495" spans="1:14" ht="15" customHeight="1" x14ac:dyDescent="0.25">
      <c r="B1495" s="165" t="str">
        <f xml:space="preserve"> ( StartYear + 4 ) &amp; " Surplus Applied to " &amp; ( StartYear + 3 )</f>
        <v>2021 Surplus Applied to 2020</v>
      </c>
      <c r="C1495" s="29"/>
      <c r="D1495" s="115"/>
      <c r="E1495" s="116"/>
      <c r="F1495" s="116"/>
      <c r="G1495" s="47">
        <v>0</v>
      </c>
      <c r="H1495" s="41">
        <v>0</v>
      </c>
      <c r="L1495" s="1" t="s">
        <v>233</v>
      </c>
      <c r="M1495" s="29" t="s">
        <v>213</v>
      </c>
      <c r="N1495" s="228" t="s">
        <v>244</v>
      </c>
    </row>
    <row r="1496" spans="1:14" ht="15" customHeight="1" x14ac:dyDescent="0.25">
      <c r="B1496" s="32" t="s">
        <v>17</v>
      </c>
      <c r="D1496" s="6">
        <f>D1486-D1487+D1489-D1488</f>
        <v>0</v>
      </c>
      <c r="E1496" s="6">
        <f>E1488+E1491-E1489-E1490</f>
        <v>0</v>
      </c>
      <c r="F1496" s="6">
        <f>F1490+F1493-F1491-F1492</f>
        <v>-2582</v>
      </c>
      <c r="G1496" s="6">
        <f ca="1">G1492+G1495-G1493-G1494</f>
        <v>2582</v>
      </c>
      <c r="H1496" s="6">
        <f ca="1">H1494 - H1495</f>
        <v>0</v>
      </c>
      <c r="L1496" s="1" t="s">
        <v>233</v>
      </c>
      <c r="M1496" s="29" t="s">
        <v>213</v>
      </c>
      <c r="N1496" s="228" t="s">
        <v>17</v>
      </c>
    </row>
    <row r="1497" spans="1:14" ht="15" customHeight="1" x14ac:dyDescent="0.25">
      <c r="B1497" s="5"/>
      <c r="D1497" s="6"/>
      <c r="E1497" s="6"/>
      <c r="F1497" s="6"/>
      <c r="G1497" s="6"/>
      <c r="H1497" s="6"/>
      <c r="L1497" s="1" t="s">
        <v>233</v>
      </c>
      <c r="M1497" s="29" t="s">
        <v>213</v>
      </c>
    </row>
    <row r="1498" spans="1:14" ht="15" customHeight="1" x14ac:dyDescent="0.25">
      <c r="B1498" s="54" t="s">
        <v>12</v>
      </c>
      <c r="C1498" s="52"/>
      <c r="D1498" s="75">
        <v>0</v>
      </c>
      <c r="E1498" s="111">
        <v>0</v>
      </c>
      <c r="F1498" s="111">
        <v>0</v>
      </c>
      <c r="G1498" s="111">
        <v>0</v>
      </c>
      <c r="H1498" s="76">
        <v>0</v>
      </c>
      <c r="L1498" s="1" t="s">
        <v>233</v>
      </c>
      <c r="M1498" s="29" t="s">
        <v>213</v>
      </c>
      <c r="N1498" s="228" t="s">
        <v>12</v>
      </c>
    </row>
    <row r="1499" spans="1:14" ht="15" customHeight="1" x14ac:dyDescent="0.25">
      <c r="B1499" s="5"/>
      <c r="D1499" s="6"/>
      <c r="E1499" s="6"/>
      <c r="F1499" s="6"/>
      <c r="G1499" s="6"/>
      <c r="H1499" s="6"/>
      <c r="L1499" s="1" t="s">
        <v>233</v>
      </c>
      <c r="M1499" s="29" t="s">
        <v>213</v>
      </c>
    </row>
    <row r="1500" spans="1:14" ht="18.75" customHeight="1" x14ac:dyDescent="0.3">
      <c r="A1500" s="38" t="s">
        <v>26</v>
      </c>
      <c r="C1500" s="52">
        <f>A1466</f>
        <v>38</v>
      </c>
      <c r="D1500" s="112">
        <f ca="1" xml:space="preserve"> D1472 + D1477 - D1483 + D1496 + D1498</f>
        <v>3890</v>
      </c>
      <c r="E1500" s="112">
        <f ca="1" xml:space="preserve"> E1472 + E1477 - E1483 + E1496 + E1498</f>
        <v>0</v>
      </c>
      <c r="F1500" s="112">
        <f ca="1" xml:space="preserve"> F1472 + F1477 - F1483 + F1496 + F1498</f>
        <v>0</v>
      </c>
      <c r="G1500" s="112">
        <f ca="1" xml:space="preserve"> G1472 + G1477 - G1483 + G1496 + G1498</f>
        <v>2582</v>
      </c>
      <c r="H1500" s="174">
        <f ca="1" xml:space="preserve"> H1472 + H1477 - H1483 + H1496 + H1498</f>
        <v>0</v>
      </c>
      <c r="L1500" s="1" t="s">
        <v>233</v>
      </c>
      <c r="M1500" s="29" t="s">
        <v>213</v>
      </c>
      <c r="N1500" s="228" t="s">
        <v>26</v>
      </c>
    </row>
    <row r="1501" spans="1:14" ht="15" customHeight="1" x14ac:dyDescent="0.25">
      <c r="C1501" s="108" t="s">
        <v>158</v>
      </c>
      <c r="D1501" s="6">
        <v>3890</v>
      </c>
      <c r="E1501" s="28"/>
      <c r="F1501" s="28"/>
      <c r="G1501" s="28"/>
      <c r="H1501" s="28"/>
      <c r="L1501" s="1" t="s">
        <v>233</v>
      </c>
      <c r="M1501" s="29" t="s">
        <v>213</v>
      </c>
      <c r="N1501" s="228" t="s">
        <v>158</v>
      </c>
    </row>
    <row r="1502" spans="1:14" ht="15" customHeight="1" x14ac:dyDescent="0.25">
      <c r="C1502" s="125"/>
      <c r="D1502" s="29"/>
      <c r="E1502" s="29"/>
      <c r="F1502" s="29"/>
      <c r="G1502" s="29"/>
      <c r="H1502" s="29"/>
      <c r="L1502" s="1" t="s">
        <v>233</v>
      </c>
      <c r="M1502" s="29" t="s">
        <v>213</v>
      </c>
    </row>
    <row r="1503" spans="1:14" ht="15" customHeight="1" x14ac:dyDescent="0.25">
      <c r="A1503" s="29"/>
      <c r="B1503" s="29"/>
      <c r="C1503" s="29"/>
      <c r="D1503" s="29"/>
      <c r="E1503" s="29"/>
      <c r="F1503" s="29"/>
      <c r="G1503" s="29"/>
      <c r="H1503" s="29"/>
      <c r="L1503" s="1" t="s">
        <v>233</v>
      </c>
      <c r="M1503" s="29" t="s">
        <v>213</v>
      </c>
    </row>
    <row r="1504" spans="1:14" ht="21" customHeight="1" x14ac:dyDescent="0.35">
      <c r="A1504" s="12">
        <f>MAX(A$1:A1503)+1</f>
        <v>39</v>
      </c>
      <c r="B1504" s="12"/>
      <c r="C1504" s="214" t="str">
        <f ca="1">OFFSET($B$4,A1504-1,0)</f>
        <v>stimson lumber-plummer - stimson-plummer</v>
      </c>
      <c r="D1504" s="215"/>
      <c r="E1504" s="216"/>
      <c r="F1504" s="216"/>
      <c r="G1504" s="217"/>
      <c r="H1504" s="218"/>
      <c r="L1504" s="1" t="s">
        <v>233</v>
      </c>
      <c r="M1504" s="29" t="s">
        <v>214</v>
      </c>
      <c r="N1504" s="228">
        <v>41</v>
      </c>
    </row>
    <row r="1505" spans="1:14" ht="15" customHeight="1" x14ac:dyDescent="0.25">
      <c r="C1505" s="1" t="str">
        <f ca="1">VLOOKUP(C1504,Facilities,3,FALSE)</f>
        <v>REC only</v>
      </c>
      <c r="D1505" s="1"/>
      <c r="L1505" s="1" t="s">
        <v>233</v>
      </c>
      <c r="M1505" s="29" t="s">
        <v>214</v>
      </c>
      <c r="N1505" s="228" t="s">
        <v>181</v>
      </c>
    </row>
    <row r="1506" spans="1:14" ht="18.75" customHeight="1" x14ac:dyDescent="0.3">
      <c r="A1506" s="8" t="s">
        <v>21</v>
      </c>
      <c r="B1506" s="8"/>
      <c r="D1506" s="2">
        <f>StartYear</f>
        <v>2017</v>
      </c>
      <c r="E1506" s="2">
        <f>D1506+1</f>
        <v>2018</v>
      </c>
      <c r="F1506" s="2">
        <f>E1506+1</f>
        <v>2019</v>
      </c>
      <c r="G1506" s="2">
        <f>F1506+1</f>
        <v>2020</v>
      </c>
      <c r="H1506" s="2">
        <f>G1506+1</f>
        <v>2021</v>
      </c>
      <c r="L1506" s="1" t="s">
        <v>233</v>
      </c>
      <c r="M1506" s="29" t="s">
        <v>214</v>
      </c>
      <c r="N1506" s="228" t="s">
        <v>21</v>
      </c>
    </row>
    <row r="1507" spans="1:14" ht="15" customHeight="1" x14ac:dyDescent="0.25">
      <c r="B1507" s="119" t="str">
        <f ca="1">IF(C1543&lt;&gt;"REC only","Total MWh ","")&amp;IF(C1505="PSE owned","Produced","Purchased")&amp;" from "&amp;C1504</f>
        <v>Purchased from stimson lumber-plummer - stimson-plummer</v>
      </c>
      <c r="C1507" s="52"/>
      <c r="D1507" s="3"/>
      <c r="E1507" s="3"/>
      <c r="F1507" s="3"/>
      <c r="G1507" s="3">
        <v>15794</v>
      </c>
      <c r="H1507" s="4"/>
      <c r="L1507" s="1" t="s">
        <v>233</v>
      </c>
      <c r="M1507" s="29" t="s">
        <v>214</v>
      </c>
      <c r="N1507" s="228" t="s">
        <v>282</v>
      </c>
    </row>
    <row r="1508" spans="1:14" ht="15" customHeight="1" x14ac:dyDescent="0.25">
      <c r="B1508" s="57" t="s">
        <v>25</v>
      </c>
      <c r="C1508" s="52"/>
      <c r="D1508" s="132"/>
      <c r="E1508" s="132"/>
      <c r="F1508" s="132"/>
      <c r="G1508" s="132">
        <v>1</v>
      </c>
      <c r="H1508" s="133"/>
      <c r="L1508" s="1" t="s">
        <v>233</v>
      </c>
      <c r="M1508" s="29" t="s">
        <v>214</v>
      </c>
      <c r="N1508" s="228" t="s">
        <v>25</v>
      </c>
    </row>
    <row r="1509" spans="1:14" ht="15" customHeight="1" x14ac:dyDescent="0.25">
      <c r="B1509" s="57" t="s">
        <v>20</v>
      </c>
      <c r="C1509" s="52"/>
      <c r="D1509" s="42"/>
      <c r="E1509" s="42"/>
      <c r="F1509" s="42"/>
      <c r="G1509" s="42">
        <v>1</v>
      </c>
      <c r="H1509" s="43"/>
      <c r="L1509" s="1" t="s">
        <v>233</v>
      </c>
      <c r="M1509" s="29" t="s">
        <v>214</v>
      </c>
      <c r="N1509" s="228" t="s">
        <v>20</v>
      </c>
    </row>
    <row r="1510" spans="1:14" ht="15" customHeight="1" x14ac:dyDescent="0.25">
      <c r="B1510" s="54" t="s">
        <v>22</v>
      </c>
      <c r="C1510" s="55"/>
      <c r="D1510" s="131">
        <f xml:space="preserve"> D1507 * D1508 * D1509</f>
        <v>0</v>
      </c>
      <c r="E1510" s="131">
        <f xml:space="preserve"> E1507 * E1508 * E1509</f>
        <v>0</v>
      </c>
      <c r="F1510" s="131">
        <f xml:space="preserve"> ROUNDDOWN(F1507 * F1508 * F1509,0)</f>
        <v>0</v>
      </c>
      <c r="G1510" s="131">
        <f xml:space="preserve"> ROUNDDOWN(G1507 * G1508 * G1509,0)</f>
        <v>15794</v>
      </c>
      <c r="H1510" s="131">
        <f xml:space="preserve"> ROUNDDOWN(H1507 * H1508 * H1509,0)</f>
        <v>0</v>
      </c>
      <c r="L1510" s="1" t="s">
        <v>233</v>
      </c>
      <c r="M1510" s="29" t="s">
        <v>214</v>
      </c>
      <c r="N1510" s="228" t="s">
        <v>22</v>
      </c>
    </row>
    <row r="1511" spans="1:14" ht="15" customHeight="1" x14ac:dyDescent="0.25">
      <c r="B1511" s="22"/>
      <c r="C1511" s="29"/>
      <c r="D1511" s="36"/>
      <c r="E1511" s="36"/>
      <c r="F1511" s="36"/>
      <c r="G1511" s="167"/>
      <c r="H1511" s="36"/>
      <c r="L1511" s="1" t="s">
        <v>233</v>
      </c>
      <c r="M1511" s="29" t="s">
        <v>214</v>
      </c>
    </row>
    <row r="1512" spans="1:14" ht="18.75" customHeight="1" x14ac:dyDescent="0.3">
      <c r="A1512" s="39" t="s">
        <v>119</v>
      </c>
      <c r="C1512" s="29"/>
      <c r="D1512" s="2">
        <f>D1506</f>
        <v>2017</v>
      </c>
      <c r="E1512" s="2">
        <f>D1512+1</f>
        <v>2018</v>
      </c>
      <c r="F1512" s="2">
        <f>E1512+1</f>
        <v>2019</v>
      </c>
      <c r="G1512" s="2">
        <f>F1512+1</f>
        <v>2020</v>
      </c>
      <c r="H1512" s="2">
        <f>G1512+1</f>
        <v>2021</v>
      </c>
      <c r="L1512" s="1" t="s">
        <v>233</v>
      </c>
      <c r="M1512" s="29" t="s">
        <v>214</v>
      </c>
      <c r="N1512" s="228" t="s">
        <v>119</v>
      </c>
    </row>
    <row r="1513" spans="1:14" x14ac:dyDescent="0.25">
      <c r="B1513" s="57" t="s">
        <v>10</v>
      </c>
      <c r="C1513" s="52"/>
      <c r="D1513" s="10">
        <f ca="1">IF(VLOOKUP($C1504,Facilities,5,FALSE)="Eligible", D1510*ApprenticeshipBonus, 0 )</f>
        <v>0</v>
      </c>
      <c r="E1513" s="109">
        <f ca="1">IF(VLOOKUP($C1504,Facilities,5,FALSE)="Eligible", E1510*ApprenticeshipBonus, 0 )</f>
        <v>0</v>
      </c>
      <c r="F1513" s="109">
        <f ca="1">IF(VLOOKUP($C1504,Facilities,5,FALSE)="Eligible", F1510*ApprenticeshipBonus, 0 )</f>
        <v>0</v>
      </c>
      <c r="G1513" s="109">
        <f ca="1">IF(VLOOKUP($C1504,Facilities,5,FALSE)="Eligible", G1510*ApprenticeshipBonus, 0 )</f>
        <v>0</v>
      </c>
      <c r="H1513" s="11">
        <f ca="1">IF(VLOOKUP($C1504,Facilities,5,FALSE)="Eligible", H1510*ApprenticeshipBonus, 0 )</f>
        <v>0</v>
      </c>
      <c r="L1513" s="1" t="s">
        <v>233</v>
      </c>
      <c r="M1513" s="29" t="s">
        <v>214</v>
      </c>
      <c r="N1513" s="228" t="s">
        <v>10</v>
      </c>
    </row>
    <row r="1514" spans="1:14" ht="15" customHeight="1" x14ac:dyDescent="0.25">
      <c r="B1514" s="57" t="s">
        <v>6</v>
      </c>
      <c r="C1514" s="52"/>
      <c r="D1514" s="44">
        <f ca="1">IF(VLOOKUP($C1504,Facilities,6,FALSE)="Eligible", D1510, 0 )</f>
        <v>0</v>
      </c>
      <c r="E1514" s="110">
        <f ca="1">IF(VLOOKUP($C1504,Facilities,6,FALSE)="Eligible", E1510, 0 )</f>
        <v>0</v>
      </c>
      <c r="F1514" s="110">
        <f ca="1">IF(VLOOKUP($C1504,Facilities,6,FALSE)="Eligible", F1510, 0 )</f>
        <v>0</v>
      </c>
      <c r="G1514" s="110">
        <f ca="1">IF(VLOOKUP($C1504,Facilities,6,FALSE)="Eligible", G1510, 0 )</f>
        <v>0</v>
      </c>
      <c r="H1514" s="45">
        <f ca="1">IF(VLOOKUP($C1504,Facilities,6,FALSE)="Eligible", H1510, 0 )</f>
        <v>0</v>
      </c>
      <c r="L1514" s="1" t="s">
        <v>233</v>
      </c>
      <c r="M1514" s="29" t="s">
        <v>214</v>
      </c>
      <c r="N1514" s="228" t="s">
        <v>6</v>
      </c>
    </row>
    <row r="1515" spans="1:14" ht="15" customHeight="1" x14ac:dyDescent="0.25">
      <c r="B1515" s="56" t="s">
        <v>121</v>
      </c>
      <c r="C1515" s="55"/>
      <c r="D1515" s="37">
        <f ca="1">SUM(D1513:D1514)</f>
        <v>0</v>
      </c>
      <c r="E1515" s="37">
        <f ca="1">SUM(E1513:E1514)</f>
        <v>0</v>
      </c>
      <c r="F1515" s="37">
        <f ca="1">SUM(F1513:F1514)</f>
        <v>0</v>
      </c>
      <c r="G1515" s="37">
        <f ca="1">SUM(G1513:G1514)</f>
        <v>0</v>
      </c>
      <c r="H1515" s="37">
        <f ca="1">SUM(H1513:H1514)</f>
        <v>0</v>
      </c>
      <c r="L1515" s="1" t="s">
        <v>233</v>
      </c>
      <c r="M1515" s="29" t="s">
        <v>214</v>
      </c>
      <c r="N1515" s="228" t="s">
        <v>121</v>
      </c>
    </row>
    <row r="1516" spans="1:14" ht="15" customHeight="1" x14ac:dyDescent="0.25">
      <c r="B1516" s="29"/>
      <c r="C1516" s="29"/>
      <c r="D1516" s="30"/>
      <c r="E1516" s="30"/>
      <c r="F1516" s="30"/>
      <c r="G1516" s="169"/>
      <c r="H1516" s="30"/>
      <c r="L1516" s="1" t="s">
        <v>233</v>
      </c>
      <c r="M1516" s="29" t="s">
        <v>214</v>
      </c>
    </row>
    <row r="1517" spans="1:14" ht="18.75" customHeight="1" x14ac:dyDescent="0.3">
      <c r="A1517" s="38" t="s">
        <v>30</v>
      </c>
      <c r="C1517" s="29"/>
      <c r="D1517" s="2">
        <f>D1506</f>
        <v>2017</v>
      </c>
      <c r="E1517" s="2">
        <f>D1517+1</f>
        <v>2018</v>
      </c>
      <c r="F1517" s="2">
        <f>E1517+1</f>
        <v>2019</v>
      </c>
      <c r="G1517" s="2">
        <f>F1517+1</f>
        <v>2020</v>
      </c>
      <c r="H1517" s="2">
        <f>G1517+1</f>
        <v>2021</v>
      </c>
      <c r="L1517" s="1" t="s">
        <v>233</v>
      </c>
      <c r="M1517" s="29" t="s">
        <v>214</v>
      </c>
      <c r="N1517" s="228" t="s">
        <v>30</v>
      </c>
    </row>
    <row r="1518" spans="1:14" ht="15" customHeight="1" x14ac:dyDescent="0.25">
      <c r="B1518" s="57" t="s">
        <v>47</v>
      </c>
      <c r="C1518" s="52"/>
      <c r="D1518" s="3">
        <v>0</v>
      </c>
      <c r="E1518" s="3">
        <v>0</v>
      </c>
      <c r="F1518" s="3">
        <v>0</v>
      </c>
      <c r="G1518" s="3">
        <v>0</v>
      </c>
      <c r="H1518" s="4">
        <v>0</v>
      </c>
      <c r="L1518" s="1" t="s">
        <v>233</v>
      </c>
      <c r="M1518" s="29" t="s">
        <v>214</v>
      </c>
      <c r="N1518" s="228" t="s">
        <v>47</v>
      </c>
    </row>
    <row r="1519" spans="1:14" ht="15" customHeight="1" x14ac:dyDescent="0.25">
      <c r="B1519" s="58" t="s">
        <v>23</v>
      </c>
      <c r="C1519" s="59"/>
      <c r="D1519" s="137">
        <v>0</v>
      </c>
      <c r="E1519" s="137">
        <v>0</v>
      </c>
      <c r="F1519" s="137">
        <v>0</v>
      </c>
      <c r="G1519" s="137">
        <v>0</v>
      </c>
      <c r="H1519" s="138">
        <v>0</v>
      </c>
      <c r="L1519" s="1" t="s">
        <v>233</v>
      </c>
      <c r="M1519" s="29" t="s">
        <v>214</v>
      </c>
      <c r="N1519" s="228" t="s">
        <v>23</v>
      </c>
    </row>
    <row r="1520" spans="1:14" ht="15" customHeight="1" x14ac:dyDescent="0.25">
      <c r="B1520" s="68" t="s">
        <v>89</v>
      </c>
      <c r="C1520" s="67"/>
      <c r="D1520" s="191">
        <v>0</v>
      </c>
      <c r="E1520" s="139">
        <v>0</v>
      </c>
      <c r="F1520" s="139">
        <v>0</v>
      </c>
      <c r="G1520" s="139">
        <v>0</v>
      </c>
      <c r="H1520" s="140">
        <v>0</v>
      </c>
      <c r="L1520" s="1" t="s">
        <v>233</v>
      </c>
      <c r="M1520" s="29" t="s">
        <v>214</v>
      </c>
      <c r="N1520" s="228" t="s">
        <v>89</v>
      </c>
    </row>
    <row r="1521" spans="1:14" ht="15" customHeight="1" x14ac:dyDescent="0.25">
      <c r="B1521" s="32" t="s">
        <v>90</v>
      </c>
      <c r="D1521" s="6">
        <f>SUM(D1518:D1520)</f>
        <v>0</v>
      </c>
      <c r="E1521" s="6">
        <f>SUM(E1518:E1520)</f>
        <v>0</v>
      </c>
      <c r="F1521" s="6">
        <f>SUM(F1518:F1520)</f>
        <v>0</v>
      </c>
      <c r="G1521" s="6">
        <f>SUM(G1518:G1520)</f>
        <v>0</v>
      </c>
      <c r="H1521" s="6">
        <f>SUM(H1518:H1520)</f>
        <v>0</v>
      </c>
      <c r="L1521" s="1" t="s">
        <v>233</v>
      </c>
      <c r="M1521" s="29" t="s">
        <v>214</v>
      </c>
      <c r="N1521" s="228" t="s">
        <v>90</v>
      </c>
    </row>
    <row r="1522" spans="1:14" ht="15" customHeight="1" x14ac:dyDescent="0.25">
      <c r="B1522" s="5"/>
      <c r="D1522" s="6"/>
      <c r="E1522" s="6"/>
      <c r="F1522" s="6"/>
      <c r="G1522" s="167"/>
      <c r="H1522" s="6"/>
      <c r="L1522" s="1" t="s">
        <v>233</v>
      </c>
      <c r="M1522" s="29" t="s">
        <v>214</v>
      </c>
    </row>
    <row r="1523" spans="1:14" ht="18.75" customHeight="1" x14ac:dyDescent="0.3">
      <c r="A1523" s="8" t="s">
        <v>100</v>
      </c>
      <c r="D1523" s="2">
        <f>D1506</f>
        <v>2017</v>
      </c>
      <c r="E1523" s="2">
        <f>D1523+1</f>
        <v>2018</v>
      </c>
      <c r="F1523" s="2">
        <f>E1523+1</f>
        <v>2019</v>
      </c>
      <c r="G1523" s="2">
        <f>F1523+1</f>
        <v>2020</v>
      </c>
      <c r="H1523" s="2">
        <f>G1523+1</f>
        <v>2021</v>
      </c>
      <c r="L1523" s="1" t="s">
        <v>233</v>
      </c>
      <c r="M1523" s="29" t="s">
        <v>214</v>
      </c>
      <c r="N1523" s="228" t="s">
        <v>100</v>
      </c>
    </row>
    <row r="1524" spans="1:14" ht="15" customHeight="1" x14ac:dyDescent="0.25">
      <c r="B1524" s="57" t="str">
        <f>(StartYear-1) &amp; " Surplus Applied to " &amp; StartYear</f>
        <v>2016 Surplus Applied to 2017</v>
      </c>
      <c r="C1524" s="29"/>
      <c r="D1524" s="186">
        <v>0</v>
      </c>
      <c r="E1524" s="187"/>
      <c r="F1524" s="187"/>
      <c r="G1524" s="187"/>
      <c r="H1524" s="188"/>
      <c r="L1524" s="1" t="s">
        <v>233</v>
      </c>
      <c r="M1524" s="29" t="s">
        <v>214</v>
      </c>
      <c r="N1524" s="228" t="s">
        <v>235</v>
      </c>
    </row>
    <row r="1525" spans="1:14" ht="15" customHeight="1" x14ac:dyDescent="0.25">
      <c r="B1525" s="57" t="str">
        <f>StartYear &amp; " Surplus Applied to " &amp; (StartYear-1)</f>
        <v>2017 Surplus Applied to 2016</v>
      </c>
      <c r="C1525" s="29"/>
      <c r="D1525" s="189">
        <v>0</v>
      </c>
      <c r="E1525" s="113"/>
      <c r="F1525" s="113"/>
      <c r="G1525" s="113"/>
      <c r="H1525" s="117"/>
      <c r="L1525" s="1" t="s">
        <v>233</v>
      </c>
      <c r="M1525" s="29" t="s">
        <v>214</v>
      </c>
      <c r="N1525" s="228" t="s">
        <v>236</v>
      </c>
    </row>
    <row r="1526" spans="1:14" ht="15" customHeight="1" x14ac:dyDescent="0.25">
      <c r="B1526" s="57" t="str">
        <f>( StartYear) &amp; " Surplus Applied to " &amp; ( StartYear + 1 )</f>
        <v>2017 Surplus Applied to 2018</v>
      </c>
      <c r="C1526" s="29"/>
      <c r="D1526" s="184">
        <v>0</v>
      </c>
      <c r="E1526" s="185">
        <f>D1526</f>
        <v>0</v>
      </c>
      <c r="F1526" s="181"/>
      <c r="G1526" s="181"/>
      <c r="H1526" s="182"/>
      <c r="L1526" s="1" t="s">
        <v>233</v>
      </c>
      <c r="M1526" s="29" t="s">
        <v>214</v>
      </c>
      <c r="N1526" s="228" t="s">
        <v>237</v>
      </c>
    </row>
    <row r="1527" spans="1:14" ht="15" customHeight="1" x14ac:dyDescent="0.25">
      <c r="B1527" s="57" t="str">
        <f xml:space="preserve"> ( StartYear + 1 ) &amp; " Surplus Applied to " &amp; ( StartYear )</f>
        <v>2018 Surplus Applied to 2017</v>
      </c>
      <c r="C1527" s="52"/>
      <c r="D1527" s="134">
        <v>0</v>
      </c>
      <c r="E1527" s="9">
        <v>0</v>
      </c>
      <c r="F1527" s="113"/>
      <c r="G1527" s="113"/>
      <c r="H1527" s="117"/>
      <c r="L1527" s="1" t="s">
        <v>233</v>
      </c>
      <c r="M1527" s="29" t="s">
        <v>214</v>
      </c>
      <c r="N1527" s="228" t="s">
        <v>238</v>
      </c>
    </row>
    <row r="1528" spans="1:14" ht="15" customHeight="1" x14ac:dyDescent="0.25">
      <c r="B1528" s="119" t="str">
        <f xml:space="preserve"> ( StartYear + 1 ) &amp; " Surplus Applied to " &amp; ( StartYear + 2 )</f>
        <v>2018 Surplus Applied to 2019</v>
      </c>
      <c r="C1528" s="52"/>
      <c r="D1528" s="114"/>
      <c r="E1528" s="9">
        <v>0</v>
      </c>
      <c r="F1528" s="51">
        <f>E1528</f>
        <v>0</v>
      </c>
      <c r="G1528" s="113"/>
      <c r="H1528" s="117"/>
      <c r="L1528" s="1" t="s">
        <v>233</v>
      </c>
      <c r="M1528" s="29" t="s">
        <v>214</v>
      </c>
      <c r="N1528" s="228" t="s">
        <v>239</v>
      </c>
    </row>
    <row r="1529" spans="1:14" ht="15" customHeight="1" x14ac:dyDescent="0.25">
      <c r="B1529" s="119" t="str">
        <f xml:space="preserve"> ( StartYear + 2 ) &amp; " Surplus Applied to " &amp; ( StartYear + 1 )</f>
        <v>2019 Surplus Applied to 2018</v>
      </c>
      <c r="C1529" s="52"/>
      <c r="D1529" s="114"/>
      <c r="E1529" s="51">
        <v>0</v>
      </c>
      <c r="F1529" s="9">
        <v>0</v>
      </c>
      <c r="G1529" s="113"/>
      <c r="H1529" s="117"/>
      <c r="L1529" s="1" t="s">
        <v>233</v>
      </c>
      <c r="M1529" s="29" t="s">
        <v>214</v>
      </c>
      <c r="N1529" s="228" t="s">
        <v>240</v>
      </c>
    </row>
    <row r="1530" spans="1:14" ht="15" customHeight="1" x14ac:dyDescent="0.25">
      <c r="B1530" s="165" t="str">
        <f xml:space="preserve"> ( StartYear + 2 ) &amp; " Surplus Applied to " &amp; ( StartYear + 3 )</f>
        <v>2019 Surplus Applied to 2020</v>
      </c>
      <c r="C1530" s="29"/>
      <c r="D1530" s="114"/>
      <c r="E1530" s="113"/>
      <c r="F1530" s="9">
        <v>0</v>
      </c>
      <c r="G1530" s="51">
        <f>F1530</f>
        <v>0</v>
      </c>
      <c r="H1530" s="117"/>
      <c r="L1530" s="1" t="s">
        <v>233</v>
      </c>
      <c r="M1530" s="29" t="s">
        <v>214</v>
      </c>
      <c r="N1530" s="228" t="s">
        <v>241</v>
      </c>
    </row>
    <row r="1531" spans="1:14" ht="15" customHeight="1" x14ac:dyDescent="0.25">
      <c r="B1531" s="165" t="str">
        <f xml:space="preserve"> ( StartYear + 3 ) &amp; " Surplus Applied to " &amp; ( StartYear + 2 )</f>
        <v>2020 Surplus Applied to 2019</v>
      </c>
      <c r="C1531" s="29"/>
      <c r="D1531" s="114"/>
      <c r="E1531" s="113"/>
      <c r="F1531" s="51">
        <v>0</v>
      </c>
      <c r="G1531" s="9">
        <v>0</v>
      </c>
      <c r="H1531" s="117"/>
      <c r="L1531" s="1" t="s">
        <v>233</v>
      </c>
      <c r="M1531" s="29" t="s">
        <v>214</v>
      </c>
      <c r="N1531" s="228" t="s">
        <v>242</v>
      </c>
    </row>
    <row r="1532" spans="1:14" ht="15" customHeight="1" x14ac:dyDescent="0.25">
      <c r="B1532" s="165" t="str">
        <f xml:space="preserve"> ( StartYear + 3 ) &amp; " Surplus Applied to " &amp; ( StartYear + 4 )</f>
        <v>2020 Surplus Applied to 2021</v>
      </c>
      <c r="C1532" s="29"/>
      <c r="D1532" s="114"/>
      <c r="E1532" s="113"/>
      <c r="F1532" s="113"/>
      <c r="G1532" s="9">
        <v>0</v>
      </c>
      <c r="H1532" s="46">
        <f>G1532</f>
        <v>0</v>
      </c>
      <c r="L1532" s="1" t="s">
        <v>233</v>
      </c>
      <c r="M1532" s="29" t="s">
        <v>214</v>
      </c>
      <c r="N1532" s="228" t="s">
        <v>243</v>
      </c>
    </row>
    <row r="1533" spans="1:14" ht="15" customHeight="1" x14ac:dyDescent="0.25">
      <c r="B1533" s="165" t="str">
        <f xml:space="preserve"> ( StartYear + 4 ) &amp; " Surplus Applied to " &amp; ( StartYear + 3 )</f>
        <v>2021 Surplus Applied to 2020</v>
      </c>
      <c r="C1533" s="29"/>
      <c r="D1533" s="115"/>
      <c r="E1533" s="116"/>
      <c r="F1533" s="116"/>
      <c r="G1533" s="47">
        <v>0</v>
      </c>
      <c r="H1533" s="41">
        <v>0</v>
      </c>
      <c r="L1533" s="1" t="s">
        <v>233</v>
      </c>
      <c r="M1533" s="29" t="s">
        <v>214</v>
      </c>
      <c r="N1533" s="228" t="s">
        <v>244</v>
      </c>
    </row>
    <row r="1534" spans="1:14" ht="15" customHeight="1" x14ac:dyDescent="0.25">
      <c r="B1534" s="32" t="s">
        <v>17</v>
      </c>
      <c r="D1534" s="6">
        <f>D1524-D1525+D1527-D1526</f>
        <v>0</v>
      </c>
      <c r="E1534" s="6">
        <f>E1526+E1529-E1527-E1528</f>
        <v>0</v>
      </c>
      <c r="F1534" s="6">
        <f>F1528+F1531-F1529-F1530</f>
        <v>0</v>
      </c>
      <c r="G1534" s="6">
        <f>G1530+G1533-G1531-G1532</f>
        <v>0</v>
      </c>
      <c r="H1534" s="6">
        <f>H1532 - H1533</f>
        <v>0</v>
      </c>
      <c r="L1534" s="1" t="s">
        <v>233</v>
      </c>
      <c r="M1534" s="29" t="s">
        <v>214</v>
      </c>
      <c r="N1534" s="228" t="s">
        <v>17</v>
      </c>
    </row>
    <row r="1535" spans="1:14" ht="15" customHeight="1" x14ac:dyDescent="0.25">
      <c r="B1535" s="5"/>
      <c r="D1535" s="6"/>
      <c r="E1535" s="6"/>
      <c r="F1535" s="6"/>
      <c r="G1535" s="6"/>
      <c r="H1535" s="6"/>
      <c r="L1535" s="1" t="s">
        <v>233</v>
      </c>
      <c r="M1535" s="29" t="s">
        <v>214</v>
      </c>
    </row>
    <row r="1536" spans="1:14" ht="15" customHeight="1" x14ac:dyDescent="0.25">
      <c r="B1536" s="54" t="s">
        <v>12</v>
      </c>
      <c r="C1536" s="52"/>
      <c r="D1536" s="75">
        <v>0</v>
      </c>
      <c r="E1536" s="111">
        <v>0</v>
      </c>
      <c r="F1536" s="111">
        <v>0</v>
      </c>
      <c r="G1536" s="111">
        <v>0</v>
      </c>
      <c r="H1536" s="76">
        <v>0</v>
      </c>
      <c r="L1536" s="1" t="s">
        <v>233</v>
      </c>
      <c r="M1536" s="29" t="s">
        <v>214</v>
      </c>
      <c r="N1536" s="228" t="s">
        <v>12</v>
      </c>
    </row>
    <row r="1537" spans="1:14" ht="15" customHeight="1" x14ac:dyDescent="0.25">
      <c r="B1537" s="5"/>
      <c r="D1537" s="6"/>
      <c r="E1537" s="6"/>
      <c r="F1537" s="6"/>
      <c r="G1537" s="6"/>
      <c r="H1537" s="6"/>
      <c r="L1537" s="1" t="s">
        <v>233</v>
      </c>
      <c r="M1537" s="29" t="s">
        <v>214</v>
      </c>
    </row>
    <row r="1538" spans="1:14" ht="18.75" customHeight="1" x14ac:dyDescent="0.3">
      <c r="A1538" s="38" t="s">
        <v>26</v>
      </c>
      <c r="C1538" s="52">
        <f>A1504</f>
        <v>39</v>
      </c>
      <c r="D1538" s="112">
        <f ca="1" xml:space="preserve"> D1510 + D1515 - D1521 + D1534 + D1536</f>
        <v>0</v>
      </c>
      <c r="E1538" s="112">
        <f ca="1" xml:space="preserve"> E1510 + E1515 - E1521 + E1534 + E1536</f>
        <v>0</v>
      </c>
      <c r="F1538" s="112">
        <f ca="1" xml:space="preserve"> F1510 + F1515 - F1521 + F1534 + F1536</f>
        <v>0</v>
      </c>
      <c r="G1538" s="112">
        <f ca="1" xml:space="preserve"> G1510 + G1515 - G1521 + G1534 + G1536</f>
        <v>15794</v>
      </c>
      <c r="H1538" s="174">
        <f ca="1" xml:space="preserve"> H1510 + H1515 - H1521 + H1534 + H1536</f>
        <v>0</v>
      </c>
      <c r="L1538" s="1" t="s">
        <v>233</v>
      </c>
      <c r="M1538" s="29" t="s">
        <v>214</v>
      </c>
      <c r="N1538" s="228" t="s">
        <v>26</v>
      </c>
    </row>
    <row r="1539" spans="1:14" ht="15" customHeight="1" x14ac:dyDescent="0.25">
      <c r="C1539" s="108" t="s">
        <v>158</v>
      </c>
      <c r="D1539" s="6"/>
      <c r="E1539" s="28"/>
      <c r="F1539" s="28"/>
      <c r="G1539" s="28"/>
      <c r="H1539" s="28"/>
      <c r="L1539" s="1" t="s">
        <v>233</v>
      </c>
      <c r="M1539" s="29" t="s">
        <v>214</v>
      </c>
      <c r="N1539" s="228" t="s">
        <v>158</v>
      </c>
    </row>
    <row r="1540" spans="1:14" ht="15" customHeight="1" x14ac:dyDescent="0.25">
      <c r="C1540" s="125"/>
      <c r="D1540" s="29"/>
      <c r="E1540" s="29"/>
      <c r="F1540" s="29"/>
      <c r="G1540" s="29"/>
      <c r="H1540" s="29"/>
      <c r="L1540" s="1" t="s">
        <v>233</v>
      </c>
      <c r="M1540" s="29" t="s">
        <v>214</v>
      </c>
    </row>
    <row r="1541" spans="1:14" ht="15" customHeight="1" x14ac:dyDescent="0.25">
      <c r="A1541" s="29"/>
      <c r="B1541" s="29"/>
      <c r="C1541" s="29"/>
      <c r="D1541" s="29"/>
      <c r="E1541" s="29"/>
      <c r="F1541" s="29"/>
      <c r="G1541" s="29"/>
      <c r="H1541" s="29"/>
      <c r="L1541" s="1" t="s">
        <v>233</v>
      </c>
      <c r="M1541" s="29" t="s">
        <v>214</v>
      </c>
    </row>
    <row r="1542" spans="1:14" ht="21" customHeight="1" x14ac:dyDescent="0.35">
      <c r="A1542" s="12">
        <f>MAX(A$1:A1541)+1</f>
        <v>40</v>
      </c>
      <c r="B1542" s="12"/>
      <c r="C1542" s="214" t="str">
        <f ca="1">OFFSET($B$4,A1542-1,0)</f>
        <v>Stoltze Cogeneration Plant - Stoltze CoGen1</v>
      </c>
      <c r="D1542" s="215"/>
      <c r="E1542" s="216"/>
      <c r="F1542" s="216"/>
      <c r="G1542" s="217"/>
      <c r="H1542" s="218"/>
      <c r="L1542" s="1" t="s">
        <v>233</v>
      </c>
      <c r="M1542" s="29" t="s">
        <v>215</v>
      </c>
      <c r="N1542" s="228">
        <v>42</v>
      </c>
    </row>
    <row r="1543" spans="1:14" ht="15" customHeight="1" x14ac:dyDescent="0.25">
      <c r="C1543" s="1" t="str">
        <f ca="1">VLOOKUP(C1542,Facilities,3,FALSE)</f>
        <v>REC only</v>
      </c>
      <c r="D1543" s="1"/>
      <c r="L1543" s="1" t="s">
        <v>233</v>
      </c>
      <c r="M1543" s="29" t="s">
        <v>215</v>
      </c>
      <c r="N1543" s="228" t="s">
        <v>181</v>
      </c>
    </row>
    <row r="1544" spans="1:14" ht="18.75" customHeight="1" x14ac:dyDescent="0.3">
      <c r="A1544" s="8" t="s">
        <v>21</v>
      </c>
      <c r="B1544" s="8"/>
      <c r="D1544" s="2">
        <f>D366</f>
        <v>2017</v>
      </c>
      <c r="E1544" s="2">
        <f>D1544+1</f>
        <v>2018</v>
      </c>
      <c r="F1544" s="2">
        <f>E1544+1</f>
        <v>2019</v>
      </c>
      <c r="G1544" s="2">
        <f>F1544+1</f>
        <v>2020</v>
      </c>
      <c r="H1544" s="2">
        <f>G1544+1</f>
        <v>2021</v>
      </c>
      <c r="L1544" s="1" t="s">
        <v>233</v>
      </c>
      <c r="M1544" s="29" t="s">
        <v>215</v>
      </c>
      <c r="N1544" s="228" t="s">
        <v>21</v>
      </c>
    </row>
    <row r="1545" spans="1:14" ht="15" customHeight="1" x14ac:dyDescent="0.25">
      <c r="B1545" s="119" t="str">
        <f ca="1">IF(C1581&lt;&gt;"REC only","Total MWh ","")&amp;IF(C1543="PSE owned","Produced","Purchased")&amp;" from "&amp;C1542</f>
        <v>Purchased from Stoltze Cogeneration Plant - Stoltze CoGen1</v>
      </c>
      <c r="C1545" s="52"/>
      <c r="D1545" s="3"/>
      <c r="E1545" s="3"/>
      <c r="F1545" s="3"/>
      <c r="G1545" s="3">
        <v>15000</v>
      </c>
      <c r="H1545" s="4"/>
      <c r="L1545" s="1" t="s">
        <v>233</v>
      </c>
      <c r="M1545" s="231" t="s">
        <v>215</v>
      </c>
      <c r="N1545" s="228" t="s">
        <v>283</v>
      </c>
    </row>
    <row r="1546" spans="1:14" ht="15" customHeight="1" x14ac:dyDescent="0.25">
      <c r="B1546" s="57" t="s">
        <v>25</v>
      </c>
      <c r="C1546" s="52"/>
      <c r="D1546" s="132"/>
      <c r="E1546" s="132"/>
      <c r="F1546" s="132"/>
      <c r="G1546" s="132">
        <v>1</v>
      </c>
      <c r="H1546" s="133"/>
      <c r="L1546" s="1" t="s">
        <v>233</v>
      </c>
      <c r="M1546" s="29" t="s">
        <v>215</v>
      </c>
      <c r="N1546" s="228" t="s">
        <v>25</v>
      </c>
    </row>
    <row r="1547" spans="1:14" ht="15" customHeight="1" x14ac:dyDescent="0.25">
      <c r="B1547" s="57" t="s">
        <v>20</v>
      </c>
      <c r="C1547" s="52"/>
      <c r="D1547" s="42"/>
      <c r="E1547" s="42"/>
      <c r="F1547" s="42"/>
      <c r="G1547" s="42">
        <v>1</v>
      </c>
      <c r="H1547" s="43"/>
      <c r="L1547" s="1" t="s">
        <v>233</v>
      </c>
      <c r="M1547" s="29" t="s">
        <v>215</v>
      </c>
      <c r="N1547" s="228" t="s">
        <v>20</v>
      </c>
    </row>
    <row r="1548" spans="1:14" ht="15" customHeight="1" x14ac:dyDescent="0.25">
      <c r="B1548" s="54" t="s">
        <v>22</v>
      </c>
      <c r="C1548" s="55"/>
      <c r="D1548" s="131">
        <f xml:space="preserve"> D1545 * D1546 * D1547</f>
        <v>0</v>
      </c>
      <c r="E1548" s="131">
        <f xml:space="preserve"> E1545 * E1546 * E1547</f>
        <v>0</v>
      </c>
      <c r="F1548" s="131">
        <f xml:space="preserve"> ROUNDDOWN(F1545 * F1546 * F1547,0)</f>
        <v>0</v>
      </c>
      <c r="G1548" s="131">
        <f xml:space="preserve"> ROUNDDOWN(G1545 * G1546 * G1547,0)</f>
        <v>15000</v>
      </c>
      <c r="H1548" s="131">
        <f xml:space="preserve"> ROUNDDOWN(H1545 * H1546 * H1547,0)</f>
        <v>0</v>
      </c>
      <c r="L1548" s="1" t="s">
        <v>233</v>
      </c>
      <c r="M1548" s="29" t="s">
        <v>215</v>
      </c>
      <c r="N1548" s="228" t="s">
        <v>22</v>
      </c>
    </row>
    <row r="1549" spans="1:14" ht="15" customHeight="1" x14ac:dyDescent="0.25">
      <c r="B1549" s="22"/>
      <c r="C1549" s="29"/>
      <c r="D1549" s="36"/>
      <c r="E1549" s="36"/>
      <c r="F1549" s="36"/>
      <c r="G1549" s="167"/>
      <c r="H1549" s="36"/>
      <c r="L1549" s="1" t="s">
        <v>233</v>
      </c>
      <c r="M1549" s="29" t="s">
        <v>215</v>
      </c>
    </row>
    <row r="1550" spans="1:14" ht="18.75" customHeight="1" x14ac:dyDescent="0.3">
      <c r="A1550" s="39" t="s">
        <v>119</v>
      </c>
      <c r="C1550" s="29"/>
      <c r="D1550" s="2">
        <f>D1544</f>
        <v>2017</v>
      </c>
      <c r="E1550" s="2">
        <f>D1550+1</f>
        <v>2018</v>
      </c>
      <c r="F1550" s="2">
        <f>E1550+1</f>
        <v>2019</v>
      </c>
      <c r="G1550" s="2">
        <f>F1550+1</f>
        <v>2020</v>
      </c>
      <c r="H1550" s="2">
        <f>G1550+1</f>
        <v>2021</v>
      </c>
      <c r="L1550" s="1" t="s">
        <v>233</v>
      </c>
      <c r="M1550" s="29" t="s">
        <v>215</v>
      </c>
      <c r="N1550" s="228" t="s">
        <v>119</v>
      </c>
    </row>
    <row r="1551" spans="1:14" x14ac:dyDescent="0.25">
      <c r="B1551" s="57" t="s">
        <v>10</v>
      </c>
      <c r="C1551" s="52"/>
      <c r="D1551" s="10">
        <f ca="1">IF(VLOOKUP($C1542,Facilities,5,FALSE)="Eligible", D1548*ApprenticeshipBonus, 0 )</f>
        <v>0</v>
      </c>
      <c r="E1551" s="109">
        <f ca="1">IF(VLOOKUP($C1542,Facilities,5,FALSE)="Eligible", E1548*ApprenticeshipBonus, 0 )</f>
        <v>0</v>
      </c>
      <c r="F1551" s="109">
        <f ca="1">IF(VLOOKUP($C1542,Facilities,5,FALSE)="Eligible", F1548*ApprenticeshipBonus, 0 )</f>
        <v>0</v>
      </c>
      <c r="G1551" s="109">
        <f ca="1">IF(VLOOKUP($C1542,Facilities,5,FALSE)="Eligible", G1548*ApprenticeshipBonus, 0 )</f>
        <v>0</v>
      </c>
      <c r="H1551" s="11">
        <f ca="1">IF(VLOOKUP($C1542,Facilities,5,FALSE)="Eligible", H1548*ApprenticeshipBonus, 0 )</f>
        <v>0</v>
      </c>
      <c r="L1551" s="1" t="s">
        <v>233</v>
      </c>
      <c r="M1551" s="29" t="s">
        <v>215</v>
      </c>
      <c r="N1551" s="228" t="s">
        <v>10</v>
      </c>
    </row>
    <row r="1552" spans="1:14" ht="15" customHeight="1" x14ac:dyDescent="0.25">
      <c r="B1552" s="57" t="s">
        <v>6</v>
      </c>
      <c r="C1552" s="52"/>
      <c r="D1552" s="44">
        <f ca="1">IF(VLOOKUP($C1542,Facilities,6,FALSE)="Eligible", D1548, 0 )</f>
        <v>0</v>
      </c>
      <c r="E1552" s="110">
        <f ca="1">IF(VLOOKUP($C1542,Facilities,6,FALSE)="Eligible", E1548, 0 )</f>
        <v>0</v>
      </c>
      <c r="F1552" s="110">
        <f ca="1">IF(VLOOKUP($C1542,Facilities,6,FALSE)="Eligible", F1548, 0 )</f>
        <v>0</v>
      </c>
      <c r="G1552" s="110">
        <f ca="1">IF(VLOOKUP($C1542,Facilities,6,FALSE)="Eligible", G1548, 0 )</f>
        <v>15000</v>
      </c>
      <c r="H1552" s="45">
        <f ca="1">IF(VLOOKUP($C1542,Facilities,6,FALSE)="Eligible", H1548, 0 )</f>
        <v>0</v>
      </c>
      <c r="L1552" s="1" t="s">
        <v>233</v>
      </c>
      <c r="M1552" s="29" t="s">
        <v>215</v>
      </c>
      <c r="N1552" s="228" t="s">
        <v>6</v>
      </c>
    </row>
    <row r="1553" spans="1:14" ht="15" customHeight="1" x14ac:dyDescent="0.25">
      <c r="B1553" s="56" t="s">
        <v>121</v>
      </c>
      <c r="C1553" s="55"/>
      <c r="D1553" s="37">
        <f ca="1">SUM(D1551:D1552)</f>
        <v>0</v>
      </c>
      <c r="E1553" s="37">
        <f ca="1">SUM(E1551:E1552)</f>
        <v>0</v>
      </c>
      <c r="F1553" s="37">
        <f ca="1">SUM(F1551:F1552)</f>
        <v>0</v>
      </c>
      <c r="G1553" s="37">
        <f ca="1">SUM(G1551:G1552)</f>
        <v>15000</v>
      </c>
      <c r="H1553" s="37">
        <f ca="1">SUM(H1551:H1552)</f>
        <v>0</v>
      </c>
      <c r="L1553" s="1" t="s">
        <v>233</v>
      </c>
      <c r="M1553" s="29" t="s">
        <v>215</v>
      </c>
      <c r="N1553" s="228" t="s">
        <v>121</v>
      </c>
    </row>
    <row r="1554" spans="1:14" ht="15" customHeight="1" x14ac:dyDescent="0.25">
      <c r="B1554" s="29"/>
      <c r="C1554" s="29"/>
      <c r="D1554" s="30"/>
      <c r="E1554" s="30"/>
      <c r="F1554" s="30"/>
      <c r="G1554" s="169"/>
      <c r="H1554" s="30"/>
      <c r="L1554" s="1" t="s">
        <v>233</v>
      </c>
      <c r="M1554" s="29" t="s">
        <v>215</v>
      </c>
    </row>
    <row r="1555" spans="1:14" ht="18.75" customHeight="1" x14ac:dyDescent="0.3">
      <c r="A1555" s="38" t="s">
        <v>30</v>
      </c>
      <c r="C1555" s="29"/>
      <c r="D1555" s="2">
        <f>D1544</f>
        <v>2017</v>
      </c>
      <c r="E1555" s="2">
        <f>D1555+1</f>
        <v>2018</v>
      </c>
      <c r="F1555" s="2">
        <f>E1555+1</f>
        <v>2019</v>
      </c>
      <c r="G1555" s="2">
        <f>F1555+1</f>
        <v>2020</v>
      </c>
      <c r="H1555" s="2">
        <f>G1555+1</f>
        <v>2021</v>
      </c>
      <c r="L1555" s="1" t="s">
        <v>233</v>
      </c>
      <c r="M1555" s="29" t="s">
        <v>215</v>
      </c>
      <c r="N1555" s="228" t="s">
        <v>30</v>
      </c>
    </row>
    <row r="1556" spans="1:14" ht="15" customHeight="1" x14ac:dyDescent="0.25">
      <c r="B1556" s="57" t="s">
        <v>47</v>
      </c>
      <c r="C1556" s="52"/>
      <c r="D1556" s="3">
        <v>0</v>
      </c>
      <c r="E1556" s="3">
        <v>0</v>
      </c>
      <c r="F1556" s="3">
        <v>0</v>
      </c>
      <c r="G1556" s="3">
        <v>0</v>
      </c>
      <c r="H1556" s="4">
        <v>0</v>
      </c>
      <c r="L1556" s="1" t="s">
        <v>233</v>
      </c>
      <c r="M1556" s="29" t="s">
        <v>215</v>
      </c>
      <c r="N1556" s="228" t="s">
        <v>47</v>
      </c>
    </row>
    <row r="1557" spans="1:14" ht="15" customHeight="1" x14ac:dyDescent="0.25">
      <c r="B1557" s="58" t="s">
        <v>23</v>
      </c>
      <c r="C1557" s="59"/>
      <c r="D1557" s="137">
        <v>0</v>
      </c>
      <c r="E1557" s="137">
        <v>0</v>
      </c>
      <c r="F1557" s="137">
        <v>0</v>
      </c>
      <c r="G1557" s="137">
        <v>0</v>
      </c>
      <c r="H1557" s="138">
        <v>0</v>
      </c>
      <c r="L1557" s="1" t="s">
        <v>233</v>
      </c>
      <c r="M1557" s="29" t="s">
        <v>215</v>
      </c>
      <c r="N1557" s="228" t="s">
        <v>23</v>
      </c>
    </row>
    <row r="1558" spans="1:14" ht="15" customHeight="1" x14ac:dyDescent="0.25">
      <c r="B1558" s="68" t="s">
        <v>89</v>
      </c>
      <c r="C1558" s="67"/>
      <c r="D1558" s="191">
        <v>0</v>
      </c>
      <c r="E1558" s="139">
        <v>0</v>
      </c>
      <c r="F1558" s="139">
        <v>0</v>
      </c>
      <c r="G1558" s="139">
        <v>0</v>
      </c>
      <c r="H1558" s="140">
        <v>0</v>
      </c>
      <c r="L1558" s="1" t="s">
        <v>233</v>
      </c>
      <c r="M1558" s="29" t="s">
        <v>215</v>
      </c>
      <c r="N1558" s="228" t="s">
        <v>89</v>
      </c>
    </row>
    <row r="1559" spans="1:14" ht="15" customHeight="1" x14ac:dyDescent="0.25">
      <c r="B1559" s="32" t="s">
        <v>90</v>
      </c>
      <c r="D1559" s="6">
        <f>SUM(D1556:D1558)</f>
        <v>0</v>
      </c>
      <c r="E1559" s="6">
        <f>SUM(E1556:E1558)</f>
        <v>0</v>
      </c>
      <c r="F1559" s="6">
        <f>SUM(F1556:F1558)</f>
        <v>0</v>
      </c>
      <c r="G1559" s="6">
        <f>SUM(G1556:G1558)</f>
        <v>0</v>
      </c>
      <c r="H1559" s="6">
        <f>SUM(H1556:H1558)</f>
        <v>0</v>
      </c>
      <c r="L1559" s="1" t="s">
        <v>233</v>
      </c>
      <c r="M1559" s="29" t="s">
        <v>215</v>
      </c>
      <c r="N1559" s="228" t="s">
        <v>90</v>
      </c>
    </row>
    <row r="1560" spans="1:14" ht="15" customHeight="1" x14ac:dyDescent="0.25">
      <c r="B1560" s="5"/>
      <c r="D1560" s="6"/>
      <c r="E1560" s="6"/>
      <c r="F1560" s="6"/>
      <c r="G1560" s="167"/>
      <c r="H1560" s="6"/>
      <c r="L1560" s="1" t="s">
        <v>233</v>
      </c>
      <c r="M1560" s="29" t="s">
        <v>215</v>
      </c>
    </row>
    <row r="1561" spans="1:14" ht="18.75" customHeight="1" x14ac:dyDescent="0.3">
      <c r="A1561" s="8" t="s">
        <v>100</v>
      </c>
      <c r="D1561" s="2">
        <f>D1544</f>
        <v>2017</v>
      </c>
      <c r="E1561" s="2">
        <f>D1561+1</f>
        <v>2018</v>
      </c>
      <c r="F1561" s="2">
        <f>E1561+1</f>
        <v>2019</v>
      </c>
      <c r="G1561" s="2">
        <f>F1561+1</f>
        <v>2020</v>
      </c>
      <c r="H1561" s="2">
        <f>G1561+1</f>
        <v>2021</v>
      </c>
      <c r="L1561" s="1" t="s">
        <v>233</v>
      </c>
      <c r="M1561" s="29" t="s">
        <v>215</v>
      </c>
      <c r="N1561" s="228" t="s">
        <v>100</v>
      </c>
    </row>
    <row r="1562" spans="1:14" ht="15" customHeight="1" x14ac:dyDescent="0.25">
      <c r="B1562" s="57" t="str">
        <f>(StartYear-1) &amp; " Surplus Applied to " &amp; StartYear</f>
        <v>2016 Surplus Applied to 2017</v>
      </c>
      <c r="C1562" s="29"/>
      <c r="D1562" s="186">
        <v>0</v>
      </c>
      <c r="E1562" s="187"/>
      <c r="F1562" s="187"/>
      <c r="G1562" s="187"/>
      <c r="H1562" s="188"/>
      <c r="L1562" s="1" t="s">
        <v>233</v>
      </c>
      <c r="M1562" s="29" t="s">
        <v>215</v>
      </c>
      <c r="N1562" s="228" t="s">
        <v>235</v>
      </c>
    </row>
    <row r="1563" spans="1:14" ht="15" customHeight="1" x14ac:dyDescent="0.25">
      <c r="B1563" s="57" t="str">
        <f>StartYear &amp; " Surplus Applied to " &amp; (StartYear-1)</f>
        <v>2017 Surplus Applied to 2016</v>
      </c>
      <c r="C1563" s="29"/>
      <c r="D1563" s="189">
        <v>0</v>
      </c>
      <c r="E1563" s="113"/>
      <c r="F1563" s="113"/>
      <c r="G1563" s="113"/>
      <c r="H1563" s="117"/>
      <c r="L1563" s="1" t="s">
        <v>233</v>
      </c>
      <c r="M1563" s="29" t="s">
        <v>215</v>
      </c>
      <c r="N1563" s="228" t="s">
        <v>236</v>
      </c>
    </row>
    <row r="1564" spans="1:14" ht="15" customHeight="1" x14ac:dyDescent="0.25">
      <c r="B1564" s="57" t="str">
        <f>( StartYear) &amp; " Surplus Applied to " &amp; ( StartYear + 1 )</f>
        <v>2017 Surplus Applied to 2018</v>
      </c>
      <c r="C1564" s="29"/>
      <c r="D1564" s="184">
        <v>0</v>
      </c>
      <c r="E1564" s="185">
        <f>D1564</f>
        <v>0</v>
      </c>
      <c r="F1564" s="181"/>
      <c r="G1564" s="181"/>
      <c r="H1564" s="182"/>
      <c r="L1564" s="1" t="s">
        <v>233</v>
      </c>
      <c r="M1564" s="29" t="s">
        <v>215</v>
      </c>
      <c r="N1564" s="228" t="s">
        <v>237</v>
      </c>
    </row>
    <row r="1565" spans="1:14" ht="15" customHeight="1" x14ac:dyDescent="0.25">
      <c r="B1565" s="57" t="str">
        <f xml:space="preserve"> ( StartYear + 1 ) &amp; " Surplus Applied to " &amp; ( StartYear )</f>
        <v>2018 Surplus Applied to 2017</v>
      </c>
      <c r="C1565" s="52"/>
      <c r="D1565" s="134">
        <v>0</v>
      </c>
      <c r="E1565" s="9">
        <v>0</v>
      </c>
      <c r="F1565" s="113"/>
      <c r="G1565" s="113"/>
      <c r="H1565" s="117"/>
      <c r="L1565" s="1" t="s">
        <v>233</v>
      </c>
      <c r="M1565" s="29" t="s">
        <v>215</v>
      </c>
      <c r="N1565" s="228" t="s">
        <v>238</v>
      </c>
    </row>
    <row r="1566" spans="1:14" ht="15" customHeight="1" x14ac:dyDescent="0.25">
      <c r="B1566" s="119" t="str">
        <f xml:space="preserve"> ( StartYear + 1 ) &amp; " Surplus Applied to " &amp; ( StartYear + 2 )</f>
        <v>2018 Surplus Applied to 2019</v>
      </c>
      <c r="C1566" s="52"/>
      <c r="D1566" s="114"/>
      <c r="E1566" s="9">
        <v>0</v>
      </c>
      <c r="F1566" s="51">
        <f>E1566</f>
        <v>0</v>
      </c>
      <c r="G1566" s="113"/>
      <c r="H1566" s="117"/>
      <c r="L1566" s="1" t="s">
        <v>233</v>
      </c>
      <c r="M1566" s="29" t="s">
        <v>215</v>
      </c>
      <c r="N1566" s="228" t="s">
        <v>239</v>
      </c>
    </row>
    <row r="1567" spans="1:14" ht="15" customHeight="1" x14ac:dyDescent="0.25">
      <c r="B1567" s="119" t="str">
        <f xml:space="preserve"> ( StartYear + 2 ) &amp; " Surplus Applied to " &amp; ( StartYear + 1 )</f>
        <v>2019 Surplus Applied to 2018</v>
      </c>
      <c r="C1567" s="52"/>
      <c r="D1567" s="114"/>
      <c r="E1567" s="51">
        <v>0</v>
      </c>
      <c r="F1567" s="9">
        <v>0</v>
      </c>
      <c r="G1567" s="113"/>
      <c r="H1567" s="117"/>
      <c r="L1567" s="1" t="s">
        <v>233</v>
      </c>
      <c r="M1567" s="29" t="s">
        <v>215</v>
      </c>
      <c r="N1567" s="228" t="s">
        <v>240</v>
      </c>
    </row>
    <row r="1568" spans="1:14" ht="15" customHeight="1" x14ac:dyDescent="0.25">
      <c r="B1568" s="165" t="str">
        <f xml:space="preserve"> ( StartYear + 2 ) &amp; " Surplus Applied to " &amp; ( StartYear + 3 )</f>
        <v>2019 Surplus Applied to 2020</v>
      </c>
      <c r="C1568" s="29"/>
      <c r="D1568" s="114"/>
      <c r="E1568" s="113"/>
      <c r="F1568" s="9">
        <v>0</v>
      </c>
      <c r="G1568" s="51">
        <f>F1568</f>
        <v>0</v>
      </c>
      <c r="H1568" s="117"/>
      <c r="L1568" s="1" t="s">
        <v>233</v>
      </c>
      <c r="M1568" s="29" t="s">
        <v>215</v>
      </c>
      <c r="N1568" s="228" t="s">
        <v>241</v>
      </c>
    </row>
    <row r="1569" spans="1:14" ht="15" customHeight="1" x14ac:dyDescent="0.25">
      <c r="B1569" s="165" t="str">
        <f xml:space="preserve"> ( StartYear + 3 ) &amp; " Surplus Applied to " &amp; ( StartYear + 2 )</f>
        <v>2020 Surplus Applied to 2019</v>
      </c>
      <c r="C1569" s="29"/>
      <c r="D1569" s="114"/>
      <c r="E1569" s="113"/>
      <c r="F1569" s="51">
        <v>0</v>
      </c>
      <c r="G1569" s="9">
        <v>0</v>
      </c>
      <c r="H1569" s="117"/>
      <c r="L1569" s="1" t="s">
        <v>233</v>
      </c>
      <c r="M1569" s="29" t="s">
        <v>215</v>
      </c>
      <c r="N1569" s="228" t="s">
        <v>242</v>
      </c>
    </row>
    <row r="1570" spans="1:14" ht="15" customHeight="1" x14ac:dyDescent="0.25">
      <c r="B1570" s="165" t="str">
        <f xml:space="preserve"> ( StartYear + 3 ) &amp; " Surplus Applied to " &amp; ( StartYear + 4 )</f>
        <v>2020 Surplus Applied to 2021</v>
      </c>
      <c r="C1570" s="29"/>
      <c r="D1570" s="114"/>
      <c r="E1570" s="113"/>
      <c r="F1570" s="113"/>
      <c r="G1570" s="9">
        <v>0</v>
      </c>
      <c r="H1570" s="46">
        <f>G1570</f>
        <v>0</v>
      </c>
      <c r="L1570" s="1" t="s">
        <v>233</v>
      </c>
      <c r="M1570" s="29" t="s">
        <v>215</v>
      </c>
      <c r="N1570" s="228" t="s">
        <v>243</v>
      </c>
    </row>
    <row r="1571" spans="1:14" ht="15" customHeight="1" x14ac:dyDescent="0.25">
      <c r="B1571" s="165" t="str">
        <f xml:space="preserve"> ( StartYear + 4 ) &amp; " Surplus Applied to " &amp; ( StartYear + 3 )</f>
        <v>2021 Surplus Applied to 2020</v>
      </c>
      <c r="C1571" s="29"/>
      <c r="D1571" s="115"/>
      <c r="E1571" s="116"/>
      <c r="F1571" s="116"/>
      <c r="G1571" s="47">
        <v>0</v>
      </c>
      <c r="H1571" s="41">
        <v>0</v>
      </c>
      <c r="L1571" s="1" t="s">
        <v>233</v>
      </c>
      <c r="M1571" s="29" t="s">
        <v>215</v>
      </c>
      <c r="N1571" s="228" t="s">
        <v>244</v>
      </c>
    </row>
    <row r="1572" spans="1:14" ht="15" customHeight="1" x14ac:dyDescent="0.25">
      <c r="B1572" s="32" t="s">
        <v>17</v>
      </c>
      <c r="D1572" s="6">
        <f>D1562-D1563+D1565-D1564</f>
        <v>0</v>
      </c>
      <c r="E1572" s="6">
        <f>E1564+E1567-E1565-E1566</f>
        <v>0</v>
      </c>
      <c r="F1572" s="6">
        <f>F1566+F1569-F1567-F1568</f>
        <v>0</v>
      </c>
      <c r="G1572" s="6">
        <f>G1568+G1571-G1569-G1570</f>
        <v>0</v>
      </c>
      <c r="H1572" s="6">
        <f>H1570 - H1571</f>
        <v>0</v>
      </c>
      <c r="L1572" s="1" t="s">
        <v>233</v>
      </c>
      <c r="M1572" s="29" t="s">
        <v>215</v>
      </c>
      <c r="N1572" s="228" t="s">
        <v>17</v>
      </c>
    </row>
    <row r="1573" spans="1:14" ht="15" customHeight="1" x14ac:dyDescent="0.25">
      <c r="B1573" s="5"/>
      <c r="D1573" s="6"/>
      <c r="E1573" s="6"/>
      <c r="F1573" s="6"/>
      <c r="G1573" s="6"/>
      <c r="H1573" s="6"/>
      <c r="L1573" s="1" t="s">
        <v>233</v>
      </c>
      <c r="M1573" s="29" t="s">
        <v>215</v>
      </c>
    </row>
    <row r="1574" spans="1:14" ht="15" customHeight="1" x14ac:dyDescent="0.25">
      <c r="B1574" s="54" t="s">
        <v>12</v>
      </c>
      <c r="C1574" s="52"/>
      <c r="D1574" s="75">
        <v>0</v>
      </c>
      <c r="E1574" s="111">
        <v>0</v>
      </c>
      <c r="F1574" s="111">
        <v>0</v>
      </c>
      <c r="G1574" s="111">
        <v>0</v>
      </c>
      <c r="H1574" s="76">
        <v>0</v>
      </c>
      <c r="L1574" s="1" t="s">
        <v>233</v>
      </c>
      <c r="M1574" s="29" t="s">
        <v>215</v>
      </c>
      <c r="N1574" s="228" t="s">
        <v>12</v>
      </c>
    </row>
    <row r="1575" spans="1:14" ht="15" customHeight="1" x14ac:dyDescent="0.25">
      <c r="B1575" s="5"/>
      <c r="D1575" s="6"/>
      <c r="E1575" s="6"/>
      <c r="F1575" s="6"/>
      <c r="G1575" s="6"/>
      <c r="H1575" s="6"/>
      <c r="L1575" s="1" t="s">
        <v>233</v>
      </c>
      <c r="M1575" s="29" t="s">
        <v>215</v>
      </c>
    </row>
    <row r="1576" spans="1:14" ht="18.75" customHeight="1" x14ac:dyDescent="0.3">
      <c r="A1576" s="38" t="s">
        <v>26</v>
      </c>
      <c r="C1576" s="52">
        <f>A1542</f>
        <v>40</v>
      </c>
      <c r="D1576" s="112">
        <f ca="1" xml:space="preserve"> D1548 + D1553 - D1559 + D1572 + D1574</f>
        <v>0</v>
      </c>
      <c r="E1576" s="112">
        <f ca="1" xml:space="preserve"> E1548 + E1553 - E1559 + E1572 + E1574</f>
        <v>0</v>
      </c>
      <c r="F1576" s="112">
        <f ca="1" xml:space="preserve"> F1548 + F1553 - F1559 + F1572 + F1574</f>
        <v>0</v>
      </c>
      <c r="G1576" s="112">
        <f ca="1" xml:space="preserve"> G1548 + G1553 - G1559 + G1572 + G1574</f>
        <v>30000</v>
      </c>
      <c r="H1576" s="174">
        <f ca="1" xml:space="preserve"> H1548 + H1553 - H1559 + H1572 + H1574</f>
        <v>0</v>
      </c>
      <c r="L1576" s="1" t="s">
        <v>233</v>
      </c>
      <c r="M1576" s="29" t="s">
        <v>215</v>
      </c>
      <c r="N1576" s="228" t="s">
        <v>26</v>
      </c>
    </row>
    <row r="1577" spans="1:14" ht="15" customHeight="1" x14ac:dyDescent="0.25">
      <c r="C1577" s="108" t="s">
        <v>158</v>
      </c>
      <c r="D1577" s="6"/>
      <c r="E1577" s="28"/>
      <c r="F1577" s="28"/>
      <c r="G1577" s="28"/>
      <c r="H1577" s="28"/>
      <c r="L1577" s="1" t="s">
        <v>233</v>
      </c>
      <c r="M1577" s="29" t="s">
        <v>215</v>
      </c>
      <c r="N1577" s="228" t="s">
        <v>158</v>
      </c>
    </row>
    <row r="1578" spans="1:14" ht="15" customHeight="1" x14ac:dyDescent="0.25">
      <c r="C1578" s="125"/>
      <c r="D1578" s="29"/>
      <c r="E1578" s="29"/>
      <c r="F1578" s="29"/>
      <c r="G1578" s="29"/>
      <c r="H1578" s="29"/>
      <c r="L1578" s="1" t="s">
        <v>233</v>
      </c>
      <c r="M1578" s="29" t="s">
        <v>215</v>
      </c>
    </row>
    <row r="1579" spans="1:14" ht="15" customHeight="1" x14ac:dyDescent="0.25">
      <c r="A1579" s="29"/>
      <c r="B1579" s="29"/>
      <c r="C1579" s="29"/>
      <c r="D1579" s="29"/>
      <c r="E1579" s="29"/>
      <c r="F1579" s="29"/>
      <c r="G1579" s="29"/>
      <c r="H1579" s="29"/>
      <c r="L1579" s="1" t="s">
        <v>233</v>
      </c>
      <c r="M1579" s="29" t="s">
        <v>215</v>
      </c>
    </row>
    <row r="1580" spans="1:14" ht="21" customHeight="1" x14ac:dyDescent="0.35">
      <c r="A1580" s="12">
        <f>MAX(A$1:A1579)+1</f>
        <v>41</v>
      </c>
      <c r="B1580" s="12"/>
      <c r="C1580" s="214" t="str">
        <f ca="1">OFFSET($B$4,A1580-1,0)</f>
        <v>Thousand Springs Wind Park, LLC - Thousand Springs Wind Park</v>
      </c>
      <c r="D1580" s="215"/>
      <c r="E1580" s="216"/>
      <c r="F1580" s="216"/>
      <c r="G1580" s="217"/>
      <c r="H1580" s="218"/>
      <c r="L1580" s="1" t="s">
        <v>233</v>
      </c>
      <c r="M1580" s="29" t="s">
        <v>199</v>
      </c>
      <c r="N1580" s="228">
        <v>43</v>
      </c>
    </row>
    <row r="1581" spans="1:14" ht="15" customHeight="1" x14ac:dyDescent="0.25">
      <c r="C1581" s="1" t="str">
        <f ca="1">VLOOKUP(C1580,Facilities,3,FALSE)</f>
        <v>REC only</v>
      </c>
      <c r="L1581" s="1" t="s">
        <v>233</v>
      </c>
      <c r="M1581" s="29" t="s">
        <v>199</v>
      </c>
      <c r="N1581" s="228" t="s">
        <v>181</v>
      </c>
    </row>
    <row r="1582" spans="1:14" ht="18.75" customHeight="1" x14ac:dyDescent="0.3">
      <c r="A1582" s="8" t="s">
        <v>21</v>
      </c>
      <c r="B1582" s="8"/>
      <c r="D1582" s="118">
        <f>StartYear</f>
        <v>2017</v>
      </c>
      <c r="E1582" s="2">
        <f>D1582+1</f>
        <v>2018</v>
      </c>
      <c r="F1582" s="2">
        <f>E1582+1</f>
        <v>2019</v>
      </c>
      <c r="G1582" s="2">
        <f>F1582+1</f>
        <v>2020</v>
      </c>
      <c r="H1582" s="2">
        <f>G1582+1</f>
        <v>2021</v>
      </c>
      <c r="L1582" s="1" t="s">
        <v>233</v>
      </c>
      <c r="M1582" s="29" t="s">
        <v>199</v>
      </c>
      <c r="N1582" s="228" t="s">
        <v>21</v>
      </c>
    </row>
    <row r="1583" spans="1:14" ht="15" customHeight="1" x14ac:dyDescent="0.25">
      <c r="B1583" s="119" t="str">
        <f ca="1">IF(C1619&lt;&gt;"REC only","Total MWh ","")&amp;IF(C1581="PSE owned","Produced","Purchased")&amp;" from "&amp;C1580</f>
        <v>Purchased from Thousand Springs Wind Park, LLC - Thousand Springs Wind Park</v>
      </c>
      <c r="C1583" s="52"/>
      <c r="D1583" s="3"/>
      <c r="E1583" s="3"/>
      <c r="F1583" s="3">
        <v>8681</v>
      </c>
      <c r="G1583" s="3"/>
      <c r="H1583" s="4"/>
      <c r="L1583" s="1" t="s">
        <v>233</v>
      </c>
      <c r="M1583" s="29" t="s">
        <v>199</v>
      </c>
      <c r="N1583" s="228" t="s">
        <v>284</v>
      </c>
    </row>
    <row r="1584" spans="1:14" ht="15" customHeight="1" x14ac:dyDescent="0.25">
      <c r="B1584" s="57" t="s">
        <v>25</v>
      </c>
      <c r="C1584" s="52"/>
      <c r="D1584" s="132"/>
      <c r="E1584" s="132"/>
      <c r="F1584" s="132">
        <v>1</v>
      </c>
      <c r="G1584" s="132"/>
      <c r="H1584" s="133"/>
      <c r="L1584" s="1" t="s">
        <v>233</v>
      </c>
      <c r="M1584" s="29" t="s">
        <v>199</v>
      </c>
      <c r="N1584" s="228" t="s">
        <v>25</v>
      </c>
    </row>
    <row r="1585" spans="1:14" ht="15" customHeight="1" x14ac:dyDescent="0.25">
      <c r="B1585" s="57" t="s">
        <v>20</v>
      </c>
      <c r="C1585" s="52"/>
      <c r="D1585" s="42"/>
      <c r="E1585" s="42"/>
      <c r="F1585" s="42">
        <v>1</v>
      </c>
      <c r="G1585" s="42"/>
      <c r="H1585" s="43"/>
      <c r="L1585" s="1" t="s">
        <v>233</v>
      </c>
      <c r="M1585" s="29" t="s">
        <v>199</v>
      </c>
      <c r="N1585" s="228" t="s">
        <v>20</v>
      </c>
    </row>
    <row r="1586" spans="1:14" ht="15" customHeight="1" x14ac:dyDescent="0.25">
      <c r="B1586" s="54" t="s">
        <v>22</v>
      </c>
      <c r="C1586" s="55"/>
      <c r="D1586" s="131">
        <f xml:space="preserve"> D1583 * D1584 * D1585</f>
        <v>0</v>
      </c>
      <c r="E1586" s="131">
        <f xml:space="preserve"> E1583 * E1584 * E1585</f>
        <v>0</v>
      </c>
      <c r="F1586" s="131">
        <f xml:space="preserve"> ROUNDDOWN(F1583 * F1584 * F1585,0)</f>
        <v>8681</v>
      </c>
      <c r="G1586" s="131">
        <f xml:space="preserve"> ROUNDDOWN(G1583 * G1584 * G1585,0)</f>
        <v>0</v>
      </c>
      <c r="H1586" s="131">
        <f xml:space="preserve"> ROUNDDOWN(H1583 * H1584 * H1585,0)</f>
        <v>0</v>
      </c>
      <c r="L1586" s="1" t="s">
        <v>233</v>
      </c>
      <c r="M1586" s="29" t="s">
        <v>199</v>
      </c>
      <c r="N1586" s="228" t="s">
        <v>22</v>
      </c>
    </row>
    <row r="1587" spans="1:14" ht="15" customHeight="1" x14ac:dyDescent="0.25">
      <c r="B1587" s="22"/>
      <c r="C1587" s="29"/>
      <c r="D1587" s="36"/>
      <c r="E1587" s="36"/>
      <c r="F1587" s="36"/>
      <c r="G1587" s="167"/>
      <c r="H1587" s="36"/>
      <c r="L1587" s="1" t="s">
        <v>233</v>
      </c>
      <c r="M1587" s="29" t="s">
        <v>199</v>
      </c>
    </row>
    <row r="1588" spans="1:14" ht="18.75" customHeight="1" x14ac:dyDescent="0.3">
      <c r="A1588" s="39" t="s">
        <v>119</v>
      </c>
      <c r="C1588" s="29"/>
      <c r="D1588" s="2">
        <f>StartYear</f>
        <v>2017</v>
      </c>
      <c r="E1588" s="2">
        <f>D1588+1</f>
        <v>2018</v>
      </c>
      <c r="F1588" s="2">
        <f>E1588+1</f>
        <v>2019</v>
      </c>
      <c r="G1588" s="2">
        <f>F1588+1</f>
        <v>2020</v>
      </c>
      <c r="H1588" s="2">
        <f>G1588+1</f>
        <v>2021</v>
      </c>
      <c r="L1588" s="1" t="s">
        <v>233</v>
      </c>
      <c r="M1588" s="29" t="s">
        <v>199</v>
      </c>
      <c r="N1588" s="228" t="s">
        <v>119</v>
      </c>
    </row>
    <row r="1589" spans="1:14" x14ac:dyDescent="0.25">
      <c r="B1589" s="57" t="s">
        <v>10</v>
      </c>
      <c r="C1589" s="52"/>
      <c r="D1589" s="10">
        <f ca="1">IF(VLOOKUP($C1580,Facilities,5,FALSE)="Eligible", D1586*ApprenticeshipBonus, 0 )</f>
        <v>0</v>
      </c>
      <c r="E1589" s="109">
        <f ca="1">IF(VLOOKUP($C1580,Facilities,5,FALSE)="Eligible", E1586*ApprenticeshipBonus, 0 )</f>
        <v>0</v>
      </c>
      <c r="F1589" s="109">
        <f ca="1">IF(VLOOKUP($C1580,Facilities,5,FALSE)="Eligible", F1586*ApprenticeshipBonus, 0 )</f>
        <v>0</v>
      </c>
      <c r="G1589" s="109">
        <f ca="1">IF(VLOOKUP($C1580,Facilities,5,FALSE)="Eligible", G1586*ApprenticeshipBonus, 0 )</f>
        <v>0</v>
      </c>
      <c r="H1589" s="11">
        <f ca="1">IF(VLOOKUP($C1580,Facilities,5,FALSE)="Eligible", H1586*ApprenticeshipBonus, 0 )</f>
        <v>0</v>
      </c>
      <c r="L1589" s="1" t="s">
        <v>233</v>
      </c>
      <c r="M1589" s="29" t="s">
        <v>199</v>
      </c>
      <c r="N1589" s="228" t="s">
        <v>10</v>
      </c>
    </row>
    <row r="1590" spans="1:14" ht="15" customHeight="1" x14ac:dyDescent="0.25">
      <c r="B1590" s="57" t="s">
        <v>6</v>
      </c>
      <c r="C1590" s="52"/>
      <c r="D1590" s="44">
        <f ca="1">IF(VLOOKUP($C1580,Facilities,6,FALSE)="Eligible", D1586, 0 )</f>
        <v>0</v>
      </c>
      <c r="E1590" s="110">
        <f ca="1">IF(VLOOKUP($C1580,Facilities,6,FALSE)="Eligible", E1586, 0 )</f>
        <v>0</v>
      </c>
      <c r="F1590" s="110">
        <f ca="1">IF(VLOOKUP($C1580,Facilities,6,FALSE)="Eligible", F1586, 0 )</f>
        <v>0</v>
      </c>
      <c r="G1590" s="110">
        <f ca="1">IF(VLOOKUP($C1580,Facilities,6,FALSE)="Eligible", G1586, 0 )</f>
        <v>0</v>
      </c>
      <c r="H1590" s="45">
        <f ca="1">IF(VLOOKUP($C1580,Facilities,6,FALSE)="Eligible", H1586, 0 )</f>
        <v>0</v>
      </c>
      <c r="L1590" s="1" t="s">
        <v>233</v>
      </c>
      <c r="M1590" s="29" t="s">
        <v>199</v>
      </c>
      <c r="N1590" s="228" t="s">
        <v>6</v>
      </c>
    </row>
    <row r="1591" spans="1:14" ht="15" customHeight="1" x14ac:dyDescent="0.25">
      <c r="B1591" s="56" t="s">
        <v>121</v>
      </c>
      <c r="C1591" s="55"/>
      <c r="D1591" s="37">
        <f ca="1">SUM(D1589:D1590)</f>
        <v>0</v>
      </c>
      <c r="E1591" s="37">
        <f ca="1">SUM(E1589:E1590)</f>
        <v>0</v>
      </c>
      <c r="F1591" s="37">
        <f ca="1">SUM(F1589:F1590)</f>
        <v>0</v>
      </c>
      <c r="G1591" s="37">
        <f ca="1">SUM(G1589:G1590)</f>
        <v>0</v>
      </c>
      <c r="H1591" s="37">
        <f ca="1">SUM(H1589:H1590)</f>
        <v>0</v>
      </c>
      <c r="L1591" s="1" t="s">
        <v>233</v>
      </c>
      <c r="M1591" s="29" t="s">
        <v>199</v>
      </c>
      <c r="N1591" s="228" t="s">
        <v>121</v>
      </c>
    </row>
    <row r="1592" spans="1:14" ht="15" customHeight="1" x14ac:dyDescent="0.25">
      <c r="B1592" s="29"/>
      <c r="C1592" s="29"/>
      <c r="D1592" s="30"/>
      <c r="E1592" s="30"/>
      <c r="F1592" s="30"/>
      <c r="G1592" s="169"/>
      <c r="H1592" s="30"/>
      <c r="L1592" s="1" t="s">
        <v>233</v>
      </c>
      <c r="M1592" s="29" t="s">
        <v>199</v>
      </c>
    </row>
    <row r="1593" spans="1:14" ht="18.75" customHeight="1" x14ac:dyDescent="0.3">
      <c r="A1593" s="38" t="s">
        <v>30</v>
      </c>
      <c r="C1593" s="29"/>
      <c r="D1593" s="2">
        <f>StartYear</f>
        <v>2017</v>
      </c>
      <c r="E1593" s="2">
        <f>D1593+1</f>
        <v>2018</v>
      </c>
      <c r="F1593" s="2">
        <f>E1593+1</f>
        <v>2019</v>
      </c>
      <c r="G1593" s="2">
        <f>F1593+1</f>
        <v>2020</v>
      </c>
      <c r="H1593" s="2">
        <f>G1593+1</f>
        <v>2021</v>
      </c>
      <c r="L1593" s="1" t="s">
        <v>233</v>
      </c>
      <c r="M1593" s="29" t="s">
        <v>199</v>
      </c>
      <c r="N1593" s="228" t="s">
        <v>30</v>
      </c>
    </row>
    <row r="1594" spans="1:14" ht="15" customHeight="1" x14ac:dyDescent="0.25">
      <c r="B1594" s="57" t="s">
        <v>47</v>
      </c>
      <c r="C1594" s="52"/>
      <c r="D1594" s="3"/>
      <c r="E1594" s="3"/>
      <c r="F1594" s="3"/>
      <c r="G1594" s="3"/>
      <c r="H1594" s="4"/>
      <c r="L1594" s="1" t="s">
        <v>233</v>
      </c>
      <c r="M1594" s="29" t="s">
        <v>199</v>
      </c>
      <c r="N1594" s="228" t="s">
        <v>47</v>
      </c>
    </row>
    <row r="1595" spans="1:14" ht="15" customHeight="1" x14ac:dyDescent="0.25">
      <c r="B1595" s="58" t="s">
        <v>23</v>
      </c>
      <c r="C1595" s="59"/>
      <c r="D1595" s="137"/>
      <c r="E1595" s="137"/>
      <c r="F1595" s="137"/>
      <c r="G1595" s="137"/>
      <c r="H1595" s="138"/>
      <c r="L1595" s="1" t="s">
        <v>233</v>
      </c>
      <c r="M1595" s="29" t="s">
        <v>199</v>
      </c>
      <c r="N1595" s="228" t="s">
        <v>23</v>
      </c>
    </row>
    <row r="1596" spans="1:14" ht="15" customHeight="1" x14ac:dyDescent="0.25">
      <c r="B1596" s="68" t="s">
        <v>89</v>
      </c>
      <c r="C1596" s="67"/>
      <c r="D1596" s="191"/>
      <c r="E1596" s="139"/>
      <c r="F1596" s="139"/>
      <c r="G1596" s="139"/>
      <c r="H1596" s="140"/>
      <c r="L1596" s="1" t="s">
        <v>233</v>
      </c>
      <c r="M1596" s="29" t="s">
        <v>199</v>
      </c>
      <c r="N1596" s="228" t="s">
        <v>89</v>
      </c>
    </row>
    <row r="1597" spans="1:14" ht="15" customHeight="1" x14ac:dyDescent="0.25">
      <c r="B1597" s="32" t="s">
        <v>90</v>
      </c>
      <c r="D1597" s="6">
        <f>SUM(D1594:D1596)</f>
        <v>0</v>
      </c>
      <c r="E1597" s="6">
        <f>SUM(E1594:E1596)</f>
        <v>0</v>
      </c>
      <c r="F1597" s="6">
        <f>SUM(F1594:F1596)</f>
        <v>0</v>
      </c>
      <c r="G1597" s="6">
        <f>SUM(G1594:G1596)</f>
        <v>0</v>
      </c>
      <c r="H1597" s="6">
        <f>SUM(H1594:H1596)</f>
        <v>0</v>
      </c>
      <c r="L1597" s="1" t="s">
        <v>233</v>
      </c>
      <c r="M1597" s="29" t="s">
        <v>199</v>
      </c>
      <c r="N1597" s="228" t="s">
        <v>90</v>
      </c>
    </row>
    <row r="1598" spans="1:14" ht="15" customHeight="1" x14ac:dyDescent="0.25">
      <c r="B1598" s="5"/>
      <c r="D1598" s="6"/>
      <c r="E1598" s="6"/>
      <c r="F1598" s="6"/>
      <c r="G1598" s="167"/>
      <c r="H1598" s="6"/>
      <c r="L1598" s="1" t="s">
        <v>233</v>
      </c>
      <c r="M1598" s="29" t="s">
        <v>199</v>
      </c>
    </row>
    <row r="1599" spans="1:14" ht="18.75" customHeight="1" x14ac:dyDescent="0.3">
      <c r="A1599" s="8" t="s">
        <v>100</v>
      </c>
      <c r="D1599" s="2">
        <f>StartYear</f>
        <v>2017</v>
      </c>
      <c r="E1599" s="2">
        <f>D1599+1</f>
        <v>2018</v>
      </c>
      <c r="F1599" s="2">
        <f>E1599+1</f>
        <v>2019</v>
      </c>
      <c r="G1599" s="2">
        <f>F1599+1</f>
        <v>2020</v>
      </c>
      <c r="H1599" s="2">
        <f>G1599+1</f>
        <v>2021</v>
      </c>
      <c r="L1599" s="1" t="s">
        <v>233</v>
      </c>
      <c r="M1599" s="29" t="s">
        <v>199</v>
      </c>
      <c r="N1599" s="228" t="s">
        <v>100</v>
      </c>
    </row>
    <row r="1600" spans="1:14" ht="15" customHeight="1" x14ac:dyDescent="0.25">
      <c r="B1600" s="57" t="str">
        <f>(StartYear-1) &amp; " Surplus Applied to " &amp; StartYear</f>
        <v>2016 Surplus Applied to 2017</v>
      </c>
      <c r="C1600" s="29"/>
      <c r="D1600" s="186">
        <v>0</v>
      </c>
      <c r="E1600" s="187"/>
      <c r="F1600" s="187"/>
      <c r="G1600" s="187"/>
      <c r="H1600" s="188"/>
      <c r="L1600" s="1" t="s">
        <v>233</v>
      </c>
      <c r="M1600" s="29" t="s">
        <v>199</v>
      </c>
      <c r="N1600" s="228" t="s">
        <v>235</v>
      </c>
    </row>
    <row r="1601" spans="1:14" ht="15" customHeight="1" x14ac:dyDescent="0.25">
      <c r="B1601" s="57" t="str">
        <f>StartYear &amp; " Surplus Applied to " &amp; (StartYear-1)</f>
        <v>2017 Surplus Applied to 2016</v>
      </c>
      <c r="C1601" s="29"/>
      <c r="D1601" s="189">
        <v>0</v>
      </c>
      <c r="E1601" s="113"/>
      <c r="F1601" s="113"/>
      <c r="G1601" s="113"/>
      <c r="H1601" s="117"/>
      <c r="L1601" s="1" t="s">
        <v>233</v>
      </c>
      <c r="M1601" s="29" t="s">
        <v>199</v>
      </c>
      <c r="N1601" s="228" t="s">
        <v>236</v>
      </c>
    </row>
    <row r="1602" spans="1:14" ht="15" customHeight="1" x14ac:dyDescent="0.25">
      <c r="B1602" s="57" t="str">
        <f>( StartYear) &amp; " Surplus Applied to " &amp; ( StartYear + 1 )</f>
        <v>2017 Surplus Applied to 2018</v>
      </c>
      <c r="C1602" s="29"/>
      <c r="D1602" s="184">
        <f ca="1">D1586+D1591-D1597</f>
        <v>0</v>
      </c>
      <c r="E1602" s="185">
        <f ca="1">D1602</f>
        <v>0</v>
      </c>
      <c r="F1602" s="181"/>
      <c r="G1602" s="181"/>
      <c r="H1602" s="182"/>
      <c r="L1602" s="1" t="s">
        <v>233</v>
      </c>
      <c r="M1602" s="29" t="s">
        <v>199</v>
      </c>
      <c r="N1602" s="228" t="s">
        <v>237</v>
      </c>
    </row>
    <row r="1603" spans="1:14" ht="15" customHeight="1" x14ac:dyDescent="0.25">
      <c r="B1603" s="57" t="str">
        <f xml:space="preserve"> ( StartYear + 1 ) &amp; " Surplus Applied to " &amp; ( StartYear )</f>
        <v>2018 Surplus Applied to 2017</v>
      </c>
      <c r="C1603" s="52"/>
      <c r="D1603" s="134">
        <v>0</v>
      </c>
      <c r="E1603" s="9">
        <v>0</v>
      </c>
      <c r="F1603" s="113"/>
      <c r="G1603" s="113"/>
      <c r="H1603" s="117"/>
      <c r="L1603" s="1" t="s">
        <v>233</v>
      </c>
      <c r="M1603" s="29" t="s">
        <v>199</v>
      </c>
      <c r="N1603" s="228" t="s">
        <v>238</v>
      </c>
    </row>
    <row r="1604" spans="1:14" ht="15" customHeight="1" x14ac:dyDescent="0.25">
      <c r="B1604" s="119" t="str">
        <f xml:space="preserve"> ( StartYear + 1 ) &amp; " Surplus Applied to " &amp; ( StartYear + 2 )</f>
        <v>2018 Surplus Applied to 2019</v>
      </c>
      <c r="C1604" s="52"/>
      <c r="D1604" s="114"/>
      <c r="E1604" s="9">
        <v>0</v>
      </c>
      <c r="F1604" s="51">
        <f>E1604</f>
        <v>0</v>
      </c>
      <c r="G1604" s="113"/>
      <c r="H1604" s="117"/>
      <c r="L1604" s="1" t="s">
        <v>233</v>
      </c>
      <c r="M1604" s="29" t="s">
        <v>199</v>
      </c>
      <c r="N1604" s="228" t="s">
        <v>239</v>
      </c>
    </row>
    <row r="1605" spans="1:14" ht="15" customHeight="1" x14ac:dyDescent="0.25">
      <c r="B1605" s="119" t="str">
        <f xml:space="preserve"> ( StartYear + 2 ) &amp; " Surplus Applied to " &amp; ( StartYear + 1 )</f>
        <v>2019 Surplus Applied to 2018</v>
      </c>
      <c r="C1605" s="52"/>
      <c r="D1605" s="114"/>
      <c r="E1605" s="51">
        <v>0</v>
      </c>
      <c r="F1605" s="9">
        <v>0</v>
      </c>
      <c r="G1605" s="113"/>
      <c r="H1605" s="117"/>
      <c r="L1605" s="1" t="s">
        <v>233</v>
      </c>
      <c r="M1605" s="29" t="s">
        <v>199</v>
      </c>
      <c r="N1605" s="228" t="s">
        <v>240</v>
      </c>
    </row>
    <row r="1606" spans="1:14" ht="15" customHeight="1" x14ac:dyDescent="0.25">
      <c r="B1606" s="165" t="str">
        <f xml:space="preserve"> ( StartYear + 2 ) &amp; " Surplus Applied to " &amp; ( StartYear + 3 )</f>
        <v>2019 Surplus Applied to 2020</v>
      </c>
      <c r="C1606" s="29"/>
      <c r="D1606" s="114"/>
      <c r="E1606" s="113"/>
      <c r="F1606" s="9">
        <v>8681</v>
      </c>
      <c r="G1606" s="51">
        <f>F1606</f>
        <v>8681</v>
      </c>
      <c r="H1606" s="117"/>
      <c r="L1606" s="1" t="s">
        <v>233</v>
      </c>
      <c r="M1606" s="29" t="s">
        <v>199</v>
      </c>
      <c r="N1606" s="228" t="s">
        <v>241</v>
      </c>
    </row>
    <row r="1607" spans="1:14" ht="15" customHeight="1" x14ac:dyDescent="0.25">
      <c r="B1607" s="165" t="str">
        <f xml:space="preserve"> ( StartYear + 3 ) &amp; " Surplus Applied to " &amp; ( StartYear + 2 )</f>
        <v>2020 Surplus Applied to 2019</v>
      </c>
      <c r="C1607" s="29"/>
      <c r="D1607" s="114"/>
      <c r="E1607" s="113"/>
      <c r="F1607" s="51">
        <v>0</v>
      </c>
      <c r="G1607" s="9">
        <v>0</v>
      </c>
      <c r="H1607" s="117"/>
      <c r="L1607" s="1" t="s">
        <v>233</v>
      </c>
      <c r="M1607" s="29" t="s">
        <v>199</v>
      </c>
      <c r="N1607" s="228" t="s">
        <v>242</v>
      </c>
    </row>
    <row r="1608" spans="1:14" ht="15" customHeight="1" x14ac:dyDescent="0.25">
      <c r="B1608" s="165" t="str">
        <f xml:space="preserve"> ( StartYear + 3 ) &amp; " Surplus Applied to " &amp; ( StartYear + 4 )</f>
        <v>2020 Surplus Applied to 2021</v>
      </c>
      <c r="C1608" s="29"/>
      <c r="D1608" s="114"/>
      <c r="E1608" s="113"/>
      <c r="F1608" s="113"/>
      <c r="G1608" s="9">
        <f ca="1">G1586+G1591-G1597</f>
        <v>0</v>
      </c>
      <c r="H1608" s="46">
        <f ca="1">G1608</f>
        <v>0</v>
      </c>
      <c r="L1608" s="1" t="s">
        <v>233</v>
      </c>
      <c r="M1608" s="29" t="s">
        <v>199</v>
      </c>
      <c r="N1608" s="228" t="s">
        <v>243</v>
      </c>
    </row>
    <row r="1609" spans="1:14" ht="15" customHeight="1" x14ac:dyDescent="0.25">
      <c r="B1609" s="165" t="str">
        <f xml:space="preserve"> ( StartYear + 4 ) &amp; " Surplus Applied to " &amp; ( StartYear + 3 )</f>
        <v>2021 Surplus Applied to 2020</v>
      </c>
      <c r="C1609" s="29"/>
      <c r="D1609" s="115"/>
      <c r="E1609" s="116"/>
      <c r="F1609" s="116"/>
      <c r="G1609" s="47">
        <v>0</v>
      </c>
      <c r="H1609" s="41">
        <v>0</v>
      </c>
      <c r="L1609" s="1" t="s">
        <v>233</v>
      </c>
      <c r="M1609" s="29" t="s">
        <v>199</v>
      </c>
      <c r="N1609" s="228" t="s">
        <v>244</v>
      </c>
    </row>
    <row r="1610" spans="1:14" ht="15" customHeight="1" x14ac:dyDescent="0.25">
      <c r="B1610" s="32" t="s">
        <v>17</v>
      </c>
      <c r="D1610" s="6">
        <f ca="1">D1600-D1601+D1603-D1602</f>
        <v>0</v>
      </c>
      <c r="E1610" s="6">
        <f ca="1">E1602+E1605-E1603-E1604</f>
        <v>0</v>
      </c>
      <c r="F1610" s="6">
        <f>F1604+F1607-F1605-F1606</f>
        <v>-8681</v>
      </c>
      <c r="G1610" s="6">
        <f ca="1">G1606+G1609-G1607-G1608</f>
        <v>8681</v>
      </c>
      <c r="H1610" s="6">
        <f ca="1">H1608 - H1609</f>
        <v>0</v>
      </c>
      <c r="L1610" s="1" t="s">
        <v>233</v>
      </c>
      <c r="M1610" s="29" t="s">
        <v>199</v>
      </c>
      <c r="N1610" s="228" t="s">
        <v>17</v>
      </c>
    </row>
    <row r="1611" spans="1:14" ht="15" customHeight="1" x14ac:dyDescent="0.25">
      <c r="B1611" s="5"/>
      <c r="D1611" s="6"/>
      <c r="E1611" s="6"/>
      <c r="F1611" s="6"/>
      <c r="G1611" s="6"/>
      <c r="H1611" s="6"/>
      <c r="L1611" s="1" t="s">
        <v>233</v>
      </c>
      <c r="M1611" s="29" t="s">
        <v>199</v>
      </c>
    </row>
    <row r="1612" spans="1:14" ht="15" customHeight="1" x14ac:dyDescent="0.25">
      <c r="B1612" s="54" t="s">
        <v>12</v>
      </c>
      <c r="C1612" s="52"/>
      <c r="D1612" s="75"/>
      <c r="E1612" s="111"/>
      <c r="F1612" s="111"/>
      <c r="G1612" s="111"/>
      <c r="H1612" s="76"/>
      <c r="L1612" s="1" t="s">
        <v>233</v>
      </c>
      <c r="M1612" s="29" t="s">
        <v>199</v>
      </c>
      <c r="N1612" s="228" t="s">
        <v>12</v>
      </c>
    </row>
    <row r="1613" spans="1:14" ht="15" customHeight="1" x14ac:dyDescent="0.25">
      <c r="B1613" s="5"/>
      <c r="D1613" s="6"/>
      <c r="E1613" s="6"/>
      <c r="F1613" s="6"/>
      <c r="G1613" s="6"/>
      <c r="H1613" s="6"/>
      <c r="L1613" s="1" t="s">
        <v>233</v>
      </c>
      <c r="M1613" s="29" t="s">
        <v>199</v>
      </c>
    </row>
    <row r="1614" spans="1:14" ht="18.75" customHeight="1" x14ac:dyDescent="0.3">
      <c r="A1614" s="38" t="s">
        <v>26</v>
      </c>
      <c r="C1614" s="52">
        <f>A1580</f>
        <v>41</v>
      </c>
      <c r="D1614" s="112">
        <f ca="1" xml:space="preserve"> D1586 + D1591 - D1597 + D1610 + D1612</f>
        <v>0</v>
      </c>
      <c r="E1614" s="112">
        <f ca="1" xml:space="preserve"> E1586 + E1591 - E1597 + E1610 + E1612</f>
        <v>0</v>
      </c>
      <c r="F1614" s="112">
        <f ca="1" xml:space="preserve"> F1586 + F1591 - F1597 + F1610 + F1612</f>
        <v>0</v>
      </c>
      <c r="G1614" s="112">
        <f ca="1" xml:space="preserve"> G1586 + G1591 - G1597 + G1610 + G1612</f>
        <v>8681</v>
      </c>
      <c r="H1614" s="174">
        <f ca="1" xml:space="preserve"> H1586 + H1591 - H1597 + H1610 + H1612</f>
        <v>0</v>
      </c>
      <c r="L1614" s="1" t="s">
        <v>233</v>
      </c>
      <c r="M1614" s="29" t="s">
        <v>199</v>
      </c>
      <c r="N1614" s="228" t="s">
        <v>26</v>
      </c>
    </row>
    <row r="1615" spans="1:14" ht="15" customHeight="1" x14ac:dyDescent="0.25">
      <c r="B1615" s="5"/>
      <c r="C1615" s="108" t="s">
        <v>158</v>
      </c>
      <c r="D1615" s="6"/>
      <c r="E1615" s="6"/>
      <c r="F1615" s="28"/>
      <c r="G1615" s="28"/>
      <c r="H1615" s="28"/>
      <c r="L1615" s="1" t="s">
        <v>233</v>
      </c>
      <c r="M1615" s="29" t="s">
        <v>199</v>
      </c>
      <c r="N1615" s="228" t="s">
        <v>158</v>
      </c>
    </row>
    <row r="1616" spans="1:14" ht="15.75" customHeight="1" thickBot="1" x14ac:dyDescent="0.3">
      <c r="B1616" s="5"/>
      <c r="C1616" s="108"/>
      <c r="D1616" s="6"/>
      <c r="E1616" s="6"/>
      <c r="F1616" s="28"/>
      <c r="G1616" s="28"/>
      <c r="H1616" s="28"/>
      <c r="L1616" s="1" t="s">
        <v>233</v>
      </c>
      <c r="M1616" s="29" t="s">
        <v>199</v>
      </c>
    </row>
    <row r="1617" spans="1:14" ht="15" customHeight="1" x14ac:dyDescent="0.25">
      <c r="A1617" s="7"/>
      <c r="B1617" s="7"/>
      <c r="C1617" s="7"/>
      <c r="D1617" s="170"/>
      <c r="E1617" s="7"/>
      <c r="F1617" s="7"/>
      <c r="G1617" s="7"/>
      <c r="H1617" s="7"/>
      <c r="L1617" s="1" t="s">
        <v>233</v>
      </c>
      <c r="M1617" s="29" t="s">
        <v>199</v>
      </c>
    </row>
    <row r="1618" spans="1:14" ht="21" customHeight="1" x14ac:dyDescent="0.35">
      <c r="A1618" s="12">
        <f>MAX(A$1:A1617)+1</f>
        <v>42</v>
      </c>
      <c r="B1618" s="12"/>
      <c r="C1618" s="214" t="str">
        <f ca="1">OFFSET($B$4,A1618-1,0)</f>
        <v>Top of the World - Top of the World</v>
      </c>
      <c r="D1618" s="215"/>
      <c r="E1618" s="216"/>
      <c r="F1618" s="216"/>
      <c r="G1618" s="217"/>
      <c r="H1618" s="218"/>
      <c r="L1618" s="1" t="s">
        <v>233</v>
      </c>
      <c r="M1618" s="29" t="s">
        <v>216</v>
      </c>
      <c r="N1618" s="228">
        <v>44</v>
      </c>
    </row>
    <row r="1619" spans="1:14" ht="15" customHeight="1" x14ac:dyDescent="0.25">
      <c r="C1619" s="1" t="str">
        <f ca="1">VLOOKUP(C1618,Facilities,3,FALSE)</f>
        <v>REC only</v>
      </c>
      <c r="L1619" s="1" t="s">
        <v>233</v>
      </c>
      <c r="M1619" s="29" t="s">
        <v>216</v>
      </c>
      <c r="N1619" s="228" t="s">
        <v>181</v>
      </c>
    </row>
    <row r="1620" spans="1:14" ht="18.75" customHeight="1" x14ac:dyDescent="0.3">
      <c r="A1620" s="8" t="s">
        <v>21</v>
      </c>
      <c r="B1620" s="8"/>
      <c r="D1620" s="118">
        <f>StartYear</f>
        <v>2017</v>
      </c>
      <c r="E1620" s="2">
        <f>D1620+1</f>
        <v>2018</v>
      </c>
      <c r="F1620" s="2">
        <f>E1620+1</f>
        <v>2019</v>
      </c>
      <c r="G1620" s="2">
        <f>F1620+1</f>
        <v>2020</v>
      </c>
      <c r="H1620" s="2">
        <f>G1620+1</f>
        <v>2021</v>
      </c>
      <c r="L1620" s="1" t="s">
        <v>233</v>
      </c>
      <c r="M1620" s="29" t="s">
        <v>216</v>
      </c>
      <c r="N1620" s="228" t="s">
        <v>21</v>
      </c>
    </row>
    <row r="1621" spans="1:14" ht="15" customHeight="1" x14ac:dyDescent="0.25">
      <c r="B1621" s="119" t="str">
        <f ca="1">IF(C1657&lt;&gt;"REC only","Total MWh ","")&amp;IF(C1619="PSE owned","Produced","Purchased")&amp;" from "&amp;C1618</f>
        <v>Purchased from Top of the World - Top of the World</v>
      </c>
      <c r="C1621" s="52"/>
      <c r="D1621" s="3"/>
      <c r="E1621" s="3"/>
      <c r="F1621" s="3">
        <v>21727</v>
      </c>
      <c r="G1621" s="3"/>
      <c r="H1621" s="4"/>
      <c r="L1621" s="1" t="s">
        <v>233</v>
      </c>
      <c r="M1621" s="231" t="s">
        <v>216</v>
      </c>
      <c r="N1621" s="228" t="s">
        <v>285</v>
      </c>
    </row>
    <row r="1622" spans="1:14" ht="15" customHeight="1" x14ac:dyDescent="0.25">
      <c r="B1622" s="57" t="s">
        <v>25</v>
      </c>
      <c r="C1622" s="52"/>
      <c r="D1622" s="132"/>
      <c r="E1622" s="132"/>
      <c r="F1622" s="132">
        <v>1</v>
      </c>
      <c r="G1622" s="132"/>
      <c r="H1622" s="133"/>
      <c r="L1622" s="1" t="s">
        <v>233</v>
      </c>
      <c r="M1622" s="29" t="s">
        <v>216</v>
      </c>
      <c r="N1622" s="228" t="s">
        <v>25</v>
      </c>
    </row>
    <row r="1623" spans="1:14" ht="15" customHeight="1" x14ac:dyDescent="0.25">
      <c r="B1623" s="57" t="s">
        <v>20</v>
      </c>
      <c r="C1623" s="52"/>
      <c r="D1623" s="42"/>
      <c r="E1623" s="42"/>
      <c r="F1623" s="42">
        <v>1</v>
      </c>
      <c r="G1623" s="42"/>
      <c r="H1623" s="43"/>
      <c r="L1623" s="1" t="s">
        <v>233</v>
      </c>
      <c r="M1623" s="29" t="s">
        <v>216</v>
      </c>
      <c r="N1623" s="228" t="s">
        <v>20</v>
      </c>
    </row>
    <row r="1624" spans="1:14" ht="15" customHeight="1" x14ac:dyDescent="0.25">
      <c r="B1624" s="54" t="s">
        <v>22</v>
      </c>
      <c r="C1624" s="55"/>
      <c r="D1624" s="131">
        <f xml:space="preserve"> D1621 * D1622 * D1623</f>
        <v>0</v>
      </c>
      <c r="E1624" s="131">
        <f xml:space="preserve"> E1621 * E1622 * E1623</f>
        <v>0</v>
      </c>
      <c r="F1624" s="131">
        <f xml:space="preserve"> ROUNDDOWN(F1621 * F1622 * F1623,0)</f>
        <v>21727</v>
      </c>
      <c r="G1624" s="131">
        <f xml:space="preserve"> ROUNDDOWN(G1621 * G1622 * G1623,0)</f>
        <v>0</v>
      </c>
      <c r="H1624" s="131">
        <f xml:space="preserve"> ROUNDDOWN(H1621 * H1622 * H1623,0)</f>
        <v>0</v>
      </c>
      <c r="L1624" s="1" t="s">
        <v>233</v>
      </c>
      <c r="M1624" s="29" t="s">
        <v>216</v>
      </c>
      <c r="N1624" s="228" t="s">
        <v>22</v>
      </c>
    </row>
    <row r="1625" spans="1:14" ht="15" customHeight="1" x14ac:dyDescent="0.25">
      <c r="B1625" s="22"/>
      <c r="C1625" s="29"/>
      <c r="D1625" s="36"/>
      <c r="E1625" s="36"/>
      <c r="F1625" s="36"/>
      <c r="G1625" s="167"/>
      <c r="H1625" s="36"/>
      <c r="L1625" s="1" t="s">
        <v>233</v>
      </c>
      <c r="M1625" s="29" t="s">
        <v>216</v>
      </c>
    </row>
    <row r="1626" spans="1:14" ht="18.75" customHeight="1" x14ac:dyDescent="0.3">
      <c r="A1626" s="39" t="s">
        <v>119</v>
      </c>
      <c r="C1626" s="29"/>
      <c r="D1626" s="2">
        <f>StartYear</f>
        <v>2017</v>
      </c>
      <c r="E1626" s="2">
        <f>D1626+1</f>
        <v>2018</v>
      </c>
      <c r="F1626" s="2">
        <f>E1626+1</f>
        <v>2019</v>
      </c>
      <c r="G1626" s="2">
        <f>F1626+1</f>
        <v>2020</v>
      </c>
      <c r="H1626" s="2">
        <f>G1626+1</f>
        <v>2021</v>
      </c>
      <c r="L1626" s="1" t="s">
        <v>233</v>
      </c>
      <c r="M1626" s="29" t="s">
        <v>216</v>
      </c>
      <c r="N1626" s="228" t="s">
        <v>119</v>
      </c>
    </row>
    <row r="1627" spans="1:14" x14ac:dyDescent="0.25">
      <c r="B1627" s="57" t="s">
        <v>10</v>
      </c>
      <c r="C1627" s="52"/>
      <c r="D1627" s="10">
        <f ca="1">IF(VLOOKUP($C1618,Facilities,5,FALSE)="Eligible", D1624*ApprenticeshipBonus, 0 )</f>
        <v>0</v>
      </c>
      <c r="E1627" s="109">
        <f ca="1">IF(VLOOKUP($C1618,Facilities,5,FALSE)="Eligible", E1624*ApprenticeshipBonus, 0 )</f>
        <v>0</v>
      </c>
      <c r="F1627" s="109">
        <f ca="1">IF(VLOOKUP($C1618,Facilities,5,FALSE)="Eligible", F1624*ApprenticeshipBonus, 0 )</f>
        <v>0</v>
      </c>
      <c r="G1627" s="109">
        <f ca="1">IF(VLOOKUP($C1618,Facilities,5,FALSE)="Eligible", G1624*ApprenticeshipBonus, 0 )</f>
        <v>0</v>
      </c>
      <c r="H1627" s="11">
        <f ca="1">IF(VLOOKUP($C1618,Facilities,5,FALSE)="Eligible", H1624*ApprenticeshipBonus, 0 )</f>
        <v>0</v>
      </c>
      <c r="L1627" s="1" t="s">
        <v>233</v>
      </c>
      <c r="M1627" s="29" t="s">
        <v>216</v>
      </c>
      <c r="N1627" s="228" t="s">
        <v>10</v>
      </c>
    </row>
    <row r="1628" spans="1:14" ht="15" customHeight="1" x14ac:dyDescent="0.25">
      <c r="B1628" s="57" t="s">
        <v>6</v>
      </c>
      <c r="C1628" s="52"/>
      <c r="D1628" s="44">
        <f ca="1">IF(VLOOKUP($C1618,Facilities,6,FALSE)="Eligible", D1624, 0 )</f>
        <v>0</v>
      </c>
      <c r="E1628" s="110">
        <f ca="1">IF(VLOOKUP($C1618,Facilities,6,FALSE)="Eligible", E1624, 0 )</f>
        <v>0</v>
      </c>
      <c r="F1628" s="110">
        <f ca="1">IF(VLOOKUP($C1618,Facilities,6,FALSE)="Eligible", F1624, 0 )</f>
        <v>0</v>
      </c>
      <c r="G1628" s="110">
        <f ca="1">IF(VLOOKUP($C1618,Facilities,6,FALSE)="Eligible", G1624, 0 )</f>
        <v>0</v>
      </c>
      <c r="H1628" s="45">
        <f ca="1">IF(VLOOKUP($C1618,Facilities,6,FALSE)="Eligible", H1624, 0 )</f>
        <v>0</v>
      </c>
      <c r="L1628" s="1" t="s">
        <v>233</v>
      </c>
      <c r="M1628" s="29" t="s">
        <v>216</v>
      </c>
      <c r="N1628" s="228" t="s">
        <v>6</v>
      </c>
    </row>
    <row r="1629" spans="1:14" ht="15" customHeight="1" x14ac:dyDescent="0.25">
      <c r="B1629" s="56" t="s">
        <v>121</v>
      </c>
      <c r="C1629" s="55"/>
      <c r="D1629" s="37">
        <f ca="1">SUM(D1627:D1628)</f>
        <v>0</v>
      </c>
      <c r="E1629" s="37">
        <f ca="1">SUM(E1627:E1628)</f>
        <v>0</v>
      </c>
      <c r="F1629" s="37">
        <f ca="1">SUM(F1627:F1628)</f>
        <v>0</v>
      </c>
      <c r="G1629" s="37">
        <f ca="1">SUM(G1627:G1628)</f>
        <v>0</v>
      </c>
      <c r="H1629" s="37">
        <f ca="1">SUM(H1627:H1628)</f>
        <v>0</v>
      </c>
      <c r="L1629" s="1" t="s">
        <v>233</v>
      </c>
      <c r="M1629" s="29" t="s">
        <v>216</v>
      </c>
      <c r="N1629" s="228" t="s">
        <v>121</v>
      </c>
    </row>
    <row r="1630" spans="1:14" ht="15" customHeight="1" x14ac:dyDescent="0.25">
      <c r="B1630" s="29"/>
      <c r="C1630" s="29"/>
      <c r="D1630" s="30"/>
      <c r="E1630" s="30"/>
      <c r="F1630" s="30"/>
      <c r="G1630" s="169"/>
      <c r="H1630" s="30"/>
      <c r="L1630" s="1" t="s">
        <v>233</v>
      </c>
      <c r="M1630" s="29" t="s">
        <v>216</v>
      </c>
    </row>
    <row r="1631" spans="1:14" ht="18.75" customHeight="1" x14ac:dyDescent="0.3">
      <c r="A1631" s="38" t="s">
        <v>30</v>
      </c>
      <c r="C1631" s="29"/>
      <c r="D1631" s="2">
        <f>StartYear</f>
        <v>2017</v>
      </c>
      <c r="E1631" s="2">
        <f>D1631+1</f>
        <v>2018</v>
      </c>
      <c r="F1631" s="2">
        <f>E1631+1</f>
        <v>2019</v>
      </c>
      <c r="G1631" s="2">
        <f>F1631+1</f>
        <v>2020</v>
      </c>
      <c r="H1631" s="2">
        <f>G1631+1</f>
        <v>2021</v>
      </c>
      <c r="L1631" s="1" t="s">
        <v>233</v>
      </c>
      <c r="M1631" s="29" t="s">
        <v>216</v>
      </c>
      <c r="N1631" s="228" t="s">
        <v>30</v>
      </c>
    </row>
    <row r="1632" spans="1:14" ht="15" customHeight="1" x14ac:dyDescent="0.25">
      <c r="B1632" s="57" t="s">
        <v>47</v>
      </c>
      <c r="C1632" s="52"/>
      <c r="D1632" s="3"/>
      <c r="E1632" s="3"/>
      <c r="F1632" s="3"/>
      <c r="G1632" s="3"/>
      <c r="H1632" s="4"/>
      <c r="L1632" s="1" t="s">
        <v>233</v>
      </c>
      <c r="M1632" s="29" t="s">
        <v>216</v>
      </c>
      <c r="N1632" s="228" t="s">
        <v>47</v>
      </c>
    </row>
    <row r="1633" spans="1:14" ht="15" customHeight="1" x14ac:dyDescent="0.25">
      <c r="B1633" s="58" t="s">
        <v>23</v>
      </c>
      <c r="C1633" s="59"/>
      <c r="D1633" s="137"/>
      <c r="E1633" s="137"/>
      <c r="F1633" s="137"/>
      <c r="G1633" s="137"/>
      <c r="H1633" s="138"/>
      <c r="L1633" s="1" t="s">
        <v>233</v>
      </c>
      <c r="M1633" s="29" t="s">
        <v>216</v>
      </c>
      <c r="N1633" s="228" t="s">
        <v>23</v>
      </c>
    </row>
    <row r="1634" spans="1:14" ht="15" customHeight="1" x14ac:dyDescent="0.25">
      <c r="B1634" s="68" t="s">
        <v>89</v>
      </c>
      <c r="C1634" s="67"/>
      <c r="D1634" s="191"/>
      <c r="E1634" s="139"/>
      <c r="F1634" s="139"/>
      <c r="G1634" s="139"/>
      <c r="H1634" s="140"/>
      <c r="L1634" s="1" t="s">
        <v>233</v>
      </c>
      <c r="M1634" s="29" t="s">
        <v>216</v>
      </c>
      <c r="N1634" s="228" t="s">
        <v>89</v>
      </c>
    </row>
    <row r="1635" spans="1:14" ht="15" customHeight="1" x14ac:dyDescent="0.25">
      <c r="B1635" s="32" t="s">
        <v>90</v>
      </c>
      <c r="D1635" s="6">
        <f>SUM(D1632:D1634)</f>
        <v>0</v>
      </c>
      <c r="E1635" s="6">
        <f>SUM(E1632:E1634)</f>
        <v>0</v>
      </c>
      <c r="F1635" s="6">
        <f>SUM(F1632:F1634)</f>
        <v>0</v>
      </c>
      <c r="G1635" s="6">
        <f>SUM(G1632:G1634)</f>
        <v>0</v>
      </c>
      <c r="H1635" s="6">
        <f>SUM(H1632:H1634)</f>
        <v>0</v>
      </c>
      <c r="L1635" s="1" t="s">
        <v>233</v>
      </c>
      <c r="M1635" s="29" t="s">
        <v>216</v>
      </c>
      <c r="N1635" s="228" t="s">
        <v>90</v>
      </c>
    </row>
    <row r="1636" spans="1:14" ht="15" customHeight="1" x14ac:dyDescent="0.25">
      <c r="B1636" s="5"/>
      <c r="D1636" s="6"/>
      <c r="E1636" s="6"/>
      <c r="F1636" s="6"/>
      <c r="G1636" s="167"/>
      <c r="H1636" s="6"/>
      <c r="L1636" s="1" t="s">
        <v>233</v>
      </c>
      <c r="M1636" s="29" t="s">
        <v>216</v>
      </c>
    </row>
    <row r="1637" spans="1:14" ht="18.75" customHeight="1" x14ac:dyDescent="0.3">
      <c r="A1637" s="8" t="s">
        <v>100</v>
      </c>
      <c r="D1637" s="2">
        <f>StartYear</f>
        <v>2017</v>
      </c>
      <c r="E1637" s="2">
        <f>D1637+1</f>
        <v>2018</v>
      </c>
      <c r="F1637" s="2">
        <f>E1637+1</f>
        <v>2019</v>
      </c>
      <c r="G1637" s="2">
        <f>F1637+1</f>
        <v>2020</v>
      </c>
      <c r="H1637" s="2">
        <f>G1637+1</f>
        <v>2021</v>
      </c>
      <c r="L1637" s="1" t="s">
        <v>233</v>
      </c>
      <c r="M1637" s="29" t="s">
        <v>216</v>
      </c>
      <c r="N1637" s="228" t="s">
        <v>100</v>
      </c>
    </row>
    <row r="1638" spans="1:14" ht="15" customHeight="1" x14ac:dyDescent="0.25">
      <c r="B1638" s="57" t="str">
        <f>(StartYear-1) &amp; " Surplus Applied to " &amp; StartYear</f>
        <v>2016 Surplus Applied to 2017</v>
      </c>
      <c r="C1638" s="29"/>
      <c r="D1638" s="186">
        <v>0</v>
      </c>
      <c r="E1638" s="187"/>
      <c r="F1638" s="187"/>
      <c r="G1638" s="187"/>
      <c r="H1638" s="188"/>
      <c r="L1638" s="1" t="s">
        <v>233</v>
      </c>
      <c r="M1638" s="29" t="s">
        <v>216</v>
      </c>
      <c r="N1638" s="228" t="s">
        <v>235</v>
      </c>
    </row>
    <row r="1639" spans="1:14" ht="15" customHeight="1" x14ac:dyDescent="0.25">
      <c r="B1639" s="57" t="str">
        <f>StartYear &amp; " Surplus Applied to " &amp; (StartYear-1)</f>
        <v>2017 Surplus Applied to 2016</v>
      </c>
      <c r="C1639" s="29"/>
      <c r="D1639" s="189">
        <v>0</v>
      </c>
      <c r="E1639" s="113"/>
      <c r="F1639" s="113"/>
      <c r="G1639" s="113"/>
      <c r="H1639" s="117"/>
      <c r="L1639" s="1" t="s">
        <v>233</v>
      </c>
      <c r="M1639" s="29" t="s">
        <v>216</v>
      </c>
      <c r="N1639" s="228" t="s">
        <v>236</v>
      </c>
    </row>
    <row r="1640" spans="1:14" ht="15" customHeight="1" x14ac:dyDescent="0.25">
      <c r="B1640" s="57" t="str">
        <f>( StartYear) &amp; " Surplus Applied to " &amp; ( StartYear + 1 )</f>
        <v>2017 Surplus Applied to 2018</v>
      </c>
      <c r="C1640" s="29"/>
      <c r="D1640" s="184">
        <f ca="1">D1624+D1629-D1635</f>
        <v>0</v>
      </c>
      <c r="E1640" s="185">
        <f ca="1">D1640</f>
        <v>0</v>
      </c>
      <c r="F1640" s="181"/>
      <c r="G1640" s="181"/>
      <c r="H1640" s="182"/>
      <c r="L1640" s="1" t="s">
        <v>233</v>
      </c>
      <c r="M1640" s="29" t="s">
        <v>216</v>
      </c>
      <c r="N1640" s="228" t="s">
        <v>237</v>
      </c>
    </row>
    <row r="1641" spans="1:14" ht="15" customHeight="1" x14ac:dyDescent="0.25">
      <c r="B1641" s="57" t="str">
        <f xml:space="preserve"> ( StartYear + 1 ) &amp; " Surplus Applied to " &amp; ( StartYear )</f>
        <v>2018 Surplus Applied to 2017</v>
      </c>
      <c r="C1641" s="52"/>
      <c r="D1641" s="134">
        <v>0</v>
      </c>
      <c r="E1641" s="9">
        <v>0</v>
      </c>
      <c r="F1641" s="113"/>
      <c r="G1641" s="113"/>
      <c r="H1641" s="117"/>
      <c r="L1641" s="1" t="s">
        <v>233</v>
      </c>
      <c r="M1641" s="29" t="s">
        <v>216</v>
      </c>
      <c r="N1641" s="228" t="s">
        <v>238</v>
      </c>
    </row>
    <row r="1642" spans="1:14" ht="15" customHeight="1" x14ac:dyDescent="0.25">
      <c r="B1642" s="119" t="str">
        <f xml:space="preserve"> ( StartYear + 1 ) &amp; " Surplus Applied to " &amp; ( StartYear + 2 )</f>
        <v>2018 Surplus Applied to 2019</v>
      </c>
      <c r="C1642" s="52"/>
      <c r="D1642" s="114"/>
      <c r="E1642" s="9">
        <v>0</v>
      </c>
      <c r="F1642" s="51">
        <f>E1642</f>
        <v>0</v>
      </c>
      <c r="G1642" s="113"/>
      <c r="H1642" s="117"/>
      <c r="L1642" s="1" t="s">
        <v>233</v>
      </c>
      <c r="M1642" s="29" t="s">
        <v>216</v>
      </c>
      <c r="N1642" s="228" t="s">
        <v>239</v>
      </c>
    </row>
    <row r="1643" spans="1:14" ht="15" customHeight="1" x14ac:dyDescent="0.25">
      <c r="B1643" s="119" t="str">
        <f xml:space="preserve"> ( StartYear + 2 ) &amp; " Surplus Applied to " &amp; ( StartYear + 1 )</f>
        <v>2019 Surplus Applied to 2018</v>
      </c>
      <c r="C1643" s="52"/>
      <c r="D1643" s="114"/>
      <c r="E1643" s="51">
        <v>0</v>
      </c>
      <c r="F1643" s="9">
        <v>0</v>
      </c>
      <c r="G1643" s="113"/>
      <c r="H1643" s="117"/>
      <c r="L1643" s="1" t="s">
        <v>233</v>
      </c>
      <c r="M1643" s="29" t="s">
        <v>216</v>
      </c>
      <c r="N1643" s="228" t="s">
        <v>240</v>
      </c>
    </row>
    <row r="1644" spans="1:14" ht="15" customHeight="1" x14ac:dyDescent="0.25">
      <c r="B1644" s="165" t="str">
        <f xml:space="preserve"> ( StartYear + 2 ) &amp; " Surplus Applied to " &amp; ( StartYear + 3 )</f>
        <v>2019 Surplus Applied to 2020</v>
      </c>
      <c r="C1644" s="29"/>
      <c r="D1644" s="114"/>
      <c r="E1644" s="113"/>
      <c r="F1644" s="9">
        <v>21727</v>
      </c>
      <c r="G1644" s="51">
        <f>F1644</f>
        <v>21727</v>
      </c>
      <c r="H1644" s="117"/>
      <c r="L1644" s="1" t="s">
        <v>233</v>
      </c>
      <c r="M1644" s="29" t="s">
        <v>216</v>
      </c>
      <c r="N1644" s="228" t="s">
        <v>241</v>
      </c>
    </row>
    <row r="1645" spans="1:14" ht="15" customHeight="1" x14ac:dyDescent="0.25">
      <c r="B1645" s="165" t="str">
        <f xml:space="preserve"> ( StartYear + 3 ) &amp; " Surplus Applied to " &amp; ( StartYear + 2 )</f>
        <v>2020 Surplus Applied to 2019</v>
      </c>
      <c r="C1645" s="29"/>
      <c r="D1645" s="114"/>
      <c r="E1645" s="113"/>
      <c r="F1645" s="51">
        <v>0</v>
      </c>
      <c r="G1645" s="9">
        <v>0</v>
      </c>
      <c r="H1645" s="117"/>
      <c r="L1645" s="1" t="s">
        <v>233</v>
      </c>
      <c r="M1645" s="29" t="s">
        <v>216</v>
      </c>
      <c r="N1645" s="228" t="s">
        <v>242</v>
      </c>
    </row>
    <row r="1646" spans="1:14" ht="15" customHeight="1" x14ac:dyDescent="0.25">
      <c r="B1646" s="165" t="str">
        <f xml:space="preserve"> ( StartYear + 3 ) &amp; " Surplus Applied to " &amp; ( StartYear + 4 )</f>
        <v>2020 Surplus Applied to 2021</v>
      </c>
      <c r="C1646" s="29"/>
      <c r="D1646" s="114"/>
      <c r="E1646" s="113"/>
      <c r="F1646" s="113"/>
      <c r="G1646" s="9">
        <f ca="1">G1624+G1629-G1635</f>
        <v>0</v>
      </c>
      <c r="H1646" s="46">
        <f ca="1">G1646</f>
        <v>0</v>
      </c>
      <c r="L1646" s="1" t="s">
        <v>233</v>
      </c>
      <c r="M1646" s="29" t="s">
        <v>216</v>
      </c>
      <c r="N1646" s="228" t="s">
        <v>243</v>
      </c>
    </row>
    <row r="1647" spans="1:14" ht="15" customHeight="1" x14ac:dyDescent="0.25">
      <c r="B1647" s="165" t="str">
        <f xml:space="preserve"> ( StartYear + 4 ) &amp; " Surplus Applied to " &amp; ( StartYear + 3 )</f>
        <v>2021 Surplus Applied to 2020</v>
      </c>
      <c r="C1647" s="29"/>
      <c r="D1647" s="115"/>
      <c r="E1647" s="116"/>
      <c r="F1647" s="116"/>
      <c r="G1647" s="47">
        <v>0</v>
      </c>
      <c r="H1647" s="41">
        <v>0</v>
      </c>
      <c r="L1647" s="1" t="s">
        <v>233</v>
      </c>
      <c r="M1647" s="29" t="s">
        <v>216</v>
      </c>
      <c r="N1647" s="228" t="s">
        <v>244</v>
      </c>
    </row>
    <row r="1648" spans="1:14" ht="15" customHeight="1" x14ac:dyDescent="0.25">
      <c r="B1648" s="32" t="s">
        <v>17</v>
      </c>
      <c r="D1648" s="6">
        <f ca="1">D1638-D1639+D1641-D1640</f>
        <v>0</v>
      </c>
      <c r="E1648" s="6">
        <f ca="1">E1640+E1643-E1641-E1642</f>
        <v>0</v>
      </c>
      <c r="F1648" s="6">
        <f>F1642+F1645-F1643-F1644</f>
        <v>-21727</v>
      </c>
      <c r="G1648" s="6">
        <f ca="1">G1644+G1647-G1645-G1646</f>
        <v>21727</v>
      </c>
      <c r="H1648" s="6">
        <f ca="1">H1646 - H1647</f>
        <v>0</v>
      </c>
      <c r="L1648" s="1" t="s">
        <v>233</v>
      </c>
      <c r="M1648" s="29" t="s">
        <v>216</v>
      </c>
      <c r="N1648" s="228" t="s">
        <v>17</v>
      </c>
    </row>
    <row r="1649" spans="1:14" ht="15" customHeight="1" x14ac:dyDescent="0.25">
      <c r="B1649" s="5"/>
      <c r="D1649" s="6"/>
      <c r="E1649" s="6"/>
      <c r="F1649" s="6"/>
      <c r="G1649" s="6"/>
      <c r="H1649" s="6"/>
      <c r="L1649" s="1" t="s">
        <v>233</v>
      </c>
      <c r="M1649" s="29" t="s">
        <v>216</v>
      </c>
    </row>
    <row r="1650" spans="1:14" ht="15" customHeight="1" x14ac:dyDescent="0.25">
      <c r="B1650" s="54" t="s">
        <v>12</v>
      </c>
      <c r="C1650" s="52"/>
      <c r="D1650" s="75"/>
      <c r="E1650" s="111"/>
      <c r="F1650" s="111"/>
      <c r="G1650" s="111"/>
      <c r="H1650" s="76"/>
      <c r="L1650" s="1" t="s">
        <v>233</v>
      </c>
      <c r="M1650" s="29" t="s">
        <v>216</v>
      </c>
      <c r="N1650" s="228" t="s">
        <v>12</v>
      </c>
    </row>
    <row r="1651" spans="1:14" ht="15" customHeight="1" x14ac:dyDescent="0.25">
      <c r="B1651" s="5"/>
      <c r="D1651" s="6"/>
      <c r="E1651" s="6"/>
      <c r="F1651" s="6"/>
      <c r="G1651" s="6"/>
      <c r="H1651" s="6"/>
      <c r="L1651" s="1" t="s">
        <v>233</v>
      </c>
      <c r="M1651" s="29" t="s">
        <v>216</v>
      </c>
    </row>
    <row r="1652" spans="1:14" ht="18.75" customHeight="1" x14ac:dyDescent="0.3">
      <c r="A1652" s="38" t="s">
        <v>26</v>
      </c>
      <c r="C1652" s="52">
        <f>A1618</f>
        <v>42</v>
      </c>
      <c r="D1652" s="112">
        <f ca="1" xml:space="preserve"> D1624 + D1629 - D1635 + D1648 + D1650</f>
        <v>0</v>
      </c>
      <c r="E1652" s="112">
        <f ca="1" xml:space="preserve"> E1624 + E1629 - E1635 + E1648 + E1650</f>
        <v>0</v>
      </c>
      <c r="F1652" s="112">
        <f ca="1" xml:space="preserve"> F1624 + F1629 - F1635 + F1648 + F1650</f>
        <v>0</v>
      </c>
      <c r="G1652" s="112">
        <f ca="1" xml:space="preserve"> G1624 + G1629 - G1635 + G1648 + G1650</f>
        <v>21727</v>
      </c>
      <c r="H1652" s="174">
        <f ca="1" xml:space="preserve"> H1624 + H1629 - H1635 + H1648 + H1650</f>
        <v>0</v>
      </c>
      <c r="L1652" s="1" t="s">
        <v>233</v>
      </c>
      <c r="M1652" s="29" t="s">
        <v>216</v>
      </c>
      <c r="N1652" s="228" t="s">
        <v>26</v>
      </c>
    </row>
    <row r="1653" spans="1:14" ht="15" customHeight="1" x14ac:dyDescent="0.25">
      <c r="B1653" s="5"/>
      <c r="C1653" s="108" t="s">
        <v>158</v>
      </c>
      <c r="D1653" s="6"/>
      <c r="E1653" s="6"/>
      <c r="F1653" s="28"/>
      <c r="G1653" s="28"/>
      <c r="H1653" s="28"/>
      <c r="L1653" s="1" t="s">
        <v>233</v>
      </c>
      <c r="M1653" s="29" t="s">
        <v>216</v>
      </c>
      <c r="N1653" s="228" t="s">
        <v>158</v>
      </c>
    </row>
    <row r="1654" spans="1:14" ht="15.75" customHeight="1" thickBot="1" x14ac:dyDescent="0.3">
      <c r="L1654" s="1" t="s">
        <v>233</v>
      </c>
      <c r="M1654" s="29" t="s">
        <v>216</v>
      </c>
    </row>
    <row r="1655" spans="1:14" ht="15" customHeight="1" x14ac:dyDescent="0.25">
      <c r="A1655" s="7"/>
      <c r="B1655" s="7"/>
      <c r="C1655" s="7"/>
      <c r="D1655" s="170"/>
      <c r="E1655" s="7"/>
      <c r="F1655" s="7"/>
      <c r="G1655" s="7"/>
      <c r="H1655" s="7"/>
      <c r="L1655" s="1" t="s">
        <v>233</v>
      </c>
      <c r="M1655" s="29" t="s">
        <v>216</v>
      </c>
    </row>
    <row r="1656" spans="1:14" ht="21" customHeight="1" x14ac:dyDescent="0.35">
      <c r="A1656" s="12">
        <f>MAX(A$1:A1655)+1</f>
        <v>43</v>
      </c>
      <c r="B1656" s="12"/>
      <c r="C1656" s="214" t="str">
        <f ca="1">OFFSET($B$4,A1656-1,0)</f>
        <v>Tuana Gulch Wind Park, LLC - Tuana Gulch Wind Park</v>
      </c>
      <c r="D1656" s="215"/>
      <c r="E1656" s="216"/>
      <c r="F1656" s="216"/>
      <c r="G1656" s="217"/>
      <c r="H1656" s="218"/>
      <c r="L1656" s="1" t="s">
        <v>233</v>
      </c>
      <c r="M1656" s="29" t="s">
        <v>200</v>
      </c>
      <c r="N1656" s="228">
        <v>45</v>
      </c>
    </row>
    <row r="1657" spans="1:14" ht="15" customHeight="1" x14ac:dyDescent="0.25">
      <c r="C1657" s="1" t="str">
        <f ca="1">VLOOKUP(C1656,Facilities,3,FALSE)</f>
        <v>REC only</v>
      </c>
      <c r="L1657" s="1" t="s">
        <v>233</v>
      </c>
      <c r="M1657" s="29" t="s">
        <v>200</v>
      </c>
      <c r="N1657" s="228" t="s">
        <v>181</v>
      </c>
    </row>
    <row r="1658" spans="1:14" ht="18.75" customHeight="1" x14ac:dyDescent="0.3">
      <c r="A1658" s="8" t="s">
        <v>21</v>
      </c>
      <c r="B1658" s="8"/>
      <c r="D1658" s="118">
        <f>StartYear</f>
        <v>2017</v>
      </c>
      <c r="E1658" s="2">
        <f>D1658+1</f>
        <v>2018</v>
      </c>
      <c r="F1658" s="2">
        <f>E1658+1</f>
        <v>2019</v>
      </c>
      <c r="G1658" s="2">
        <f>F1658+1</f>
        <v>2020</v>
      </c>
      <c r="H1658" s="2">
        <f>G1658+1</f>
        <v>2021</v>
      </c>
      <c r="L1658" s="1" t="s">
        <v>233</v>
      </c>
      <c r="M1658" s="29" t="s">
        <v>200</v>
      </c>
      <c r="N1658" s="228" t="s">
        <v>21</v>
      </c>
    </row>
    <row r="1659" spans="1:14" ht="15" customHeight="1" x14ac:dyDescent="0.25">
      <c r="B1659" s="119" t="str">
        <f ca="1">IF(C1695&lt;&gt;"REC only","Total MWh ","")&amp;IF(C1657="PSE owned","Produced","Purchased")&amp;" from "&amp;C1656</f>
        <v>Purchased from Tuana Gulch Wind Park, LLC - Tuana Gulch Wind Park</v>
      </c>
      <c r="C1659" s="52"/>
      <c r="D1659" s="3"/>
      <c r="E1659" s="3"/>
      <c r="F1659" s="3">
        <v>7912</v>
      </c>
      <c r="G1659" s="3"/>
      <c r="H1659" s="4"/>
      <c r="L1659" s="1" t="s">
        <v>233</v>
      </c>
      <c r="M1659" s="29" t="s">
        <v>200</v>
      </c>
      <c r="N1659" s="228" t="s">
        <v>286</v>
      </c>
    </row>
    <row r="1660" spans="1:14" ht="15" customHeight="1" x14ac:dyDescent="0.25">
      <c r="B1660" s="57" t="s">
        <v>25</v>
      </c>
      <c r="C1660" s="52"/>
      <c r="D1660" s="132"/>
      <c r="E1660" s="132"/>
      <c r="F1660" s="132">
        <v>1</v>
      </c>
      <c r="G1660" s="132"/>
      <c r="H1660" s="133"/>
      <c r="L1660" s="1" t="s">
        <v>233</v>
      </c>
      <c r="M1660" s="29" t="s">
        <v>200</v>
      </c>
      <c r="N1660" s="228" t="s">
        <v>25</v>
      </c>
    </row>
    <row r="1661" spans="1:14" ht="15" customHeight="1" x14ac:dyDescent="0.25">
      <c r="B1661" s="57" t="s">
        <v>20</v>
      </c>
      <c r="C1661" s="52"/>
      <c r="D1661" s="42"/>
      <c r="E1661" s="42"/>
      <c r="F1661" s="42">
        <v>1</v>
      </c>
      <c r="G1661" s="42"/>
      <c r="H1661" s="43"/>
      <c r="L1661" s="1" t="s">
        <v>233</v>
      </c>
      <c r="M1661" s="29" t="s">
        <v>200</v>
      </c>
      <c r="N1661" s="228" t="s">
        <v>20</v>
      </c>
    </row>
    <row r="1662" spans="1:14" ht="15" customHeight="1" x14ac:dyDescent="0.25">
      <c r="B1662" s="54" t="s">
        <v>22</v>
      </c>
      <c r="C1662" s="55"/>
      <c r="D1662" s="131">
        <f xml:space="preserve"> D1659 * D1660 * D1661</f>
        <v>0</v>
      </c>
      <c r="E1662" s="131">
        <f xml:space="preserve"> E1659 * E1660 * E1661</f>
        <v>0</v>
      </c>
      <c r="F1662" s="131">
        <f xml:space="preserve"> ROUNDDOWN(F1659 * F1660 * F1661,0)</f>
        <v>7912</v>
      </c>
      <c r="G1662" s="131">
        <f xml:space="preserve"> ROUNDDOWN(G1659 * G1660 * G1661,0)</f>
        <v>0</v>
      </c>
      <c r="H1662" s="131">
        <f xml:space="preserve"> ROUNDDOWN(H1659 * H1660 * H1661,0)</f>
        <v>0</v>
      </c>
      <c r="L1662" s="1" t="s">
        <v>233</v>
      </c>
      <c r="M1662" s="29" t="s">
        <v>200</v>
      </c>
      <c r="N1662" s="228" t="s">
        <v>22</v>
      </c>
    </row>
    <row r="1663" spans="1:14" ht="15" customHeight="1" x14ac:dyDescent="0.25">
      <c r="B1663" s="22"/>
      <c r="C1663" s="29"/>
      <c r="D1663" s="36"/>
      <c r="E1663" s="36"/>
      <c r="F1663" s="36"/>
      <c r="G1663" s="167"/>
      <c r="H1663" s="36"/>
      <c r="L1663" s="1" t="s">
        <v>233</v>
      </c>
      <c r="M1663" s="29" t="s">
        <v>200</v>
      </c>
    </row>
    <row r="1664" spans="1:14" ht="18.75" customHeight="1" x14ac:dyDescent="0.3">
      <c r="A1664" s="39" t="s">
        <v>119</v>
      </c>
      <c r="C1664" s="29"/>
      <c r="D1664" s="2">
        <f>StartYear</f>
        <v>2017</v>
      </c>
      <c r="E1664" s="2">
        <f>D1664+1</f>
        <v>2018</v>
      </c>
      <c r="F1664" s="2">
        <f>E1664+1</f>
        <v>2019</v>
      </c>
      <c r="G1664" s="2">
        <f>F1664+1</f>
        <v>2020</v>
      </c>
      <c r="H1664" s="2">
        <f>G1664+1</f>
        <v>2021</v>
      </c>
      <c r="L1664" s="1" t="s">
        <v>233</v>
      </c>
      <c r="M1664" s="29" t="s">
        <v>200</v>
      </c>
      <c r="N1664" s="228" t="s">
        <v>119</v>
      </c>
    </row>
    <row r="1665" spans="1:14" x14ac:dyDescent="0.25">
      <c r="B1665" s="57" t="s">
        <v>10</v>
      </c>
      <c r="C1665" s="52"/>
      <c r="D1665" s="10">
        <f ca="1">IF(VLOOKUP($C1656,Facilities,5,FALSE)="Eligible", D1662*ApprenticeshipBonus, 0 )</f>
        <v>0</v>
      </c>
      <c r="E1665" s="109">
        <f ca="1">IF(VLOOKUP($C1656,Facilities,5,FALSE)="Eligible", E1662*ApprenticeshipBonus, 0 )</f>
        <v>0</v>
      </c>
      <c r="F1665" s="109">
        <f ca="1">IF(VLOOKUP($C1656,Facilities,5,FALSE)="Eligible", F1662*ApprenticeshipBonus, 0 )</f>
        <v>0</v>
      </c>
      <c r="G1665" s="109">
        <f ca="1">IF(VLOOKUP($C1656,Facilities,5,FALSE)="Eligible", G1662*ApprenticeshipBonus, 0 )</f>
        <v>0</v>
      </c>
      <c r="H1665" s="11">
        <f ca="1">IF(VLOOKUP($C1656,Facilities,5,FALSE)="Eligible", H1662*ApprenticeshipBonus, 0 )</f>
        <v>0</v>
      </c>
      <c r="L1665" s="1" t="s">
        <v>233</v>
      </c>
      <c r="M1665" s="29" t="s">
        <v>200</v>
      </c>
      <c r="N1665" s="228" t="s">
        <v>10</v>
      </c>
    </row>
    <row r="1666" spans="1:14" ht="15" customHeight="1" x14ac:dyDescent="0.25">
      <c r="B1666" s="57" t="s">
        <v>6</v>
      </c>
      <c r="C1666" s="52"/>
      <c r="D1666" s="44">
        <f ca="1">IF(VLOOKUP($C1656,Facilities,6,FALSE)="Eligible", D1662, 0 )</f>
        <v>0</v>
      </c>
      <c r="E1666" s="110">
        <f ca="1">IF(VLOOKUP($C1656,Facilities,6,FALSE)="Eligible", E1662, 0 )</f>
        <v>0</v>
      </c>
      <c r="F1666" s="110">
        <f ca="1">IF(VLOOKUP($C1656,Facilities,6,FALSE)="Eligible", F1662, 0 )</f>
        <v>0</v>
      </c>
      <c r="G1666" s="110">
        <f ca="1">IF(VLOOKUP($C1656,Facilities,6,FALSE)="Eligible", G1662, 0 )</f>
        <v>0</v>
      </c>
      <c r="H1666" s="45">
        <f ca="1">IF(VLOOKUP($C1656,Facilities,6,FALSE)="Eligible", H1662, 0 )</f>
        <v>0</v>
      </c>
      <c r="L1666" s="1" t="s">
        <v>233</v>
      </c>
      <c r="M1666" s="29" t="s">
        <v>200</v>
      </c>
      <c r="N1666" s="228" t="s">
        <v>6</v>
      </c>
    </row>
    <row r="1667" spans="1:14" ht="15" customHeight="1" x14ac:dyDescent="0.25">
      <c r="B1667" s="56" t="s">
        <v>121</v>
      </c>
      <c r="C1667" s="55"/>
      <c r="D1667" s="37">
        <f ca="1">SUM(D1665:D1666)</f>
        <v>0</v>
      </c>
      <c r="E1667" s="37">
        <f ca="1">SUM(E1665:E1666)</f>
        <v>0</v>
      </c>
      <c r="F1667" s="37">
        <f ca="1">SUM(F1665:F1666)</f>
        <v>0</v>
      </c>
      <c r="G1667" s="37">
        <f ca="1">SUM(G1665:G1666)</f>
        <v>0</v>
      </c>
      <c r="H1667" s="37">
        <f ca="1">SUM(H1665:H1666)</f>
        <v>0</v>
      </c>
      <c r="L1667" s="1" t="s">
        <v>233</v>
      </c>
      <c r="M1667" s="29" t="s">
        <v>200</v>
      </c>
      <c r="N1667" s="228" t="s">
        <v>121</v>
      </c>
    </row>
    <row r="1668" spans="1:14" ht="15" customHeight="1" x14ac:dyDescent="0.25">
      <c r="B1668" s="29"/>
      <c r="C1668" s="29"/>
      <c r="D1668" s="30"/>
      <c r="E1668" s="30"/>
      <c r="F1668" s="30"/>
      <c r="G1668" s="169"/>
      <c r="H1668" s="30"/>
      <c r="L1668" s="1" t="s">
        <v>233</v>
      </c>
      <c r="M1668" s="29" t="s">
        <v>200</v>
      </c>
    </row>
    <row r="1669" spans="1:14" ht="18.75" customHeight="1" x14ac:dyDescent="0.3">
      <c r="A1669" s="38" t="s">
        <v>30</v>
      </c>
      <c r="C1669" s="29"/>
      <c r="D1669" s="2">
        <f>StartYear</f>
        <v>2017</v>
      </c>
      <c r="E1669" s="2">
        <f>D1669+1</f>
        <v>2018</v>
      </c>
      <c r="F1669" s="2">
        <f>E1669+1</f>
        <v>2019</v>
      </c>
      <c r="G1669" s="2">
        <f>F1669+1</f>
        <v>2020</v>
      </c>
      <c r="H1669" s="2">
        <f>G1669+1</f>
        <v>2021</v>
      </c>
      <c r="L1669" s="1" t="s">
        <v>233</v>
      </c>
      <c r="M1669" s="29" t="s">
        <v>200</v>
      </c>
      <c r="N1669" s="228" t="s">
        <v>30</v>
      </c>
    </row>
    <row r="1670" spans="1:14" ht="15" customHeight="1" x14ac:dyDescent="0.25">
      <c r="B1670" s="57" t="s">
        <v>47</v>
      </c>
      <c r="C1670" s="52"/>
      <c r="D1670" s="3"/>
      <c r="E1670" s="3"/>
      <c r="F1670" s="3"/>
      <c r="G1670" s="3"/>
      <c r="H1670" s="4"/>
      <c r="L1670" s="1" t="s">
        <v>233</v>
      </c>
      <c r="M1670" s="29" t="s">
        <v>200</v>
      </c>
      <c r="N1670" s="228" t="s">
        <v>47</v>
      </c>
    </row>
    <row r="1671" spans="1:14" ht="15" customHeight="1" x14ac:dyDescent="0.25">
      <c r="B1671" s="58" t="s">
        <v>23</v>
      </c>
      <c r="C1671" s="59"/>
      <c r="D1671" s="137"/>
      <c r="E1671" s="137"/>
      <c r="F1671" s="137"/>
      <c r="G1671" s="137"/>
      <c r="H1671" s="138"/>
      <c r="L1671" s="1" t="s">
        <v>233</v>
      </c>
      <c r="M1671" s="29" t="s">
        <v>200</v>
      </c>
      <c r="N1671" s="228" t="s">
        <v>23</v>
      </c>
    </row>
    <row r="1672" spans="1:14" ht="15" customHeight="1" x14ac:dyDescent="0.25">
      <c r="B1672" s="68" t="s">
        <v>89</v>
      </c>
      <c r="C1672" s="67"/>
      <c r="D1672" s="191"/>
      <c r="E1672" s="139"/>
      <c r="F1672" s="139"/>
      <c r="G1672" s="139"/>
      <c r="H1672" s="140"/>
      <c r="L1672" s="1" t="s">
        <v>233</v>
      </c>
      <c r="M1672" s="29" t="s">
        <v>200</v>
      </c>
      <c r="N1672" s="228" t="s">
        <v>89</v>
      </c>
    </row>
    <row r="1673" spans="1:14" ht="15" customHeight="1" x14ac:dyDescent="0.25">
      <c r="B1673" s="32" t="s">
        <v>90</v>
      </c>
      <c r="D1673" s="6">
        <f>SUM(D1670:D1672)</f>
        <v>0</v>
      </c>
      <c r="E1673" s="6">
        <f>SUM(E1670:E1672)</f>
        <v>0</v>
      </c>
      <c r="F1673" s="6">
        <f>SUM(F1670:F1672)</f>
        <v>0</v>
      </c>
      <c r="G1673" s="6">
        <f>SUM(G1670:G1672)</f>
        <v>0</v>
      </c>
      <c r="H1673" s="6">
        <f>SUM(H1670:H1672)</f>
        <v>0</v>
      </c>
      <c r="L1673" s="1" t="s">
        <v>233</v>
      </c>
      <c r="M1673" s="29" t="s">
        <v>200</v>
      </c>
      <c r="N1673" s="228" t="s">
        <v>90</v>
      </c>
    </row>
    <row r="1674" spans="1:14" ht="15" customHeight="1" x14ac:dyDescent="0.25">
      <c r="B1674" s="5"/>
      <c r="D1674" s="6"/>
      <c r="E1674" s="6"/>
      <c r="F1674" s="6"/>
      <c r="G1674" s="167"/>
      <c r="H1674" s="6"/>
      <c r="L1674" s="1" t="s">
        <v>233</v>
      </c>
      <c r="M1674" s="29" t="s">
        <v>200</v>
      </c>
    </row>
    <row r="1675" spans="1:14" ht="18.75" customHeight="1" x14ac:dyDescent="0.3">
      <c r="A1675" s="8" t="s">
        <v>100</v>
      </c>
      <c r="D1675" s="2">
        <f>StartYear</f>
        <v>2017</v>
      </c>
      <c r="E1675" s="2">
        <f>D1675+1</f>
        <v>2018</v>
      </c>
      <c r="F1675" s="2">
        <f>E1675+1</f>
        <v>2019</v>
      </c>
      <c r="G1675" s="2">
        <f>F1675+1</f>
        <v>2020</v>
      </c>
      <c r="H1675" s="2">
        <f>G1675+1</f>
        <v>2021</v>
      </c>
      <c r="L1675" s="1" t="s">
        <v>233</v>
      </c>
      <c r="M1675" s="29" t="s">
        <v>200</v>
      </c>
      <c r="N1675" s="228" t="s">
        <v>100</v>
      </c>
    </row>
    <row r="1676" spans="1:14" ht="15" customHeight="1" x14ac:dyDescent="0.25">
      <c r="B1676" s="57" t="str">
        <f>(StartYear-1) &amp; " Surplus Applied to " &amp; StartYear</f>
        <v>2016 Surplus Applied to 2017</v>
      </c>
      <c r="C1676" s="29"/>
      <c r="D1676" s="186">
        <v>0</v>
      </c>
      <c r="E1676" s="187"/>
      <c r="F1676" s="187"/>
      <c r="G1676" s="187"/>
      <c r="H1676" s="188"/>
      <c r="L1676" s="1" t="s">
        <v>233</v>
      </c>
      <c r="M1676" s="29" t="s">
        <v>200</v>
      </c>
      <c r="N1676" s="228" t="s">
        <v>235</v>
      </c>
    </row>
    <row r="1677" spans="1:14" ht="15" customHeight="1" x14ac:dyDescent="0.25">
      <c r="B1677" s="57" t="str">
        <f>StartYear &amp; " Surplus Applied to " &amp; (StartYear-1)</f>
        <v>2017 Surplus Applied to 2016</v>
      </c>
      <c r="C1677" s="29"/>
      <c r="D1677" s="189">
        <v>0</v>
      </c>
      <c r="E1677" s="113"/>
      <c r="F1677" s="113"/>
      <c r="G1677" s="113"/>
      <c r="H1677" s="117"/>
      <c r="L1677" s="1" t="s">
        <v>233</v>
      </c>
      <c r="M1677" s="29" t="s">
        <v>200</v>
      </c>
      <c r="N1677" s="228" t="s">
        <v>236</v>
      </c>
    </row>
    <row r="1678" spans="1:14" ht="15" customHeight="1" x14ac:dyDescent="0.25">
      <c r="B1678" s="57" t="str">
        <f>( StartYear) &amp; " Surplus Applied to " &amp; ( StartYear + 1 )</f>
        <v>2017 Surplus Applied to 2018</v>
      </c>
      <c r="C1678" s="29"/>
      <c r="D1678" s="184">
        <f ca="1">D1662+D1667-D1673</f>
        <v>0</v>
      </c>
      <c r="E1678" s="185">
        <f ca="1">D1678</f>
        <v>0</v>
      </c>
      <c r="F1678" s="181"/>
      <c r="G1678" s="181"/>
      <c r="H1678" s="182"/>
      <c r="L1678" s="1" t="s">
        <v>233</v>
      </c>
      <c r="M1678" s="29" t="s">
        <v>200</v>
      </c>
      <c r="N1678" s="228" t="s">
        <v>237</v>
      </c>
    </row>
    <row r="1679" spans="1:14" ht="15" customHeight="1" x14ac:dyDescent="0.25">
      <c r="B1679" s="57" t="str">
        <f xml:space="preserve"> ( StartYear + 1 ) &amp; " Surplus Applied to " &amp; ( StartYear )</f>
        <v>2018 Surplus Applied to 2017</v>
      </c>
      <c r="C1679" s="52"/>
      <c r="D1679" s="134">
        <v>0</v>
      </c>
      <c r="E1679" s="9">
        <v>0</v>
      </c>
      <c r="F1679" s="113"/>
      <c r="G1679" s="113"/>
      <c r="H1679" s="117"/>
      <c r="L1679" s="1" t="s">
        <v>233</v>
      </c>
      <c r="M1679" s="29" t="s">
        <v>200</v>
      </c>
      <c r="N1679" s="228" t="s">
        <v>238</v>
      </c>
    </row>
    <row r="1680" spans="1:14" ht="15" customHeight="1" x14ac:dyDescent="0.25">
      <c r="B1680" s="119" t="str">
        <f xml:space="preserve"> ( StartYear + 1 ) &amp; " Surplus Applied to " &amp; ( StartYear + 2 )</f>
        <v>2018 Surplus Applied to 2019</v>
      </c>
      <c r="C1680" s="52"/>
      <c r="D1680" s="114"/>
      <c r="E1680" s="9">
        <v>0</v>
      </c>
      <c r="F1680" s="51">
        <f>E1680</f>
        <v>0</v>
      </c>
      <c r="G1680" s="113"/>
      <c r="H1680" s="117"/>
      <c r="L1680" s="1" t="s">
        <v>233</v>
      </c>
      <c r="M1680" s="29" t="s">
        <v>200</v>
      </c>
      <c r="N1680" s="228" t="s">
        <v>239</v>
      </c>
    </row>
    <row r="1681" spans="1:14" ht="15" customHeight="1" x14ac:dyDescent="0.25">
      <c r="B1681" s="119" t="str">
        <f xml:space="preserve"> ( StartYear + 2 ) &amp; " Surplus Applied to " &amp; ( StartYear + 1 )</f>
        <v>2019 Surplus Applied to 2018</v>
      </c>
      <c r="C1681" s="52"/>
      <c r="D1681" s="114"/>
      <c r="E1681" s="51">
        <v>0</v>
      </c>
      <c r="F1681" s="9">
        <v>0</v>
      </c>
      <c r="G1681" s="113"/>
      <c r="H1681" s="117"/>
      <c r="L1681" s="1" t="s">
        <v>233</v>
      </c>
      <c r="M1681" s="29" t="s">
        <v>200</v>
      </c>
      <c r="N1681" s="228" t="s">
        <v>240</v>
      </c>
    </row>
    <row r="1682" spans="1:14" ht="15" customHeight="1" x14ac:dyDescent="0.25">
      <c r="B1682" s="165" t="str">
        <f xml:space="preserve"> ( StartYear + 2 ) &amp; " Surplus Applied to " &amp; ( StartYear + 3 )</f>
        <v>2019 Surplus Applied to 2020</v>
      </c>
      <c r="C1682" s="29"/>
      <c r="D1682" s="114"/>
      <c r="E1682" s="113"/>
      <c r="F1682" s="9">
        <v>7912</v>
      </c>
      <c r="G1682" s="51">
        <f>F1682</f>
        <v>7912</v>
      </c>
      <c r="H1682" s="117"/>
      <c r="L1682" s="1" t="s">
        <v>233</v>
      </c>
      <c r="M1682" s="29" t="s">
        <v>200</v>
      </c>
      <c r="N1682" s="228" t="s">
        <v>241</v>
      </c>
    </row>
    <row r="1683" spans="1:14" ht="15" customHeight="1" x14ac:dyDescent="0.25">
      <c r="B1683" s="165" t="str">
        <f xml:space="preserve"> ( StartYear + 3 ) &amp; " Surplus Applied to " &amp; ( StartYear + 2 )</f>
        <v>2020 Surplus Applied to 2019</v>
      </c>
      <c r="C1683" s="29"/>
      <c r="D1683" s="114"/>
      <c r="E1683" s="113"/>
      <c r="F1683" s="51">
        <v>0</v>
      </c>
      <c r="G1683" s="9">
        <v>0</v>
      </c>
      <c r="H1683" s="117"/>
      <c r="L1683" s="1" t="s">
        <v>233</v>
      </c>
      <c r="M1683" s="29" t="s">
        <v>200</v>
      </c>
      <c r="N1683" s="228" t="s">
        <v>242</v>
      </c>
    </row>
    <row r="1684" spans="1:14" ht="15" customHeight="1" x14ac:dyDescent="0.25">
      <c r="B1684" s="165" t="str">
        <f xml:space="preserve"> ( StartYear + 3 ) &amp; " Surplus Applied to " &amp; ( StartYear + 4 )</f>
        <v>2020 Surplus Applied to 2021</v>
      </c>
      <c r="C1684" s="29"/>
      <c r="D1684" s="114"/>
      <c r="E1684" s="113"/>
      <c r="F1684" s="113"/>
      <c r="G1684" s="9">
        <f ca="1">G1662+G1667-G1673</f>
        <v>0</v>
      </c>
      <c r="H1684" s="46">
        <f ca="1">G1684</f>
        <v>0</v>
      </c>
      <c r="L1684" s="1" t="s">
        <v>233</v>
      </c>
      <c r="M1684" s="29" t="s">
        <v>200</v>
      </c>
      <c r="N1684" s="228" t="s">
        <v>243</v>
      </c>
    </row>
    <row r="1685" spans="1:14" ht="15" customHeight="1" x14ac:dyDescent="0.25">
      <c r="B1685" s="165" t="str">
        <f xml:space="preserve"> ( StartYear + 4 ) &amp; " Surplus Applied to " &amp; ( StartYear + 3 )</f>
        <v>2021 Surplus Applied to 2020</v>
      </c>
      <c r="C1685" s="29"/>
      <c r="D1685" s="115"/>
      <c r="E1685" s="116"/>
      <c r="F1685" s="116"/>
      <c r="G1685" s="47">
        <v>0</v>
      </c>
      <c r="H1685" s="41">
        <v>0</v>
      </c>
      <c r="L1685" s="1" t="s">
        <v>233</v>
      </c>
      <c r="M1685" s="29" t="s">
        <v>200</v>
      </c>
      <c r="N1685" s="228" t="s">
        <v>244</v>
      </c>
    </row>
    <row r="1686" spans="1:14" ht="15" customHeight="1" x14ac:dyDescent="0.25">
      <c r="B1686" s="32" t="s">
        <v>17</v>
      </c>
      <c r="D1686" s="6">
        <f ca="1">D1676-D1677+D1679-D1678</f>
        <v>0</v>
      </c>
      <c r="E1686" s="6">
        <f ca="1">E1678+E1681-E1679-E1680</f>
        <v>0</v>
      </c>
      <c r="F1686" s="6">
        <f>F1680+F1683-F1681-F1682</f>
        <v>-7912</v>
      </c>
      <c r="G1686" s="6">
        <f ca="1">G1682+G1685-G1683-G1684</f>
        <v>7912</v>
      </c>
      <c r="H1686" s="6">
        <f ca="1">H1684 - H1685</f>
        <v>0</v>
      </c>
      <c r="L1686" s="1" t="s">
        <v>233</v>
      </c>
      <c r="M1686" s="29" t="s">
        <v>200</v>
      </c>
      <c r="N1686" s="228" t="s">
        <v>17</v>
      </c>
    </row>
    <row r="1687" spans="1:14" ht="15" customHeight="1" x14ac:dyDescent="0.25">
      <c r="B1687" s="5"/>
      <c r="D1687" s="6"/>
      <c r="E1687" s="6"/>
      <c r="F1687" s="6"/>
      <c r="G1687" s="6"/>
      <c r="H1687" s="6"/>
      <c r="L1687" s="1" t="s">
        <v>233</v>
      </c>
      <c r="M1687" s="29" t="s">
        <v>200</v>
      </c>
    </row>
    <row r="1688" spans="1:14" ht="15" customHeight="1" x14ac:dyDescent="0.25">
      <c r="B1688" s="54" t="s">
        <v>12</v>
      </c>
      <c r="C1688" s="52"/>
      <c r="D1688" s="75"/>
      <c r="E1688" s="111"/>
      <c r="F1688" s="111"/>
      <c r="G1688" s="111"/>
      <c r="H1688" s="76"/>
      <c r="L1688" s="1" t="s">
        <v>233</v>
      </c>
      <c r="M1688" s="29" t="s">
        <v>200</v>
      </c>
      <c r="N1688" s="228" t="s">
        <v>12</v>
      </c>
    </row>
    <row r="1689" spans="1:14" ht="15" customHeight="1" x14ac:dyDescent="0.25">
      <c r="B1689" s="5"/>
      <c r="D1689" s="6"/>
      <c r="E1689" s="6"/>
      <c r="F1689" s="6"/>
      <c r="G1689" s="6"/>
      <c r="H1689" s="6"/>
      <c r="L1689" s="1" t="s">
        <v>233</v>
      </c>
      <c r="M1689" s="29" t="s">
        <v>200</v>
      </c>
    </row>
    <row r="1690" spans="1:14" ht="18.75" customHeight="1" x14ac:dyDescent="0.3">
      <c r="A1690" s="38" t="s">
        <v>26</v>
      </c>
      <c r="C1690" s="52">
        <f>A1656</f>
        <v>43</v>
      </c>
      <c r="D1690" s="112">
        <f ca="1" xml:space="preserve"> D1662 + D1667 - D1673 + D1686 + D1688</f>
        <v>0</v>
      </c>
      <c r="E1690" s="112">
        <f ca="1" xml:space="preserve"> E1662 + E1667 - E1673 + E1686 + E1688</f>
        <v>0</v>
      </c>
      <c r="F1690" s="112">
        <f ca="1" xml:space="preserve"> F1662 + F1667 - F1673 + F1686 + F1688</f>
        <v>0</v>
      </c>
      <c r="G1690" s="112">
        <f ca="1" xml:space="preserve"> G1662 + G1667 - G1673 + G1686 + G1688</f>
        <v>7912</v>
      </c>
      <c r="H1690" s="174">
        <f ca="1" xml:space="preserve"> H1662 + H1667 - H1673 + H1686 + H1688</f>
        <v>0</v>
      </c>
      <c r="L1690" s="1" t="s">
        <v>233</v>
      </c>
      <c r="M1690" s="29" t="s">
        <v>200</v>
      </c>
      <c r="N1690" s="228" t="s">
        <v>26</v>
      </c>
    </row>
    <row r="1691" spans="1:14" ht="15" customHeight="1" x14ac:dyDescent="0.25">
      <c r="B1691" s="5"/>
      <c r="C1691" s="108" t="s">
        <v>158</v>
      </c>
      <c r="D1691" s="6"/>
      <c r="E1691" s="6"/>
      <c r="F1691" s="28"/>
      <c r="G1691" s="28"/>
      <c r="H1691" s="28"/>
      <c r="L1691" s="1" t="s">
        <v>233</v>
      </c>
      <c r="M1691" s="29" t="s">
        <v>200</v>
      </c>
      <c r="N1691" s="228" t="s">
        <v>158</v>
      </c>
    </row>
    <row r="1692" spans="1:14" ht="15.75" customHeight="1" thickBot="1" x14ac:dyDescent="0.3">
      <c r="L1692" s="1" t="s">
        <v>233</v>
      </c>
      <c r="M1692" s="29" t="s">
        <v>200</v>
      </c>
    </row>
    <row r="1693" spans="1:14" ht="15" customHeight="1" x14ac:dyDescent="0.25">
      <c r="A1693" s="7"/>
      <c r="B1693" s="7"/>
      <c r="C1693" s="7"/>
      <c r="D1693" s="170"/>
      <c r="E1693" s="7"/>
      <c r="F1693" s="7"/>
      <c r="G1693" s="7"/>
      <c r="H1693" s="7"/>
      <c r="L1693" s="1" t="s">
        <v>233</v>
      </c>
      <c r="M1693" s="29" t="s">
        <v>200</v>
      </c>
    </row>
    <row r="1694" spans="1:14" ht="21" customHeight="1" x14ac:dyDescent="0.35">
      <c r="A1694" s="12">
        <f>MAX(A$1:A1693)+1</f>
        <v>44</v>
      </c>
      <c r="B1694" s="12"/>
      <c r="C1694" s="214" t="str">
        <f ca="1">OFFSET($B$4,A1694-1,0)</f>
        <v>Tuana Springs Energy, LLC - Tuana Springs</v>
      </c>
      <c r="D1694" s="215"/>
      <c r="E1694" s="216"/>
      <c r="F1694" s="216"/>
      <c r="G1694" s="217"/>
      <c r="H1694" s="218"/>
      <c r="L1694" s="1" t="s">
        <v>233</v>
      </c>
      <c r="M1694" s="29" t="s">
        <v>201</v>
      </c>
      <c r="N1694" s="228">
        <v>46</v>
      </c>
    </row>
    <row r="1695" spans="1:14" ht="15" customHeight="1" x14ac:dyDescent="0.25">
      <c r="C1695" s="1" t="str">
        <f ca="1">VLOOKUP(C1694,Facilities,3,FALSE)</f>
        <v>REC only</v>
      </c>
      <c r="L1695" s="1" t="s">
        <v>233</v>
      </c>
      <c r="M1695" s="29" t="s">
        <v>201</v>
      </c>
      <c r="N1695" s="228" t="s">
        <v>181</v>
      </c>
    </row>
    <row r="1696" spans="1:14" ht="18.75" customHeight="1" x14ac:dyDescent="0.3">
      <c r="A1696" s="8" t="s">
        <v>21</v>
      </c>
      <c r="B1696" s="8"/>
      <c r="D1696" s="118">
        <f>StartYear</f>
        <v>2017</v>
      </c>
      <c r="E1696" s="2">
        <f>D1696+1</f>
        <v>2018</v>
      </c>
      <c r="F1696" s="2">
        <f>E1696+1</f>
        <v>2019</v>
      </c>
      <c r="G1696" s="2">
        <f>F1696+1</f>
        <v>2020</v>
      </c>
      <c r="H1696" s="2">
        <f>G1696+1</f>
        <v>2021</v>
      </c>
      <c r="L1696" s="1" t="s">
        <v>233</v>
      </c>
      <c r="M1696" s="29" t="s">
        <v>201</v>
      </c>
      <c r="N1696" s="228" t="s">
        <v>21</v>
      </c>
    </row>
    <row r="1697" spans="1:14" ht="15" customHeight="1" x14ac:dyDescent="0.25">
      <c r="B1697" s="119" t="str">
        <f ca="1">IF(C1733&lt;&gt;"REC only","Total MWh ","")&amp;IF(C1695="PSE owned","Produced","Purchased")&amp;" from "&amp;C1694</f>
        <v>Purchased from Tuana Springs Energy, LLC - Tuana Springs</v>
      </c>
      <c r="C1697" s="52"/>
      <c r="D1697" s="3"/>
      <c r="E1697" s="3"/>
      <c r="F1697" s="3">
        <v>30105</v>
      </c>
      <c r="G1697" s="3"/>
      <c r="H1697" s="4"/>
      <c r="L1697" s="1" t="s">
        <v>233</v>
      </c>
      <c r="M1697" s="29" t="s">
        <v>201</v>
      </c>
      <c r="N1697" s="228" t="s">
        <v>287</v>
      </c>
    </row>
    <row r="1698" spans="1:14" ht="15" customHeight="1" x14ac:dyDescent="0.25">
      <c r="B1698" s="57" t="s">
        <v>25</v>
      </c>
      <c r="C1698" s="52"/>
      <c r="D1698" s="132"/>
      <c r="E1698" s="132"/>
      <c r="F1698" s="132">
        <v>1</v>
      </c>
      <c r="G1698" s="132"/>
      <c r="H1698" s="133"/>
      <c r="L1698" s="1" t="s">
        <v>233</v>
      </c>
      <c r="M1698" s="29" t="s">
        <v>201</v>
      </c>
      <c r="N1698" s="228" t="s">
        <v>25</v>
      </c>
    </row>
    <row r="1699" spans="1:14" ht="15" customHeight="1" x14ac:dyDescent="0.25">
      <c r="B1699" s="57" t="s">
        <v>20</v>
      </c>
      <c r="C1699" s="52"/>
      <c r="D1699" s="42"/>
      <c r="E1699" s="42"/>
      <c r="F1699" s="42">
        <v>1</v>
      </c>
      <c r="G1699" s="42"/>
      <c r="H1699" s="43"/>
      <c r="L1699" s="1" t="s">
        <v>233</v>
      </c>
      <c r="M1699" s="29" t="s">
        <v>201</v>
      </c>
      <c r="N1699" s="228" t="s">
        <v>20</v>
      </c>
    </row>
    <row r="1700" spans="1:14" ht="15" customHeight="1" x14ac:dyDescent="0.25">
      <c r="B1700" s="54" t="s">
        <v>22</v>
      </c>
      <c r="C1700" s="55"/>
      <c r="D1700" s="131">
        <f xml:space="preserve"> D1697 * D1698 * D1699</f>
        <v>0</v>
      </c>
      <c r="E1700" s="131">
        <f xml:space="preserve"> E1697 * E1698 * E1699</f>
        <v>0</v>
      </c>
      <c r="F1700" s="131">
        <f xml:space="preserve"> ROUNDDOWN(F1697 * F1698 * F1699,0)</f>
        <v>30105</v>
      </c>
      <c r="G1700" s="131">
        <f xml:space="preserve"> ROUNDDOWN(G1697 * G1698 * G1699,0)</f>
        <v>0</v>
      </c>
      <c r="H1700" s="131">
        <f xml:space="preserve"> ROUNDDOWN(H1697 * H1698 * H1699,0)</f>
        <v>0</v>
      </c>
      <c r="L1700" s="1" t="s">
        <v>233</v>
      </c>
      <c r="M1700" s="29" t="s">
        <v>201</v>
      </c>
      <c r="N1700" s="228" t="s">
        <v>22</v>
      </c>
    </row>
    <row r="1701" spans="1:14" ht="15" customHeight="1" x14ac:dyDescent="0.25">
      <c r="B1701" s="22"/>
      <c r="C1701" s="29"/>
      <c r="D1701" s="36"/>
      <c r="E1701" s="36"/>
      <c r="F1701" s="36"/>
      <c r="G1701" s="167"/>
      <c r="H1701" s="36"/>
      <c r="L1701" s="1" t="s">
        <v>233</v>
      </c>
      <c r="M1701" s="29" t="s">
        <v>201</v>
      </c>
    </row>
    <row r="1702" spans="1:14" ht="18.75" customHeight="1" x14ac:dyDescent="0.3">
      <c r="A1702" s="39" t="s">
        <v>119</v>
      </c>
      <c r="C1702" s="29"/>
      <c r="D1702" s="2">
        <f>StartYear</f>
        <v>2017</v>
      </c>
      <c r="E1702" s="2">
        <f>D1702+1</f>
        <v>2018</v>
      </c>
      <c r="F1702" s="2">
        <f>E1702+1</f>
        <v>2019</v>
      </c>
      <c r="G1702" s="2">
        <f>F1702+1</f>
        <v>2020</v>
      </c>
      <c r="H1702" s="2">
        <f>G1702+1</f>
        <v>2021</v>
      </c>
      <c r="L1702" s="1" t="s">
        <v>233</v>
      </c>
      <c r="M1702" s="29" t="s">
        <v>201</v>
      </c>
      <c r="N1702" s="228" t="s">
        <v>119</v>
      </c>
    </row>
    <row r="1703" spans="1:14" x14ac:dyDescent="0.25">
      <c r="B1703" s="57" t="s">
        <v>10</v>
      </c>
      <c r="C1703" s="52"/>
      <c r="D1703" s="10">
        <f ca="1">IF(VLOOKUP($C1694,Facilities,5,FALSE)="Eligible", D1700*ApprenticeshipBonus, 0 )</f>
        <v>0</v>
      </c>
      <c r="E1703" s="109">
        <f ca="1">IF(VLOOKUP($C1694,Facilities,5,FALSE)="Eligible", E1700*ApprenticeshipBonus, 0 )</f>
        <v>0</v>
      </c>
      <c r="F1703" s="109">
        <f ca="1">IF(VLOOKUP($C1694,Facilities,5,FALSE)="Eligible", F1700*ApprenticeshipBonus, 0 )</f>
        <v>0</v>
      </c>
      <c r="G1703" s="109">
        <f ca="1">IF(VLOOKUP($C1694,Facilities,5,FALSE)="Eligible", G1700*ApprenticeshipBonus, 0 )</f>
        <v>0</v>
      </c>
      <c r="H1703" s="11">
        <f ca="1">IF(VLOOKUP($C1694,Facilities,5,FALSE)="Eligible", H1700*ApprenticeshipBonus, 0 )</f>
        <v>0</v>
      </c>
      <c r="L1703" s="1" t="s">
        <v>233</v>
      </c>
      <c r="M1703" s="29" t="s">
        <v>201</v>
      </c>
      <c r="N1703" s="228" t="s">
        <v>10</v>
      </c>
    </row>
    <row r="1704" spans="1:14" ht="15" customHeight="1" x14ac:dyDescent="0.25">
      <c r="B1704" s="57" t="s">
        <v>6</v>
      </c>
      <c r="C1704" s="52"/>
      <c r="D1704" s="44">
        <f ca="1">IF(VLOOKUP($C1694,Facilities,6,FALSE)="Eligible", D1700, 0 )</f>
        <v>0</v>
      </c>
      <c r="E1704" s="110">
        <f ca="1">IF(VLOOKUP($C1694,Facilities,6,FALSE)="Eligible", E1700, 0 )</f>
        <v>0</v>
      </c>
      <c r="F1704" s="110">
        <f ca="1">IF(VLOOKUP($C1694,Facilities,6,FALSE)="Eligible", F1700, 0 )</f>
        <v>0</v>
      </c>
      <c r="G1704" s="110">
        <f ca="1">IF(VLOOKUP($C1694,Facilities,6,FALSE)="Eligible", G1700, 0 )</f>
        <v>0</v>
      </c>
      <c r="H1704" s="45">
        <f ca="1">IF(VLOOKUP($C1694,Facilities,6,FALSE)="Eligible", H1700, 0 )</f>
        <v>0</v>
      </c>
      <c r="L1704" s="1" t="s">
        <v>233</v>
      </c>
      <c r="M1704" s="29" t="s">
        <v>201</v>
      </c>
      <c r="N1704" s="228" t="s">
        <v>6</v>
      </c>
    </row>
    <row r="1705" spans="1:14" ht="15" customHeight="1" x14ac:dyDescent="0.25">
      <c r="B1705" s="56" t="s">
        <v>121</v>
      </c>
      <c r="C1705" s="55"/>
      <c r="D1705" s="37">
        <f ca="1">SUM(D1703:D1704)</f>
        <v>0</v>
      </c>
      <c r="E1705" s="37">
        <f ca="1">SUM(E1703:E1704)</f>
        <v>0</v>
      </c>
      <c r="F1705" s="37">
        <f ca="1">SUM(F1703:F1704)</f>
        <v>0</v>
      </c>
      <c r="G1705" s="37">
        <f ca="1">SUM(G1703:G1704)</f>
        <v>0</v>
      </c>
      <c r="H1705" s="37">
        <f ca="1">SUM(H1703:H1704)</f>
        <v>0</v>
      </c>
      <c r="L1705" s="1" t="s">
        <v>233</v>
      </c>
      <c r="M1705" s="29" t="s">
        <v>201</v>
      </c>
      <c r="N1705" s="228" t="s">
        <v>121</v>
      </c>
    </row>
    <row r="1706" spans="1:14" ht="15" customHeight="1" x14ac:dyDescent="0.25">
      <c r="B1706" s="29"/>
      <c r="C1706" s="29"/>
      <c r="D1706" s="30"/>
      <c r="E1706" s="30"/>
      <c r="F1706" s="30"/>
      <c r="G1706" s="169"/>
      <c r="H1706" s="30"/>
      <c r="L1706" s="1" t="s">
        <v>233</v>
      </c>
      <c r="M1706" s="29" t="s">
        <v>201</v>
      </c>
    </row>
    <row r="1707" spans="1:14" ht="18.75" customHeight="1" x14ac:dyDescent="0.3">
      <c r="A1707" s="38" t="s">
        <v>30</v>
      </c>
      <c r="C1707" s="29"/>
      <c r="D1707" s="2">
        <f>StartYear</f>
        <v>2017</v>
      </c>
      <c r="E1707" s="2">
        <f>D1707+1</f>
        <v>2018</v>
      </c>
      <c r="F1707" s="2">
        <f>E1707+1</f>
        <v>2019</v>
      </c>
      <c r="G1707" s="2">
        <f>F1707+1</f>
        <v>2020</v>
      </c>
      <c r="H1707" s="2">
        <f>G1707+1</f>
        <v>2021</v>
      </c>
      <c r="L1707" s="1" t="s">
        <v>233</v>
      </c>
      <c r="M1707" s="29" t="s">
        <v>201</v>
      </c>
      <c r="N1707" s="228" t="s">
        <v>30</v>
      </c>
    </row>
    <row r="1708" spans="1:14" ht="15" customHeight="1" x14ac:dyDescent="0.25">
      <c r="B1708" s="57" t="s">
        <v>47</v>
      </c>
      <c r="C1708" s="52"/>
      <c r="D1708" s="3"/>
      <c r="E1708" s="3"/>
      <c r="F1708" s="3"/>
      <c r="G1708" s="3"/>
      <c r="H1708" s="4"/>
      <c r="L1708" s="1" t="s">
        <v>233</v>
      </c>
      <c r="M1708" s="29" t="s">
        <v>201</v>
      </c>
      <c r="N1708" s="228" t="s">
        <v>47</v>
      </c>
    </row>
    <row r="1709" spans="1:14" ht="15" customHeight="1" x14ac:dyDescent="0.25">
      <c r="B1709" s="58" t="s">
        <v>23</v>
      </c>
      <c r="C1709" s="59"/>
      <c r="D1709" s="137"/>
      <c r="E1709" s="137"/>
      <c r="F1709" s="137"/>
      <c r="G1709" s="137"/>
      <c r="H1709" s="138"/>
      <c r="L1709" s="1" t="s">
        <v>233</v>
      </c>
      <c r="M1709" s="29" t="s">
        <v>201</v>
      </c>
      <c r="N1709" s="228" t="s">
        <v>23</v>
      </c>
    </row>
    <row r="1710" spans="1:14" ht="15" customHeight="1" x14ac:dyDescent="0.25">
      <c r="B1710" s="68" t="s">
        <v>89</v>
      </c>
      <c r="C1710" s="67"/>
      <c r="D1710" s="191"/>
      <c r="E1710" s="139"/>
      <c r="F1710" s="139"/>
      <c r="G1710" s="139"/>
      <c r="H1710" s="140"/>
      <c r="L1710" s="1" t="s">
        <v>233</v>
      </c>
      <c r="M1710" s="29" t="s">
        <v>201</v>
      </c>
      <c r="N1710" s="228" t="s">
        <v>89</v>
      </c>
    </row>
    <row r="1711" spans="1:14" ht="15" customHeight="1" x14ac:dyDescent="0.25">
      <c r="B1711" s="32" t="s">
        <v>90</v>
      </c>
      <c r="D1711" s="6">
        <f>SUM(D1708:D1710)</f>
        <v>0</v>
      </c>
      <c r="E1711" s="6">
        <f>SUM(E1708:E1710)</f>
        <v>0</v>
      </c>
      <c r="F1711" s="6">
        <f>SUM(F1708:F1710)</f>
        <v>0</v>
      </c>
      <c r="G1711" s="6">
        <f>SUM(G1708:G1710)</f>
        <v>0</v>
      </c>
      <c r="H1711" s="6">
        <f>SUM(H1708:H1710)</f>
        <v>0</v>
      </c>
      <c r="L1711" s="1" t="s">
        <v>233</v>
      </c>
      <c r="M1711" s="29" t="s">
        <v>201</v>
      </c>
      <c r="N1711" s="228" t="s">
        <v>90</v>
      </c>
    </row>
    <row r="1712" spans="1:14" ht="15" customHeight="1" x14ac:dyDescent="0.25">
      <c r="B1712" s="5"/>
      <c r="D1712" s="6"/>
      <c r="E1712" s="6"/>
      <c r="F1712" s="6"/>
      <c r="G1712" s="167"/>
      <c r="H1712" s="6"/>
      <c r="L1712" s="1" t="s">
        <v>233</v>
      </c>
      <c r="M1712" s="29" t="s">
        <v>201</v>
      </c>
    </row>
    <row r="1713" spans="1:14" ht="18.75" customHeight="1" x14ac:dyDescent="0.3">
      <c r="A1713" s="8" t="s">
        <v>100</v>
      </c>
      <c r="D1713" s="2">
        <f>StartYear</f>
        <v>2017</v>
      </c>
      <c r="E1713" s="2">
        <f>D1713+1</f>
        <v>2018</v>
      </c>
      <c r="F1713" s="2">
        <f>E1713+1</f>
        <v>2019</v>
      </c>
      <c r="G1713" s="2">
        <f>F1713+1</f>
        <v>2020</v>
      </c>
      <c r="H1713" s="2">
        <f>G1713+1</f>
        <v>2021</v>
      </c>
      <c r="L1713" s="1" t="s">
        <v>233</v>
      </c>
      <c r="M1713" s="29" t="s">
        <v>201</v>
      </c>
      <c r="N1713" s="228" t="s">
        <v>100</v>
      </c>
    </row>
    <row r="1714" spans="1:14" ht="15" customHeight="1" x14ac:dyDescent="0.25">
      <c r="B1714" s="57" t="str">
        <f>(StartYear-1) &amp; " Surplus Applied to " &amp; StartYear</f>
        <v>2016 Surplus Applied to 2017</v>
      </c>
      <c r="C1714" s="29"/>
      <c r="D1714" s="186">
        <v>0</v>
      </c>
      <c r="E1714" s="187"/>
      <c r="F1714" s="187"/>
      <c r="G1714" s="187"/>
      <c r="H1714" s="188"/>
      <c r="L1714" s="1" t="s">
        <v>233</v>
      </c>
      <c r="M1714" s="29" t="s">
        <v>201</v>
      </c>
      <c r="N1714" s="228" t="s">
        <v>235</v>
      </c>
    </row>
    <row r="1715" spans="1:14" ht="15" customHeight="1" x14ac:dyDescent="0.25">
      <c r="B1715" s="57" t="str">
        <f>StartYear &amp; " Surplus Applied to " &amp; (StartYear-1)</f>
        <v>2017 Surplus Applied to 2016</v>
      </c>
      <c r="C1715" s="29"/>
      <c r="D1715" s="189">
        <v>0</v>
      </c>
      <c r="E1715" s="113"/>
      <c r="F1715" s="113"/>
      <c r="G1715" s="113"/>
      <c r="H1715" s="117"/>
      <c r="L1715" s="1" t="s">
        <v>233</v>
      </c>
      <c r="M1715" s="29" t="s">
        <v>201</v>
      </c>
      <c r="N1715" s="228" t="s">
        <v>236</v>
      </c>
    </row>
    <row r="1716" spans="1:14" ht="15" customHeight="1" x14ac:dyDescent="0.25">
      <c r="B1716" s="57" t="str">
        <f>( StartYear) &amp; " Surplus Applied to " &amp; ( StartYear + 1 )</f>
        <v>2017 Surplus Applied to 2018</v>
      </c>
      <c r="C1716" s="29"/>
      <c r="D1716" s="184">
        <f ca="1">D1700+D1705-D1711</f>
        <v>0</v>
      </c>
      <c r="E1716" s="185">
        <f ca="1">D1716</f>
        <v>0</v>
      </c>
      <c r="F1716" s="181"/>
      <c r="G1716" s="181"/>
      <c r="H1716" s="182"/>
      <c r="L1716" s="1" t="s">
        <v>233</v>
      </c>
      <c r="M1716" s="29" t="s">
        <v>201</v>
      </c>
      <c r="N1716" s="228" t="s">
        <v>237</v>
      </c>
    </row>
    <row r="1717" spans="1:14" ht="15" customHeight="1" x14ac:dyDescent="0.25">
      <c r="B1717" s="57" t="str">
        <f xml:space="preserve"> ( StartYear + 1 ) &amp; " Surplus Applied to " &amp; ( StartYear )</f>
        <v>2018 Surplus Applied to 2017</v>
      </c>
      <c r="C1717" s="52"/>
      <c r="D1717" s="134">
        <v>0</v>
      </c>
      <c r="E1717" s="9">
        <v>0</v>
      </c>
      <c r="F1717" s="113"/>
      <c r="G1717" s="113"/>
      <c r="H1717" s="117"/>
      <c r="L1717" s="1" t="s">
        <v>233</v>
      </c>
      <c r="M1717" s="29" t="s">
        <v>201</v>
      </c>
      <c r="N1717" s="228" t="s">
        <v>238</v>
      </c>
    </row>
    <row r="1718" spans="1:14" ht="15" customHeight="1" x14ac:dyDescent="0.25">
      <c r="B1718" s="119" t="str">
        <f xml:space="preserve"> ( StartYear + 1 ) &amp; " Surplus Applied to " &amp; ( StartYear + 2 )</f>
        <v>2018 Surplus Applied to 2019</v>
      </c>
      <c r="C1718" s="52"/>
      <c r="D1718" s="114"/>
      <c r="E1718" s="9">
        <v>0</v>
      </c>
      <c r="F1718" s="51">
        <f>E1718</f>
        <v>0</v>
      </c>
      <c r="G1718" s="113"/>
      <c r="H1718" s="117"/>
      <c r="L1718" s="1" t="s">
        <v>233</v>
      </c>
      <c r="M1718" s="29" t="s">
        <v>201</v>
      </c>
      <c r="N1718" s="228" t="s">
        <v>239</v>
      </c>
    </row>
    <row r="1719" spans="1:14" ht="15" customHeight="1" x14ac:dyDescent="0.25">
      <c r="B1719" s="119" t="str">
        <f xml:space="preserve"> ( StartYear + 2 ) &amp; " Surplus Applied to " &amp; ( StartYear + 1 )</f>
        <v>2019 Surplus Applied to 2018</v>
      </c>
      <c r="C1719" s="52"/>
      <c r="D1719" s="114"/>
      <c r="E1719" s="51">
        <v>0</v>
      </c>
      <c r="F1719" s="9">
        <v>0</v>
      </c>
      <c r="G1719" s="113"/>
      <c r="H1719" s="117"/>
      <c r="L1719" s="1" t="s">
        <v>233</v>
      </c>
      <c r="M1719" s="29" t="s">
        <v>201</v>
      </c>
      <c r="N1719" s="228" t="s">
        <v>240</v>
      </c>
    </row>
    <row r="1720" spans="1:14" ht="15" customHeight="1" x14ac:dyDescent="0.25">
      <c r="B1720" s="165" t="str">
        <f xml:space="preserve"> ( StartYear + 2 ) &amp; " Surplus Applied to " &amp; ( StartYear + 3 )</f>
        <v>2019 Surplus Applied to 2020</v>
      </c>
      <c r="C1720" s="29"/>
      <c r="D1720" s="114"/>
      <c r="E1720" s="113"/>
      <c r="F1720" s="9">
        <v>30105</v>
      </c>
      <c r="G1720" s="51">
        <f>F1720</f>
        <v>30105</v>
      </c>
      <c r="H1720" s="117"/>
      <c r="L1720" s="1" t="s">
        <v>233</v>
      </c>
      <c r="M1720" s="29" t="s">
        <v>201</v>
      </c>
      <c r="N1720" s="228" t="s">
        <v>241</v>
      </c>
    </row>
    <row r="1721" spans="1:14" ht="15" customHeight="1" x14ac:dyDescent="0.25">
      <c r="B1721" s="165" t="str">
        <f xml:space="preserve"> ( StartYear + 3 ) &amp; " Surplus Applied to " &amp; ( StartYear + 2 )</f>
        <v>2020 Surplus Applied to 2019</v>
      </c>
      <c r="C1721" s="29"/>
      <c r="D1721" s="114"/>
      <c r="E1721" s="113"/>
      <c r="F1721" s="51">
        <v>0</v>
      </c>
      <c r="G1721" s="9">
        <v>0</v>
      </c>
      <c r="H1721" s="117"/>
      <c r="L1721" s="1" t="s">
        <v>233</v>
      </c>
      <c r="M1721" s="29" t="s">
        <v>201</v>
      </c>
      <c r="N1721" s="228" t="s">
        <v>242</v>
      </c>
    </row>
    <row r="1722" spans="1:14" ht="15" customHeight="1" x14ac:dyDescent="0.25">
      <c r="B1722" s="165" t="str">
        <f xml:space="preserve"> ( StartYear + 3 ) &amp; " Surplus Applied to " &amp; ( StartYear + 4 )</f>
        <v>2020 Surplus Applied to 2021</v>
      </c>
      <c r="C1722" s="29"/>
      <c r="D1722" s="114"/>
      <c r="E1722" s="113"/>
      <c r="F1722" s="113"/>
      <c r="G1722" s="9">
        <f ca="1">G1700+G1705-G1711</f>
        <v>0</v>
      </c>
      <c r="H1722" s="46">
        <f ca="1">G1722</f>
        <v>0</v>
      </c>
      <c r="L1722" s="1" t="s">
        <v>233</v>
      </c>
      <c r="M1722" s="29" t="s">
        <v>201</v>
      </c>
      <c r="N1722" s="228" t="s">
        <v>243</v>
      </c>
    </row>
    <row r="1723" spans="1:14" ht="15" customHeight="1" x14ac:dyDescent="0.25">
      <c r="B1723" s="165" t="str">
        <f xml:space="preserve"> ( StartYear + 4 ) &amp; " Surplus Applied to " &amp; ( StartYear + 3 )</f>
        <v>2021 Surplus Applied to 2020</v>
      </c>
      <c r="C1723" s="29"/>
      <c r="D1723" s="115"/>
      <c r="E1723" s="116"/>
      <c r="F1723" s="116"/>
      <c r="G1723" s="47">
        <v>0</v>
      </c>
      <c r="H1723" s="41">
        <v>0</v>
      </c>
      <c r="L1723" s="1" t="s">
        <v>233</v>
      </c>
      <c r="M1723" s="29" t="s">
        <v>201</v>
      </c>
      <c r="N1723" s="228" t="s">
        <v>244</v>
      </c>
    </row>
    <row r="1724" spans="1:14" ht="15" customHeight="1" x14ac:dyDescent="0.25">
      <c r="B1724" s="32" t="s">
        <v>17</v>
      </c>
      <c r="D1724" s="6">
        <f ca="1">D1714-D1715+D1717-D1716</f>
        <v>0</v>
      </c>
      <c r="E1724" s="6">
        <f ca="1">E1716+E1719-E1717-E1718</f>
        <v>0</v>
      </c>
      <c r="F1724" s="6">
        <f>F1718+F1721-F1719-F1720</f>
        <v>-30105</v>
      </c>
      <c r="G1724" s="6">
        <f ca="1">G1720+G1723-G1721-G1722</f>
        <v>30105</v>
      </c>
      <c r="H1724" s="6">
        <f ca="1">H1722 - H1723</f>
        <v>0</v>
      </c>
      <c r="L1724" s="1" t="s">
        <v>233</v>
      </c>
      <c r="M1724" s="29" t="s">
        <v>201</v>
      </c>
      <c r="N1724" s="228" t="s">
        <v>17</v>
      </c>
    </row>
    <row r="1725" spans="1:14" ht="15" customHeight="1" x14ac:dyDescent="0.25">
      <c r="B1725" s="5"/>
      <c r="D1725" s="6"/>
      <c r="E1725" s="6"/>
      <c r="F1725" s="6"/>
      <c r="G1725" s="6"/>
      <c r="H1725" s="6"/>
      <c r="L1725" s="1" t="s">
        <v>233</v>
      </c>
      <c r="M1725" s="29" t="s">
        <v>201</v>
      </c>
    </row>
    <row r="1726" spans="1:14" ht="15" customHeight="1" x14ac:dyDescent="0.25">
      <c r="B1726" s="54" t="s">
        <v>12</v>
      </c>
      <c r="C1726" s="52"/>
      <c r="D1726" s="75"/>
      <c r="E1726" s="111"/>
      <c r="F1726" s="111"/>
      <c r="G1726" s="111"/>
      <c r="H1726" s="76"/>
      <c r="L1726" s="1" t="s">
        <v>233</v>
      </c>
      <c r="M1726" s="29" t="s">
        <v>201</v>
      </c>
      <c r="N1726" s="228" t="s">
        <v>12</v>
      </c>
    </row>
    <row r="1727" spans="1:14" ht="15" customHeight="1" x14ac:dyDescent="0.25">
      <c r="B1727" s="5"/>
      <c r="D1727" s="6"/>
      <c r="E1727" s="6"/>
      <c r="F1727" s="6"/>
      <c r="G1727" s="6"/>
      <c r="H1727" s="6"/>
      <c r="L1727" s="1" t="s">
        <v>233</v>
      </c>
      <c r="M1727" s="29" t="s">
        <v>201</v>
      </c>
    </row>
    <row r="1728" spans="1:14" ht="18.75" customHeight="1" x14ac:dyDescent="0.3">
      <c r="A1728" s="38" t="s">
        <v>26</v>
      </c>
      <c r="C1728" s="52">
        <f>A1694</f>
        <v>44</v>
      </c>
      <c r="D1728" s="112">
        <f ca="1" xml:space="preserve"> D1700 + D1705 - D1711 + D1724 + D1726</f>
        <v>0</v>
      </c>
      <c r="E1728" s="112">
        <f ca="1" xml:space="preserve"> E1700 + E1705 - E1711 + E1724 + E1726</f>
        <v>0</v>
      </c>
      <c r="F1728" s="112">
        <f ca="1" xml:space="preserve"> F1700 + F1705 - F1711 + F1724 + F1726</f>
        <v>0</v>
      </c>
      <c r="G1728" s="112">
        <f ca="1" xml:space="preserve"> G1700 + G1705 - G1711 + G1724 + G1726</f>
        <v>30105</v>
      </c>
      <c r="H1728" s="174">
        <f ca="1" xml:space="preserve"> H1700 + H1705 - H1711 + H1724 + H1726</f>
        <v>0</v>
      </c>
      <c r="L1728" s="1" t="s">
        <v>233</v>
      </c>
      <c r="M1728" s="29" t="s">
        <v>201</v>
      </c>
      <c r="N1728" s="228" t="s">
        <v>26</v>
      </c>
    </row>
    <row r="1729" spans="1:14" ht="15" customHeight="1" x14ac:dyDescent="0.25">
      <c r="B1729" s="5"/>
      <c r="C1729" s="211" t="s">
        <v>158</v>
      </c>
      <c r="D1729" s="6"/>
      <c r="E1729" s="6"/>
      <c r="F1729" s="28"/>
      <c r="G1729" s="28"/>
      <c r="H1729" s="28"/>
      <c r="L1729" s="1" t="s">
        <v>233</v>
      </c>
      <c r="M1729" s="29" t="s">
        <v>201</v>
      </c>
      <c r="N1729" s="228" t="s">
        <v>158</v>
      </c>
    </row>
    <row r="1730" spans="1:14" ht="15.75" customHeight="1" thickBot="1" x14ac:dyDescent="0.3">
      <c r="L1730" s="1" t="s">
        <v>233</v>
      </c>
      <c r="M1730" s="29" t="s">
        <v>201</v>
      </c>
    </row>
    <row r="1731" spans="1:14" ht="15" customHeight="1" x14ac:dyDescent="0.25">
      <c r="A1731" s="7"/>
      <c r="B1731" s="7"/>
      <c r="C1731" s="7"/>
      <c r="D1731" s="170"/>
      <c r="E1731" s="7"/>
      <c r="F1731" s="7"/>
      <c r="G1731" s="7"/>
      <c r="H1731" s="7"/>
      <c r="L1731" s="1" t="s">
        <v>233</v>
      </c>
      <c r="M1731" s="29" t="s">
        <v>201</v>
      </c>
    </row>
    <row r="1732" spans="1:14" ht="21" customHeight="1" x14ac:dyDescent="0.35">
      <c r="A1732" s="12">
        <f>MAX(A$1:A1731)+1</f>
        <v>45</v>
      </c>
      <c r="B1732" s="12"/>
      <c r="C1732" s="214" t="str">
        <f ca="1">OFFSET($B$4,A1732-1,0)</f>
        <v>White Creek Wind 1 - White Creek</v>
      </c>
      <c r="D1732" s="215"/>
      <c r="E1732" s="216"/>
      <c r="F1732" s="216"/>
      <c r="G1732" s="217"/>
      <c r="H1732" s="218"/>
      <c r="L1732" s="1" t="s">
        <v>233</v>
      </c>
      <c r="M1732" s="29" t="s">
        <v>202</v>
      </c>
      <c r="N1732" s="228">
        <v>47</v>
      </c>
    </row>
    <row r="1733" spans="1:14" ht="15" customHeight="1" x14ac:dyDescent="0.25">
      <c r="C1733" s="1" t="str">
        <f ca="1">VLOOKUP(C1732,Facilities,3,FALSE)</f>
        <v>REC only</v>
      </c>
      <c r="L1733" s="1" t="s">
        <v>233</v>
      </c>
      <c r="M1733" s="29" t="s">
        <v>202</v>
      </c>
      <c r="N1733" s="228" t="s">
        <v>181</v>
      </c>
    </row>
    <row r="1734" spans="1:14" ht="18.75" customHeight="1" x14ac:dyDescent="0.3">
      <c r="A1734" s="8" t="s">
        <v>21</v>
      </c>
      <c r="B1734" s="8"/>
      <c r="D1734" s="118">
        <f>StartYear</f>
        <v>2017</v>
      </c>
      <c r="E1734" s="2">
        <f>D1734+1</f>
        <v>2018</v>
      </c>
      <c r="F1734" s="2">
        <f>E1734+1</f>
        <v>2019</v>
      </c>
      <c r="G1734" s="2">
        <f>F1734+1</f>
        <v>2020</v>
      </c>
      <c r="H1734" s="2">
        <f>G1734+1</f>
        <v>2021</v>
      </c>
      <c r="L1734" s="1" t="s">
        <v>233</v>
      </c>
      <c r="M1734" s="29" t="s">
        <v>202</v>
      </c>
      <c r="N1734" s="228" t="s">
        <v>21</v>
      </c>
    </row>
    <row r="1735" spans="1:14" ht="15" customHeight="1" x14ac:dyDescent="0.25">
      <c r="B1735" s="119" t="str">
        <f ca="1">IF(C1771&lt;&gt;"REC only","Total MWh ","")&amp;IF(C1733="PSE owned","Produced","Purchased")&amp;" from "&amp;C1732</f>
        <v>Total MWh Purchased from White Creek Wind 1 - White Creek</v>
      </c>
      <c r="C1735" s="52"/>
      <c r="D1735" s="3"/>
      <c r="E1735" s="3"/>
      <c r="F1735" s="3">
        <v>3077</v>
      </c>
      <c r="G1735" s="3"/>
      <c r="H1735" s="4"/>
      <c r="L1735" s="1" t="s">
        <v>233</v>
      </c>
      <c r="M1735" s="29" t="s">
        <v>202</v>
      </c>
      <c r="N1735" s="228" t="s">
        <v>288</v>
      </c>
    </row>
    <row r="1736" spans="1:14" ht="15" customHeight="1" x14ac:dyDescent="0.25">
      <c r="B1736" s="57" t="s">
        <v>25</v>
      </c>
      <c r="C1736" s="52"/>
      <c r="D1736" s="132"/>
      <c r="E1736" s="132"/>
      <c r="F1736" s="132">
        <v>1</v>
      </c>
      <c r="G1736" s="132"/>
      <c r="H1736" s="133"/>
      <c r="L1736" s="1" t="s">
        <v>233</v>
      </c>
      <c r="M1736" s="29" t="s">
        <v>202</v>
      </c>
      <c r="N1736" s="228" t="s">
        <v>25</v>
      </c>
    </row>
    <row r="1737" spans="1:14" ht="15" customHeight="1" x14ac:dyDescent="0.25">
      <c r="B1737" s="57" t="s">
        <v>20</v>
      </c>
      <c r="C1737" s="52"/>
      <c r="D1737" s="42"/>
      <c r="E1737" s="42"/>
      <c r="F1737" s="42">
        <v>1</v>
      </c>
      <c r="G1737" s="42"/>
      <c r="H1737" s="43"/>
      <c r="L1737" s="1" t="s">
        <v>233</v>
      </c>
      <c r="M1737" s="29" t="s">
        <v>202</v>
      </c>
      <c r="N1737" s="228" t="s">
        <v>20</v>
      </c>
    </row>
    <row r="1738" spans="1:14" ht="15" customHeight="1" x14ac:dyDescent="0.25">
      <c r="B1738" s="54" t="s">
        <v>22</v>
      </c>
      <c r="C1738" s="55"/>
      <c r="D1738" s="131">
        <f xml:space="preserve"> D1735 * D1736 * D1737</f>
        <v>0</v>
      </c>
      <c r="E1738" s="131">
        <f xml:space="preserve"> E1735 * E1736 * E1737</f>
        <v>0</v>
      </c>
      <c r="F1738" s="131">
        <f xml:space="preserve"> ROUNDDOWN(F1735 * F1736 * F1737,0)</f>
        <v>3077</v>
      </c>
      <c r="G1738" s="131">
        <f xml:space="preserve"> ROUNDDOWN(G1735 * G1736 * G1737,0)</f>
        <v>0</v>
      </c>
      <c r="H1738" s="131">
        <f xml:space="preserve"> ROUNDDOWN(H1735 * H1736 * H1737,0)</f>
        <v>0</v>
      </c>
      <c r="L1738" s="1" t="s">
        <v>233</v>
      </c>
      <c r="M1738" s="29" t="s">
        <v>202</v>
      </c>
      <c r="N1738" s="228" t="s">
        <v>22</v>
      </c>
    </row>
    <row r="1739" spans="1:14" ht="15" customHeight="1" x14ac:dyDescent="0.25">
      <c r="B1739" s="22"/>
      <c r="C1739" s="29"/>
      <c r="D1739" s="36"/>
      <c r="E1739" s="36"/>
      <c r="F1739" s="36"/>
      <c r="G1739" s="167"/>
      <c r="H1739" s="36"/>
      <c r="L1739" s="1" t="s">
        <v>233</v>
      </c>
      <c r="M1739" s="29" t="s">
        <v>202</v>
      </c>
    </row>
    <row r="1740" spans="1:14" ht="18.75" customHeight="1" x14ac:dyDescent="0.3">
      <c r="A1740" s="39" t="s">
        <v>119</v>
      </c>
      <c r="C1740" s="29"/>
      <c r="D1740" s="2">
        <f>StartYear</f>
        <v>2017</v>
      </c>
      <c r="E1740" s="2">
        <f>D1740+1</f>
        <v>2018</v>
      </c>
      <c r="F1740" s="2">
        <f>E1740+1</f>
        <v>2019</v>
      </c>
      <c r="G1740" s="2">
        <f>F1740+1</f>
        <v>2020</v>
      </c>
      <c r="H1740" s="2">
        <f>G1740+1</f>
        <v>2021</v>
      </c>
      <c r="L1740" s="1" t="s">
        <v>233</v>
      </c>
      <c r="M1740" s="29" t="s">
        <v>202</v>
      </c>
      <c r="N1740" s="228" t="s">
        <v>119</v>
      </c>
    </row>
    <row r="1741" spans="1:14" x14ac:dyDescent="0.25">
      <c r="B1741" s="57" t="s">
        <v>10</v>
      </c>
      <c r="C1741" s="52"/>
      <c r="D1741" s="10">
        <f ca="1">IF(VLOOKUP($C1732,Facilities,5,FALSE)="Eligible", D1738*ApprenticeshipBonus, 0 )</f>
        <v>0</v>
      </c>
      <c r="E1741" s="109">
        <f ca="1">IF(VLOOKUP($C1732,Facilities,5,FALSE)="Eligible", E1738*ApprenticeshipBonus, 0 )</f>
        <v>0</v>
      </c>
      <c r="F1741" s="109">
        <f ca="1">IF(VLOOKUP($C1732,Facilities,5,FALSE)="Eligible", F1738*ApprenticeshipBonus, 0 )</f>
        <v>0</v>
      </c>
      <c r="G1741" s="109">
        <f ca="1">IF(VLOOKUP($C1732,Facilities,5,FALSE)="Eligible", G1738*ApprenticeshipBonus, 0 )</f>
        <v>0</v>
      </c>
      <c r="H1741" s="11">
        <f ca="1">IF(VLOOKUP($C1732,Facilities,5,FALSE)="Eligible", H1738*ApprenticeshipBonus, 0 )</f>
        <v>0</v>
      </c>
      <c r="L1741" s="1" t="s">
        <v>233</v>
      </c>
      <c r="M1741" s="29" t="s">
        <v>202</v>
      </c>
      <c r="N1741" s="228" t="s">
        <v>10</v>
      </c>
    </row>
    <row r="1742" spans="1:14" ht="15" customHeight="1" x14ac:dyDescent="0.25">
      <c r="B1742" s="57" t="s">
        <v>6</v>
      </c>
      <c r="C1742" s="52"/>
      <c r="D1742" s="44">
        <f ca="1">IF(VLOOKUP($C1732,Facilities,6,FALSE)="Eligible", D1738, 0 )</f>
        <v>0</v>
      </c>
      <c r="E1742" s="110">
        <f ca="1">IF(VLOOKUP($C1732,Facilities,6,FALSE)="Eligible", E1738, 0 )</f>
        <v>0</v>
      </c>
      <c r="F1742" s="110">
        <f ca="1">IF(VLOOKUP($C1732,Facilities,6,FALSE)="Eligible", F1738, 0 )</f>
        <v>0</v>
      </c>
      <c r="G1742" s="110">
        <f ca="1">IF(VLOOKUP($C1732,Facilities,6,FALSE)="Eligible", G1738, 0 )</f>
        <v>0</v>
      </c>
      <c r="H1742" s="45">
        <f ca="1">IF(VLOOKUP($C1732,Facilities,6,FALSE)="Eligible", H1738, 0 )</f>
        <v>0</v>
      </c>
      <c r="L1742" s="1" t="s">
        <v>233</v>
      </c>
      <c r="M1742" s="29" t="s">
        <v>202</v>
      </c>
      <c r="N1742" s="228" t="s">
        <v>6</v>
      </c>
    </row>
    <row r="1743" spans="1:14" ht="15" customHeight="1" x14ac:dyDescent="0.25">
      <c r="B1743" s="56" t="s">
        <v>121</v>
      </c>
      <c r="C1743" s="55"/>
      <c r="D1743" s="37">
        <f ca="1">SUM(D1741:D1742)</f>
        <v>0</v>
      </c>
      <c r="E1743" s="37">
        <f ca="1">SUM(E1741:E1742)</f>
        <v>0</v>
      </c>
      <c r="F1743" s="37">
        <f ca="1">SUM(F1741:F1742)</f>
        <v>0</v>
      </c>
      <c r="G1743" s="37">
        <f ca="1">SUM(G1741:G1742)</f>
        <v>0</v>
      </c>
      <c r="H1743" s="37">
        <f ca="1">SUM(H1741:H1742)</f>
        <v>0</v>
      </c>
      <c r="L1743" s="1" t="s">
        <v>233</v>
      </c>
      <c r="M1743" s="29" t="s">
        <v>202</v>
      </c>
      <c r="N1743" s="228" t="s">
        <v>121</v>
      </c>
    </row>
    <row r="1744" spans="1:14" ht="15" customHeight="1" x14ac:dyDescent="0.25">
      <c r="B1744" s="29"/>
      <c r="C1744" s="29"/>
      <c r="D1744" s="30"/>
      <c r="E1744" s="30"/>
      <c r="F1744" s="30"/>
      <c r="G1744" s="169"/>
      <c r="H1744" s="30"/>
      <c r="L1744" s="1" t="s">
        <v>233</v>
      </c>
      <c r="M1744" s="29" t="s">
        <v>202</v>
      </c>
    </row>
    <row r="1745" spans="1:14" ht="18.75" customHeight="1" x14ac:dyDescent="0.3">
      <c r="A1745" s="38" t="s">
        <v>30</v>
      </c>
      <c r="C1745" s="29"/>
      <c r="D1745" s="2">
        <f>StartYear</f>
        <v>2017</v>
      </c>
      <c r="E1745" s="2">
        <f>D1745+1</f>
        <v>2018</v>
      </c>
      <c r="F1745" s="2">
        <f>E1745+1</f>
        <v>2019</v>
      </c>
      <c r="G1745" s="2">
        <f>F1745+1</f>
        <v>2020</v>
      </c>
      <c r="H1745" s="2">
        <f>G1745+1</f>
        <v>2021</v>
      </c>
      <c r="L1745" s="1" t="s">
        <v>233</v>
      </c>
      <c r="M1745" s="29" t="s">
        <v>202</v>
      </c>
      <c r="N1745" s="228" t="s">
        <v>30</v>
      </c>
    </row>
    <row r="1746" spans="1:14" ht="15" customHeight="1" x14ac:dyDescent="0.25">
      <c r="B1746" s="57" t="s">
        <v>47</v>
      </c>
      <c r="C1746" s="52"/>
      <c r="D1746" s="3"/>
      <c r="E1746" s="3"/>
      <c r="F1746" s="3"/>
      <c r="G1746" s="3"/>
      <c r="H1746" s="4"/>
      <c r="L1746" s="1" t="s">
        <v>233</v>
      </c>
      <c r="M1746" s="29" t="s">
        <v>202</v>
      </c>
      <c r="N1746" s="228" t="s">
        <v>47</v>
      </c>
    </row>
    <row r="1747" spans="1:14" ht="15" customHeight="1" x14ac:dyDescent="0.25">
      <c r="B1747" s="58" t="s">
        <v>23</v>
      </c>
      <c r="C1747" s="59"/>
      <c r="D1747" s="137"/>
      <c r="E1747" s="137"/>
      <c r="F1747" s="137"/>
      <c r="G1747" s="137"/>
      <c r="H1747" s="138"/>
      <c r="L1747" s="1" t="s">
        <v>233</v>
      </c>
      <c r="M1747" s="29" t="s">
        <v>202</v>
      </c>
      <c r="N1747" s="228" t="s">
        <v>23</v>
      </c>
    </row>
    <row r="1748" spans="1:14" ht="15" customHeight="1" x14ac:dyDescent="0.25">
      <c r="B1748" s="68" t="s">
        <v>89</v>
      </c>
      <c r="C1748" s="67"/>
      <c r="D1748" s="191"/>
      <c r="E1748" s="139"/>
      <c r="F1748" s="139"/>
      <c r="G1748" s="139"/>
      <c r="H1748" s="140"/>
      <c r="L1748" s="1" t="s">
        <v>233</v>
      </c>
      <c r="M1748" s="29" t="s">
        <v>202</v>
      </c>
      <c r="N1748" s="228" t="s">
        <v>89</v>
      </c>
    </row>
    <row r="1749" spans="1:14" ht="15" customHeight="1" x14ac:dyDescent="0.25">
      <c r="B1749" s="32" t="s">
        <v>90</v>
      </c>
      <c r="D1749" s="6">
        <f>SUM(D1746:D1748)</f>
        <v>0</v>
      </c>
      <c r="E1749" s="6">
        <f>SUM(E1746:E1748)</f>
        <v>0</v>
      </c>
      <c r="F1749" s="6">
        <f>SUM(F1746:F1748)</f>
        <v>0</v>
      </c>
      <c r="G1749" s="6">
        <f>SUM(G1746:G1748)</f>
        <v>0</v>
      </c>
      <c r="H1749" s="6">
        <f>SUM(H1746:H1748)</f>
        <v>0</v>
      </c>
      <c r="L1749" s="1" t="s">
        <v>233</v>
      </c>
      <c r="M1749" s="29" t="s">
        <v>202</v>
      </c>
      <c r="N1749" s="228" t="s">
        <v>90</v>
      </c>
    </row>
    <row r="1750" spans="1:14" ht="15" customHeight="1" x14ac:dyDescent="0.25">
      <c r="B1750" s="5"/>
      <c r="D1750" s="6"/>
      <c r="E1750" s="6"/>
      <c r="F1750" s="6"/>
      <c r="G1750" s="167"/>
      <c r="H1750" s="6"/>
      <c r="L1750" s="1" t="s">
        <v>233</v>
      </c>
      <c r="M1750" s="29" t="s">
        <v>202</v>
      </c>
    </row>
    <row r="1751" spans="1:14" ht="18.75" customHeight="1" x14ac:dyDescent="0.3">
      <c r="A1751" s="8" t="s">
        <v>100</v>
      </c>
      <c r="D1751" s="2">
        <f>StartYear</f>
        <v>2017</v>
      </c>
      <c r="E1751" s="2">
        <f>D1751+1</f>
        <v>2018</v>
      </c>
      <c r="F1751" s="2">
        <f>E1751+1</f>
        <v>2019</v>
      </c>
      <c r="G1751" s="2">
        <f>F1751+1</f>
        <v>2020</v>
      </c>
      <c r="H1751" s="2">
        <f>G1751+1</f>
        <v>2021</v>
      </c>
      <c r="L1751" s="1" t="s">
        <v>233</v>
      </c>
      <c r="M1751" s="29" t="s">
        <v>202</v>
      </c>
      <c r="N1751" s="228" t="s">
        <v>100</v>
      </c>
    </row>
    <row r="1752" spans="1:14" ht="15" customHeight="1" x14ac:dyDescent="0.25">
      <c r="B1752" s="57" t="str">
        <f>(StartYear-1) &amp; " Surplus Applied to " &amp; StartYear</f>
        <v>2016 Surplus Applied to 2017</v>
      </c>
      <c r="C1752" s="29"/>
      <c r="D1752" s="186">
        <v>0</v>
      </c>
      <c r="E1752" s="187"/>
      <c r="F1752" s="187"/>
      <c r="G1752" s="187"/>
      <c r="H1752" s="188"/>
      <c r="L1752" s="1" t="s">
        <v>233</v>
      </c>
      <c r="M1752" s="29" t="s">
        <v>202</v>
      </c>
      <c r="N1752" s="228" t="s">
        <v>235</v>
      </c>
    </row>
    <row r="1753" spans="1:14" ht="15" customHeight="1" x14ac:dyDescent="0.25">
      <c r="B1753" s="57" t="str">
        <f>StartYear &amp; " Surplus Applied to " &amp; (StartYear-1)</f>
        <v>2017 Surplus Applied to 2016</v>
      </c>
      <c r="C1753" s="29"/>
      <c r="D1753" s="189">
        <v>0</v>
      </c>
      <c r="E1753" s="113"/>
      <c r="F1753" s="113"/>
      <c r="G1753" s="113"/>
      <c r="H1753" s="117"/>
      <c r="L1753" s="1" t="s">
        <v>233</v>
      </c>
      <c r="M1753" s="29" t="s">
        <v>202</v>
      </c>
      <c r="N1753" s="228" t="s">
        <v>236</v>
      </c>
    </row>
    <row r="1754" spans="1:14" ht="15" customHeight="1" x14ac:dyDescent="0.25">
      <c r="B1754" s="57" t="str">
        <f>( StartYear) &amp; " Surplus Applied to " &amp; ( StartYear + 1 )</f>
        <v>2017 Surplus Applied to 2018</v>
      </c>
      <c r="C1754" s="29"/>
      <c r="D1754" s="184">
        <f ca="1">D1738+D1743-D1749</f>
        <v>0</v>
      </c>
      <c r="E1754" s="185">
        <f ca="1">D1754</f>
        <v>0</v>
      </c>
      <c r="F1754" s="181"/>
      <c r="G1754" s="181"/>
      <c r="H1754" s="182"/>
      <c r="L1754" s="1" t="s">
        <v>233</v>
      </c>
      <c r="M1754" s="29" t="s">
        <v>202</v>
      </c>
      <c r="N1754" s="228" t="s">
        <v>237</v>
      </c>
    </row>
    <row r="1755" spans="1:14" ht="15" customHeight="1" x14ac:dyDescent="0.25">
      <c r="B1755" s="57" t="str">
        <f xml:space="preserve"> ( StartYear + 1 ) &amp; " Surplus Applied to " &amp; ( StartYear )</f>
        <v>2018 Surplus Applied to 2017</v>
      </c>
      <c r="C1755" s="52"/>
      <c r="D1755" s="134">
        <v>0</v>
      </c>
      <c r="E1755" s="9">
        <v>0</v>
      </c>
      <c r="F1755" s="113"/>
      <c r="G1755" s="113"/>
      <c r="H1755" s="117"/>
      <c r="L1755" s="1" t="s">
        <v>233</v>
      </c>
      <c r="M1755" s="29" t="s">
        <v>202</v>
      </c>
      <c r="N1755" s="228" t="s">
        <v>238</v>
      </c>
    </row>
    <row r="1756" spans="1:14" ht="15" customHeight="1" x14ac:dyDescent="0.25">
      <c r="B1756" s="119" t="str">
        <f xml:space="preserve"> ( StartYear + 1 ) &amp; " Surplus Applied to " &amp; ( StartYear + 2 )</f>
        <v>2018 Surplus Applied to 2019</v>
      </c>
      <c r="C1756" s="52"/>
      <c r="D1756" s="114"/>
      <c r="E1756" s="9">
        <v>0</v>
      </c>
      <c r="F1756" s="51">
        <f>E1756</f>
        <v>0</v>
      </c>
      <c r="G1756" s="113"/>
      <c r="H1756" s="117"/>
      <c r="L1756" s="1" t="s">
        <v>233</v>
      </c>
      <c r="M1756" s="29" t="s">
        <v>202</v>
      </c>
      <c r="N1756" s="228" t="s">
        <v>239</v>
      </c>
    </row>
    <row r="1757" spans="1:14" ht="15" customHeight="1" x14ac:dyDescent="0.25">
      <c r="B1757" s="119" t="str">
        <f xml:space="preserve"> ( StartYear + 2 ) &amp; " Surplus Applied to " &amp; ( StartYear + 1 )</f>
        <v>2019 Surplus Applied to 2018</v>
      </c>
      <c r="C1757" s="52"/>
      <c r="D1757" s="114"/>
      <c r="E1757" s="51">
        <v>0</v>
      </c>
      <c r="F1757" s="9">
        <v>0</v>
      </c>
      <c r="G1757" s="113"/>
      <c r="H1757" s="117"/>
      <c r="L1757" s="1" t="s">
        <v>233</v>
      </c>
      <c r="M1757" s="29" t="s">
        <v>202</v>
      </c>
      <c r="N1757" s="228" t="s">
        <v>240</v>
      </c>
    </row>
    <row r="1758" spans="1:14" ht="15" customHeight="1" x14ac:dyDescent="0.25">
      <c r="B1758" s="165" t="str">
        <f xml:space="preserve"> ( StartYear + 2 ) &amp; " Surplus Applied to " &amp; ( StartYear + 3 )</f>
        <v>2019 Surplus Applied to 2020</v>
      </c>
      <c r="C1758" s="29"/>
      <c r="D1758" s="114"/>
      <c r="E1758" s="113"/>
      <c r="F1758" s="9">
        <v>3077</v>
      </c>
      <c r="G1758" s="51">
        <f>F1758</f>
        <v>3077</v>
      </c>
      <c r="H1758" s="117"/>
      <c r="L1758" s="1" t="s">
        <v>233</v>
      </c>
      <c r="M1758" s="29" t="s">
        <v>202</v>
      </c>
      <c r="N1758" s="228" t="s">
        <v>241</v>
      </c>
    </row>
    <row r="1759" spans="1:14" ht="15" customHeight="1" x14ac:dyDescent="0.25">
      <c r="B1759" s="165" t="str">
        <f xml:space="preserve"> ( StartYear + 3 ) &amp; " Surplus Applied to " &amp; ( StartYear + 2 )</f>
        <v>2020 Surplus Applied to 2019</v>
      </c>
      <c r="C1759" s="29"/>
      <c r="D1759" s="114"/>
      <c r="E1759" s="113"/>
      <c r="F1759" s="51">
        <v>0</v>
      </c>
      <c r="G1759" s="9">
        <v>0</v>
      </c>
      <c r="H1759" s="117"/>
      <c r="L1759" s="1" t="s">
        <v>233</v>
      </c>
      <c r="M1759" s="29" t="s">
        <v>202</v>
      </c>
      <c r="N1759" s="228" t="s">
        <v>242</v>
      </c>
    </row>
    <row r="1760" spans="1:14" ht="15" customHeight="1" x14ac:dyDescent="0.25">
      <c r="B1760" s="165" t="str">
        <f xml:space="preserve"> ( StartYear + 3 ) &amp; " Surplus Applied to " &amp; ( StartYear + 4 )</f>
        <v>2020 Surplus Applied to 2021</v>
      </c>
      <c r="C1760" s="29"/>
      <c r="D1760" s="114"/>
      <c r="E1760" s="113"/>
      <c r="F1760" s="113"/>
      <c r="G1760" s="9">
        <f ca="1">G1738+G1743-G1749</f>
        <v>0</v>
      </c>
      <c r="H1760" s="46">
        <f ca="1">G1760</f>
        <v>0</v>
      </c>
      <c r="L1760" s="1" t="s">
        <v>233</v>
      </c>
      <c r="M1760" s="29" t="s">
        <v>202</v>
      </c>
      <c r="N1760" s="228" t="s">
        <v>243</v>
      </c>
    </row>
    <row r="1761" spans="1:14" ht="15" customHeight="1" x14ac:dyDescent="0.25">
      <c r="B1761" s="165" t="str">
        <f xml:space="preserve"> ( StartYear + 4 ) &amp; " Surplus Applied to " &amp; ( StartYear + 3 )</f>
        <v>2021 Surplus Applied to 2020</v>
      </c>
      <c r="C1761" s="29"/>
      <c r="D1761" s="115"/>
      <c r="E1761" s="116"/>
      <c r="F1761" s="116"/>
      <c r="G1761" s="47">
        <v>0</v>
      </c>
      <c r="H1761" s="41">
        <v>0</v>
      </c>
      <c r="L1761" s="1" t="s">
        <v>233</v>
      </c>
      <c r="M1761" s="29" t="s">
        <v>202</v>
      </c>
      <c r="N1761" s="228" t="s">
        <v>244</v>
      </c>
    </row>
    <row r="1762" spans="1:14" ht="15" customHeight="1" x14ac:dyDescent="0.25">
      <c r="B1762" s="32" t="s">
        <v>17</v>
      </c>
      <c r="D1762" s="6">
        <f ca="1">D1752-D1753+D1755-D1754</f>
        <v>0</v>
      </c>
      <c r="E1762" s="6">
        <f ca="1">E1754+E1757-E1755-E1756</f>
        <v>0</v>
      </c>
      <c r="F1762" s="6">
        <f>F1756+F1759-F1757-F1758</f>
        <v>-3077</v>
      </c>
      <c r="G1762" s="6">
        <f ca="1">G1758+G1761-G1759-G1760</f>
        <v>3077</v>
      </c>
      <c r="H1762" s="6">
        <f ca="1">H1760 - H1761</f>
        <v>0</v>
      </c>
      <c r="L1762" s="1" t="s">
        <v>233</v>
      </c>
      <c r="M1762" s="29" t="s">
        <v>202</v>
      </c>
      <c r="N1762" s="228" t="s">
        <v>17</v>
      </c>
    </row>
    <row r="1763" spans="1:14" ht="15" customHeight="1" x14ac:dyDescent="0.25">
      <c r="B1763" s="5"/>
      <c r="D1763" s="6"/>
      <c r="E1763" s="6"/>
      <c r="F1763" s="6"/>
      <c r="G1763" s="6"/>
      <c r="H1763" s="6"/>
      <c r="L1763" s="1" t="s">
        <v>233</v>
      </c>
      <c r="M1763" s="29" t="s">
        <v>202</v>
      </c>
    </row>
    <row r="1764" spans="1:14" ht="15" customHeight="1" x14ac:dyDescent="0.25">
      <c r="B1764" s="54" t="s">
        <v>12</v>
      </c>
      <c r="C1764" s="52"/>
      <c r="D1764" s="75"/>
      <c r="E1764" s="111"/>
      <c r="F1764" s="111"/>
      <c r="G1764" s="111"/>
      <c r="H1764" s="76"/>
      <c r="L1764" s="1" t="s">
        <v>233</v>
      </c>
      <c r="M1764" s="29" t="s">
        <v>202</v>
      </c>
      <c r="N1764" s="228" t="s">
        <v>12</v>
      </c>
    </row>
    <row r="1765" spans="1:14" ht="15" customHeight="1" x14ac:dyDescent="0.25">
      <c r="B1765" s="5"/>
      <c r="D1765" s="6"/>
      <c r="E1765" s="6"/>
      <c r="F1765" s="6"/>
      <c r="G1765" s="6"/>
      <c r="H1765" s="6"/>
      <c r="L1765" s="1" t="s">
        <v>233</v>
      </c>
      <c r="M1765" s="29" t="s">
        <v>202</v>
      </c>
    </row>
    <row r="1766" spans="1:14" ht="18.75" customHeight="1" x14ac:dyDescent="0.3">
      <c r="A1766" s="38" t="s">
        <v>26</v>
      </c>
      <c r="C1766" s="52">
        <f>A1732</f>
        <v>45</v>
      </c>
      <c r="D1766" s="112">
        <f ca="1" xml:space="preserve"> D1738 + D1743 - D1749 + D1762 + D1764</f>
        <v>0</v>
      </c>
      <c r="E1766" s="112">
        <f ca="1" xml:space="preserve"> E1738 + E1743 - E1749 + E1762 + E1764</f>
        <v>0</v>
      </c>
      <c r="F1766" s="112">
        <f ca="1" xml:space="preserve"> F1738 + F1743 - F1749 + F1762 + F1764</f>
        <v>0</v>
      </c>
      <c r="G1766" s="112">
        <f ca="1" xml:space="preserve"> G1738 + G1743 - G1749 + G1762 + G1764</f>
        <v>3077</v>
      </c>
      <c r="H1766" s="174">
        <f ca="1" xml:space="preserve"> H1738 + H1743 - H1749 + H1762 + H1764</f>
        <v>0</v>
      </c>
      <c r="L1766" s="1" t="s">
        <v>233</v>
      </c>
      <c r="M1766" s="29" t="s">
        <v>202</v>
      </c>
      <c r="N1766" s="228" t="s">
        <v>26</v>
      </c>
    </row>
    <row r="1767" spans="1:14" ht="15" customHeight="1" x14ac:dyDescent="0.25">
      <c r="B1767" s="5"/>
      <c r="C1767" s="108" t="s">
        <v>158</v>
      </c>
      <c r="D1767" s="6"/>
      <c r="E1767" s="6"/>
      <c r="F1767" s="28"/>
      <c r="G1767" s="28"/>
      <c r="H1767" s="28"/>
      <c r="L1767" s="1" t="s">
        <v>233</v>
      </c>
      <c r="M1767" s="29" t="s">
        <v>202</v>
      </c>
      <c r="N1767" s="228" t="s">
        <v>158</v>
      </c>
    </row>
    <row r="1768" spans="1:14" ht="15" customHeight="1" x14ac:dyDescent="0.25"/>
    <row r="1769" spans="1:14" ht="15" customHeight="1" x14ac:dyDescent="0.25">
      <c r="B1769" s="29"/>
      <c r="C1769" s="29"/>
      <c r="D1769" s="22"/>
      <c r="E1769" s="29"/>
      <c r="F1769" s="29"/>
      <c r="G1769" s="29"/>
      <c r="H1769" s="29"/>
    </row>
    <row r="1770" spans="1:14" ht="21" customHeight="1" x14ac:dyDescent="0.35">
      <c r="A1770" s="12">
        <f>MAX(A$1:A1769)+1</f>
        <v>46</v>
      </c>
      <c r="B1770" s="12"/>
      <c r="C1770" s="214">
        <f ca="1">OFFSET($B$4,A1770-1,0)</f>
        <v>0</v>
      </c>
      <c r="D1770" s="215"/>
      <c r="E1770" s="216"/>
      <c r="F1770" s="216"/>
      <c r="G1770" s="217"/>
      <c r="H1770" s="218"/>
    </row>
    <row r="1771" spans="1:14" ht="15" customHeight="1" x14ac:dyDescent="0.25">
      <c r="C1771" s="1">
        <f ca="1">VLOOKUP(C1770,Facilities,3,FALSE)</f>
        <v>0</v>
      </c>
    </row>
    <row r="1772" spans="1:14" ht="18.75" customHeight="1" x14ac:dyDescent="0.3">
      <c r="A1772" s="8" t="s">
        <v>21</v>
      </c>
      <c r="B1772" s="8"/>
      <c r="D1772" s="118">
        <f>StartYear</f>
        <v>2017</v>
      </c>
      <c r="E1772" s="2">
        <f>D1772+1</f>
        <v>2018</v>
      </c>
      <c r="F1772" s="2">
        <f>E1772+1</f>
        <v>2019</v>
      </c>
      <c r="G1772" s="2">
        <f>F1772+1</f>
        <v>2020</v>
      </c>
      <c r="H1772" s="2">
        <f>G1772+1</f>
        <v>2021</v>
      </c>
    </row>
    <row r="1773" spans="1:14" ht="15" customHeight="1" x14ac:dyDescent="0.25">
      <c r="B1773" s="119" t="str">
        <f ca="1">IF(C1809&lt;&gt;"REC only","Total MWh ","")&amp;IF(C1771="PSE owned","Produced","Purchased")&amp;" from "&amp;C1770</f>
        <v>Total MWh Purchased from 0</v>
      </c>
      <c r="C1773" s="52"/>
      <c r="D1773" s="3"/>
      <c r="E1773" s="3"/>
      <c r="F1773" s="3"/>
      <c r="G1773" s="3"/>
      <c r="H1773" s="4"/>
    </row>
    <row r="1774" spans="1:14" ht="15" customHeight="1" x14ac:dyDescent="0.25">
      <c r="B1774" s="57" t="s">
        <v>25</v>
      </c>
      <c r="C1774" s="52"/>
      <c r="D1774" s="132"/>
      <c r="E1774" s="132"/>
      <c r="F1774" s="132"/>
      <c r="G1774" s="132"/>
      <c r="H1774" s="133"/>
    </row>
    <row r="1775" spans="1:14" ht="15" customHeight="1" x14ac:dyDescent="0.25">
      <c r="B1775" s="57" t="s">
        <v>20</v>
      </c>
      <c r="C1775" s="52"/>
      <c r="D1775" s="42"/>
      <c r="E1775" s="42"/>
      <c r="F1775" s="42"/>
      <c r="G1775" s="42"/>
      <c r="H1775" s="43"/>
    </row>
    <row r="1776" spans="1:14" ht="15" customHeight="1" x14ac:dyDescent="0.25">
      <c r="B1776" s="54" t="s">
        <v>22</v>
      </c>
      <c r="C1776" s="55"/>
      <c r="D1776" s="131">
        <f xml:space="preserve"> D1773 * D1774 * D1775</f>
        <v>0</v>
      </c>
      <c r="E1776" s="131">
        <f xml:space="preserve"> E1773 * E1774 * E1775</f>
        <v>0</v>
      </c>
      <c r="F1776" s="131">
        <f xml:space="preserve"> ROUNDDOWN(F1773 * F1774 * F1775,0)</f>
        <v>0</v>
      </c>
      <c r="G1776" s="131">
        <f xml:space="preserve"> ROUNDDOWN(G1773 * G1774 * G1775,0)</f>
        <v>0</v>
      </c>
      <c r="H1776" s="131">
        <f xml:space="preserve"> ROUNDDOWN(H1773 * H1774 * H1775,0)</f>
        <v>0</v>
      </c>
    </row>
    <row r="1777" spans="1:8" ht="15" customHeight="1" x14ac:dyDescent="0.25">
      <c r="B1777" s="22"/>
      <c r="C1777" s="29"/>
      <c r="D1777" s="36"/>
      <c r="E1777" s="36"/>
      <c r="F1777" s="36"/>
      <c r="G1777" s="167"/>
      <c r="H1777" s="36"/>
    </row>
    <row r="1778" spans="1:8" ht="18.75" customHeight="1" x14ac:dyDescent="0.3">
      <c r="A1778" s="39" t="s">
        <v>119</v>
      </c>
      <c r="C1778" s="29"/>
      <c r="D1778" s="2">
        <f>StartYear</f>
        <v>2017</v>
      </c>
      <c r="E1778" s="2">
        <f>D1778+1</f>
        <v>2018</v>
      </c>
      <c r="F1778" s="2">
        <f>E1778+1</f>
        <v>2019</v>
      </c>
      <c r="G1778" s="2">
        <f>F1778+1</f>
        <v>2020</v>
      </c>
      <c r="H1778" s="2">
        <f>G1778+1</f>
        <v>2021</v>
      </c>
    </row>
    <row r="1779" spans="1:8" ht="15" customHeight="1" x14ac:dyDescent="0.25">
      <c r="B1779" s="57" t="s">
        <v>10</v>
      </c>
      <c r="C1779" s="52"/>
      <c r="D1779" s="10">
        <f ca="1">IF(VLOOKUP($C1770,Facilities,5,FALSE)="Eligible", D1776*ApprenticeshipBonus, 0 )</f>
        <v>0</v>
      </c>
      <c r="E1779" s="109">
        <f ca="1">IF(VLOOKUP($C1770,Facilities,5,FALSE)="Eligible", E1776*ApprenticeshipBonus, 0 )</f>
        <v>0</v>
      </c>
      <c r="F1779" s="109">
        <f ca="1">IF(VLOOKUP($C1770,Facilities,5,FALSE)="Eligible", F1776*ApprenticeshipBonus, 0 )</f>
        <v>0</v>
      </c>
      <c r="G1779" s="109">
        <f ca="1">IF(VLOOKUP($C1770,Facilities,5,FALSE)="Eligible", G1776*ApprenticeshipBonus, 0 )</f>
        <v>0</v>
      </c>
      <c r="H1779" s="11">
        <f ca="1">IF(VLOOKUP($C1770,Facilities,5,FALSE)="Eligible", H1776*ApprenticeshipBonus, 0 )</f>
        <v>0</v>
      </c>
    </row>
    <row r="1780" spans="1:8" ht="15" customHeight="1" x14ac:dyDescent="0.25">
      <c r="B1780" s="57" t="s">
        <v>6</v>
      </c>
      <c r="C1780" s="52"/>
      <c r="D1780" s="44">
        <f ca="1">IF(VLOOKUP($C1770,Facilities,6,FALSE)="Eligible", D1776, 0 )</f>
        <v>0</v>
      </c>
      <c r="E1780" s="110">
        <f ca="1">IF(VLOOKUP($C1770,Facilities,6,FALSE)="Eligible", E1776, 0 )</f>
        <v>0</v>
      </c>
      <c r="F1780" s="110">
        <f ca="1">IF(VLOOKUP($C1770,Facilities,6,FALSE)="Eligible", F1776, 0 )</f>
        <v>0</v>
      </c>
      <c r="G1780" s="110">
        <f ca="1">IF(VLOOKUP($C1770,Facilities,6,FALSE)="Eligible", G1776, 0 )</f>
        <v>0</v>
      </c>
      <c r="H1780" s="45">
        <f ca="1">IF(VLOOKUP($C1770,Facilities,6,FALSE)="Eligible", H1776, 0 )</f>
        <v>0</v>
      </c>
    </row>
    <row r="1781" spans="1:8" ht="15" customHeight="1" x14ac:dyDescent="0.25">
      <c r="B1781" s="56" t="s">
        <v>121</v>
      </c>
      <c r="C1781" s="55"/>
      <c r="D1781" s="37">
        <f ca="1">SUM(D1779:D1780)</f>
        <v>0</v>
      </c>
      <c r="E1781" s="37">
        <f ca="1">SUM(E1779:E1780)</f>
        <v>0</v>
      </c>
      <c r="F1781" s="37">
        <f ca="1">SUM(F1779:F1780)</f>
        <v>0</v>
      </c>
      <c r="G1781" s="37">
        <f ca="1">SUM(G1779:G1780)</f>
        <v>0</v>
      </c>
      <c r="H1781" s="37">
        <f ca="1">SUM(H1779:H1780)</f>
        <v>0</v>
      </c>
    </row>
    <row r="1782" spans="1:8" ht="15" customHeight="1" x14ac:dyDescent="0.25">
      <c r="B1782" s="29"/>
      <c r="C1782" s="29"/>
      <c r="D1782" s="30"/>
      <c r="E1782" s="30"/>
      <c r="F1782" s="30"/>
      <c r="G1782" s="169"/>
      <c r="H1782" s="30"/>
    </row>
    <row r="1783" spans="1:8" ht="18.75" customHeight="1" x14ac:dyDescent="0.3">
      <c r="A1783" s="38" t="s">
        <v>30</v>
      </c>
      <c r="C1783" s="29"/>
      <c r="D1783" s="2">
        <f>StartYear</f>
        <v>2017</v>
      </c>
      <c r="E1783" s="2">
        <f>D1783+1</f>
        <v>2018</v>
      </c>
      <c r="F1783" s="2">
        <f>E1783+1</f>
        <v>2019</v>
      </c>
      <c r="G1783" s="2">
        <f>F1783+1</f>
        <v>2020</v>
      </c>
      <c r="H1783" s="2">
        <f>G1783+1</f>
        <v>2021</v>
      </c>
    </row>
    <row r="1784" spans="1:8" ht="15" customHeight="1" x14ac:dyDescent="0.25">
      <c r="B1784" s="57" t="s">
        <v>47</v>
      </c>
      <c r="C1784" s="52"/>
      <c r="D1784" s="3"/>
      <c r="E1784" s="3"/>
      <c r="F1784" s="3"/>
      <c r="G1784" s="3"/>
      <c r="H1784" s="4"/>
    </row>
    <row r="1785" spans="1:8" ht="15" customHeight="1" x14ac:dyDescent="0.25">
      <c r="B1785" s="58" t="s">
        <v>23</v>
      </c>
      <c r="C1785" s="59"/>
      <c r="D1785" s="137"/>
      <c r="E1785" s="137"/>
      <c r="F1785" s="137"/>
      <c r="G1785" s="137"/>
      <c r="H1785" s="138"/>
    </row>
    <row r="1786" spans="1:8" ht="15" customHeight="1" x14ac:dyDescent="0.25">
      <c r="B1786" s="68" t="s">
        <v>89</v>
      </c>
      <c r="C1786" s="67"/>
      <c r="D1786" s="191"/>
      <c r="E1786" s="139"/>
      <c r="F1786" s="139"/>
      <c r="G1786" s="139"/>
      <c r="H1786" s="140"/>
    </row>
    <row r="1787" spans="1:8" ht="15" customHeight="1" x14ac:dyDescent="0.25">
      <c r="B1787" s="32" t="s">
        <v>90</v>
      </c>
      <c r="D1787" s="6">
        <f>SUM(D1784:D1786)</f>
        <v>0</v>
      </c>
      <c r="E1787" s="6">
        <f>SUM(E1784:E1786)</f>
        <v>0</v>
      </c>
      <c r="F1787" s="6">
        <f>SUM(F1784:F1786)</f>
        <v>0</v>
      </c>
      <c r="G1787" s="6">
        <f>SUM(G1784:G1786)</f>
        <v>0</v>
      </c>
      <c r="H1787" s="6">
        <f>SUM(H1784:H1786)</f>
        <v>0</v>
      </c>
    </row>
    <row r="1788" spans="1:8" ht="15" customHeight="1" x14ac:dyDescent="0.25">
      <c r="B1788" s="5"/>
      <c r="D1788" s="6"/>
      <c r="E1788" s="6"/>
      <c r="F1788" s="6"/>
      <c r="G1788" s="167"/>
      <c r="H1788" s="6"/>
    </row>
    <row r="1789" spans="1:8" ht="18.75" customHeight="1" x14ac:dyDescent="0.3">
      <c r="A1789" s="8" t="s">
        <v>100</v>
      </c>
      <c r="D1789" s="2">
        <f>StartYear</f>
        <v>2017</v>
      </c>
      <c r="E1789" s="2">
        <f>D1789+1</f>
        <v>2018</v>
      </c>
      <c r="F1789" s="2">
        <f>E1789+1</f>
        <v>2019</v>
      </c>
      <c r="G1789" s="2">
        <f>F1789+1</f>
        <v>2020</v>
      </c>
      <c r="H1789" s="2">
        <f>G1789+1</f>
        <v>2021</v>
      </c>
    </row>
    <row r="1790" spans="1:8" ht="15" customHeight="1" x14ac:dyDescent="0.25">
      <c r="B1790" s="57" t="str">
        <f>(StartYear-1) &amp; " Surplus Applied to " &amp; StartYear</f>
        <v>2016 Surplus Applied to 2017</v>
      </c>
      <c r="C1790" s="29"/>
      <c r="D1790" s="186">
        <v>0</v>
      </c>
      <c r="E1790" s="187"/>
      <c r="F1790" s="187"/>
      <c r="G1790" s="187"/>
      <c r="H1790" s="188"/>
    </row>
    <row r="1791" spans="1:8" ht="15" customHeight="1" x14ac:dyDescent="0.25">
      <c r="B1791" s="57" t="str">
        <f>StartYear &amp; " Surplus Applied to " &amp; (StartYear-1)</f>
        <v>2017 Surplus Applied to 2016</v>
      </c>
      <c r="C1791" s="29"/>
      <c r="D1791" s="189">
        <v>0</v>
      </c>
      <c r="E1791" s="113"/>
      <c r="F1791" s="113"/>
      <c r="G1791" s="113"/>
      <c r="H1791" s="117"/>
    </row>
    <row r="1792" spans="1:8" ht="15" customHeight="1" x14ac:dyDescent="0.25">
      <c r="B1792" s="57" t="str">
        <f>( StartYear) &amp; " Surplus Applied to " &amp; ( StartYear + 1 )</f>
        <v>2017 Surplus Applied to 2018</v>
      </c>
      <c r="C1792" s="29"/>
      <c r="D1792" s="184">
        <f ca="1">D1776+D1781-D1787</f>
        <v>0</v>
      </c>
      <c r="E1792" s="185">
        <f ca="1">D1792</f>
        <v>0</v>
      </c>
      <c r="F1792" s="181"/>
      <c r="G1792" s="181"/>
      <c r="H1792" s="182"/>
    </row>
    <row r="1793" spans="1:8" ht="15" customHeight="1" x14ac:dyDescent="0.25">
      <c r="B1793" s="57" t="str">
        <f xml:space="preserve"> ( StartYear + 1 ) &amp; " Surplus Applied to " &amp; ( StartYear )</f>
        <v>2018 Surplus Applied to 2017</v>
      </c>
      <c r="C1793" s="52"/>
      <c r="D1793" s="134">
        <v>0</v>
      </c>
      <c r="E1793" s="9">
        <v>0</v>
      </c>
      <c r="F1793" s="113"/>
      <c r="G1793" s="113"/>
      <c r="H1793" s="117"/>
    </row>
    <row r="1794" spans="1:8" ht="15" customHeight="1" x14ac:dyDescent="0.25">
      <c r="B1794" s="119" t="str">
        <f xml:space="preserve"> ( StartYear + 1 ) &amp; " Surplus Applied to " &amp; ( StartYear + 2 )</f>
        <v>2018 Surplus Applied to 2019</v>
      </c>
      <c r="C1794" s="52"/>
      <c r="D1794" s="114"/>
      <c r="E1794" s="9">
        <v>0</v>
      </c>
      <c r="F1794" s="51">
        <f>E1794</f>
        <v>0</v>
      </c>
      <c r="G1794" s="113"/>
      <c r="H1794" s="117"/>
    </row>
    <row r="1795" spans="1:8" ht="15" customHeight="1" x14ac:dyDescent="0.25">
      <c r="B1795" s="119" t="str">
        <f xml:space="preserve"> ( StartYear + 2 ) &amp; " Surplus Applied to " &amp; ( StartYear + 1 )</f>
        <v>2019 Surplus Applied to 2018</v>
      </c>
      <c r="C1795" s="52"/>
      <c r="D1795" s="114"/>
      <c r="E1795" s="51">
        <v>0</v>
      </c>
      <c r="F1795" s="9">
        <v>0</v>
      </c>
      <c r="G1795" s="113"/>
      <c r="H1795" s="117"/>
    </row>
    <row r="1796" spans="1:8" ht="15" customHeight="1" x14ac:dyDescent="0.25">
      <c r="B1796" s="165" t="str">
        <f xml:space="preserve"> ( StartYear + 2 ) &amp; " Surplus Applied to " &amp; ( StartYear + 3 )</f>
        <v>2019 Surplus Applied to 2020</v>
      </c>
      <c r="C1796" s="29"/>
      <c r="D1796" s="114"/>
      <c r="E1796" s="113"/>
      <c r="F1796" s="9">
        <v>0</v>
      </c>
      <c r="G1796" s="51">
        <f>F1796</f>
        <v>0</v>
      </c>
      <c r="H1796" s="117"/>
    </row>
    <row r="1797" spans="1:8" ht="15" customHeight="1" x14ac:dyDescent="0.25">
      <c r="B1797" s="165" t="str">
        <f xml:space="preserve"> ( StartYear + 3 ) &amp; " Surplus Applied to " &amp; ( StartYear + 2 )</f>
        <v>2020 Surplus Applied to 2019</v>
      </c>
      <c r="C1797" s="29"/>
      <c r="D1797" s="114"/>
      <c r="E1797" s="113"/>
      <c r="F1797" s="51">
        <v>0</v>
      </c>
      <c r="G1797" s="9">
        <v>0</v>
      </c>
      <c r="H1797" s="117"/>
    </row>
    <row r="1798" spans="1:8" ht="15" customHeight="1" x14ac:dyDescent="0.25">
      <c r="B1798" s="165" t="str">
        <f xml:space="preserve"> ( StartYear + 3 ) &amp; " Surplus Applied to " &amp; ( StartYear + 4 )</f>
        <v>2020 Surplus Applied to 2021</v>
      </c>
      <c r="C1798" s="29"/>
      <c r="D1798" s="114"/>
      <c r="E1798" s="113"/>
      <c r="F1798" s="113"/>
      <c r="G1798" s="9">
        <f ca="1">G1776+G1781-G1787</f>
        <v>0</v>
      </c>
      <c r="H1798" s="46">
        <f ca="1">G1798</f>
        <v>0</v>
      </c>
    </row>
    <row r="1799" spans="1:8" ht="15" customHeight="1" x14ac:dyDescent="0.25">
      <c r="B1799" s="165" t="str">
        <f xml:space="preserve"> ( StartYear + 4 ) &amp; " Surplus Applied to " &amp; ( StartYear + 3 )</f>
        <v>2021 Surplus Applied to 2020</v>
      </c>
      <c r="C1799" s="29"/>
      <c r="D1799" s="115"/>
      <c r="E1799" s="116"/>
      <c r="F1799" s="116"/>
      <c r="G1799" s="47">
        <v>0</v>
      </c>
      <c r="H1799" s="41">
        <v>0</v>
      </c>
    </row>
    <row r="1800" spans="1:8" ht="15" customHeight="1" x14ac:dyDescent="0.25">
      <c r="B1800" s="32" t="s">
        <v>17</v>
      </c>
      <c r="D1800" s="6">
        <f ca="1">D1790-D1791+D1793-D1792</f>
        <v>0</v>
      </c>
      <c r="E1800" s="6">
        <f ca="1">E1792+E1795-E1793-E1794</f>
        <v>0</v>
      </c>
      <c r="F1800" s="6">
        <f>F1794+F1797-F1795-F1796</f>
        <v>0</v>
      </c>
      <c r="G1800" s="6">
        <f ca="1">G1796+G1799-G1797-G1798</f>
        <v>0</v>
      </c>
      <c r="H1800" s="6">
        <f ca="1">H1798 - H1799</f>
        <v>0</v>
      </c>
    </row>
    <row r="1801" spans="1:8" ht="15" customHeight="1" x14ac:dyDescent="0.25">
      <c r="B1801" s="5"/>
      <c r="D1801" s="6"/>
      <c r="E1801" s="6"/>
      <c r="F1801" s="6"/>
      <c r="G1801" s="6"/>
      <c r="H1801" s="6"/>
    </row>
    <row r="1802" spans="1:8" ht="15" customHeight="1" x14ac:dyDescent="0.25">
      <c r="B1802" s="54" t="s">
        <v>12</v>
      </c>
      <c r="C1802" s="52"/>
      <c r="D1802" s="75"/>
      <c r="E1802" s="111"/>
      <c r="F1802" s="111"/>
      <c r="G1802" s="111"/>
      <c r="H1802" s="76"/>
    </row>
    <row r="1803" spans="1:8" ht="15" customHeight="1" x14ac:dyDescent="0.25">
      <c r="B1803" s="5"/>
      <c r="D1803" s="6"/>
      <c r="E1803" s="6"/>
      <c r="F1803" s="6"/>
      <c r="G1803" s="6"/>
      <c r="H1803" s="6"/>
    </row>
    <row r="1804" spans="1:8" ht="18.75" customHeight="1" x14ac:dyDescent="0.3">
      <c r="A1804" s="38" t="s">
        <v>26</v>
      </c>
      <c r="C1804" s="52">
        <f>A1770</f>
        <v>46</v>
      </c>
      <c r="D1804" s="112">
        <f ca="1" xml:space="preserve"> D1776 + D1781 - D1787 + D1800 + D1802</f>
        <v>0</v>
      </c>
      <c r="E1804" s="112">
        <f ca="1" xml:space="preserve"> E1776 + E1781 - E1787 + E1800 + E1802</f>
        <v>0</v>
      </c>
      <c r="F1804" s="112">
        <f ca="1" xml:space="preserve"> F1776 + F1781 - F1787 + F1800 + F1802</f>
        <v>0</v>
      </c>
      <c r="G1804" s="112">
        <f ca="1" xml:space="preserve"> G1776 + G1781 - G1787 + G1800 + G1802</f>
        <v>0</v>
      </c>
      <c r="H1804" s="174">
        <f ca="1" xml:space="preserve"> H1776 + H1781 - H1787 + H1800 + H1802</f>
        <v>0</v>
      </c>
    </row>
    <row r="1805" spans="1:8" ht="15" customHeight="1" x14ac:dyDescent="0.25">
      <c r="B1805" s="5"/>
      <c r="C1805" s="108" t="s">
        <v>158</v>
      </c>
      <c r="D1805" s="6"/>
      <c r="E1805" s="6"/>
      <c r="F1805" s="28"/>
      <c r="G1805" s="28"/>
      <c r="H1805" s="28"/>
    </row>
    <row r="1806" spans="1:8" ht="15.75" customHeight="1" thickBot="1" x14ac:dyDescent="0.3"/>
    <row r="1807" spans="1:8" ht="15" customHeight="1" x14ac:dyDescent="0.25">
      <c r="A1807" s="7"/>
      <c r="B1807" s="7"/>
      <c r="C1807" s="7"/>
      <c r="D1807" s="170"/>
      <c r="E1807" s="7"/>
      <c r="F1807" s="7"/>
      <c r="G1807" s="7"/>
      <c r="H1807" s="7"/>
    </row>
    <row r="1808" spans="1:8" ht="21" customHeight="1" x14ac:dyDescent="0.35">
      <c r="A1808" s="12">
        <f>MAX(A$1:A1807)+1</f>
        <v>47</v>
      </c>
      <c r="B1808" s="12"/>
      <c r="C1808" s="214">
        <f ca="1">OFFSET($B$4,A1808-1,0)</f>
        <v>0</v>
      </c>
      <c r="D1808" s="215"/>
      <c r="E1808" s="216"/>
      <c r="F1808" s="216"/>
      <c r="G1808" s="217"/>
      <c r="H1808" s="218"/>
    </row>
    <row r="1809" spans="1:8" ht="15" customHeight="1" x14ac:dyDescent="0.25">
      <c r="C1809" s="1">
        <f ca="1">VLOOKUP(C1808,Facilities,3,FALSE)</f>
        <v>0</v>
      </c>
    </row>
    <row r="1810" spans="1:8" ht="18.75" customHeight="1" x14ac:dyDescent="0.3">
      <c r="A1810" s="8" t="s">
        <v>21</v>
      </c>
      <c r="B1810" s="8"/>
      <c r="D1810" s="118">
        <f>StartYear</f>
        <v>2017</v>
      </c>
      <c r="E1810" s="2">
        <f>D1810+1</f>
        <v>2018</v>
      </c>
      <c r="F1810" s="2">
        <f>E1810+1</f>
        <v>2019</v>
      </c>
      <c r="G1810" s="2">
        <f>F1810+1</f>
        <v>2020</v>
      </c>
      <c r="H1810" s="2">
        <f>G1810+1</f>
        <v>2021</v>
      </c>
    </row>
    <row r="1811" spans="1:8" ht="15" customHeight="1" x14ac:dyDescent="0.25">
      <c r="B1811" s="119" t="str">
        <f ca="1">IF(C1847&lt;&gt;"REC only","Total MWh ","")&amp;IF(C1809="PSE owned","Produced","Purchased")&amp;" from "&amp;C1808</f>
        <v>Total MWh Purchased from 0</v>
      </c>
      <c r="C1811" s="52"/>
      <c r="D1811" s="3"/>
      <c r="E1811" s="3"/>
      <c r="F1811" s="3"/>
      <c r="G1811" s="3"/>
      <c r="H1811" s="4"/>
    </row>
    <row r="1812" spans="1:8" ht="15" customHeight="1" x14ac:dyDescent="0.25">
      <c r="B1812" s="57" t="s">
        <v>25</v>
      </c>
      <c r="C1812" s="52"/>
      <c r="D1812" s="132"/>
      <c r="E1812" s="132"/>
      <c r="F1812" s="132"/>
      <c r="G1812" s="132"/>
      <c r="H1812" s="133"/>
    </row>
    <row r="1813" spans="1:8" ht="15" customHeight="1" x14ac:dyDescent="0.25">
      <c r="B1813" s="57" t="s">
        <v>20</v>
      </c>
      <c r="C1813" s="52"/>
      <c r="D1813" s="42"/>
      <c r="E1813" s="42"/>
      <c r="F1813" s="42"/>
      <c r="G1813" s="42"/>
      <c r="H1813" s="43"/>
    </row>
    <row r="1814" spans="1:8" ht="15" customHeight="1" x14ac:dyDescent="0.25">
      <c r="B1814" s="54" t="s">
        <v>22</v>
      </c>
      <c r="C1814" s="55"/>
      <c r="D1814" s="131">
        <f xml:space="preserve"> D1811 * D1812 * D1813</f>
        <v>0</v>
      </c>
      <c r="E1814" s="131">
        <f xml:space="preserve"> E1811 * E1812 * E1813</f>
        <v>0</v>
      </c>
      <c r="F1814" s="131">
        <f xml:space="preserve"> ROUNDDOWN(F1811 * F1812 * F1813,0)</f>
        <v>0</v>
      </c>
      <c r="G1814" s="131">
        <f xml:space="preserve"> ROUNDDOWN(G1811 * G1812 * G1813,0)</f>
        <v>0</v>
      </c>
      <c r="H1814" s="131">
        <f xml:space="preserve"> ROUNDDOWN(H1811 * H1812 * H1813,0)</f>
        <v>0</v>
      </c>
    </row>
    <row r="1815" spans="1:8" ht="15" customHeight="1" x14ac:dyDescent="0.25">
      <c r="B1815" s="22"/>
      <c r="C1815" s="29"/>
      <c r="D1815" s="36"/>
      <c r="E1815" s="36"/>
      <c r="F1815" s="36"/>
      <c r="G1815" s="167"/>
      <c r="H1815" s="36"/>
    </row>
    <row r="1816" spans="1:8" ht="18.75" customHeight="1" x14ac:dyDescent="0.3">
      <c r="A1816" s="39" t="s">
        <v>119</v>
      </c>
      <c r="C1816" s="29"/>
      <c r="D1816" s="2">
        <f>StartYear</f>
        <v>2017</v>
      </c>
      <c r="E1816" s="2">
        <f>D1816+1</f>
        <v>2018</v>
      </c>
      <c r="F1816" s="2">
        <f>E1816+1</f>
        <v>2019</v>
      </c>
      <c r="G1816" s="2">
        <f>F1816+1</f>
        <v>2020</v>
      </c>
      <c r="H1816" s="2">
        <f>G1816+1</f>
        <v>2021</v>
      </c>
    </row>
    <row r="1817" spans="1:8" ht="15" customHeight="1" x14ac:dyDescent="0.25">
      <c r="B1817" s="57" t="s">
        <v>10</v>
      </c>
      <c r="C1817" s="52"/>
      <c r="D1817" s="10">
        <f ca="1">IF(VLOOKUP($C1808,Facilities,5,FALSE)="Eligible", D1814*ApprenticeshipBonus, 0 )</f>
        <v>0</v>
      </c>
      <c r="E1817" s="109">
        <f ca="1">IF(VLOOKUP($C1808,Facilities,5,FALSE)="Eligible", E1814*ApprenticeshipBonus, 0 )</f>
        <v>0</v>
      </c>
      <c r="F1817" s="109">
        <f ca="1">IF(VLOOKUP($C1808,Facilities,5,FALSE)="Eligible", F1814*ApprenticeshipBonus, 0 )</f>
        <v>0</v>
      </c>
      <c r="G1817" s="109">
        <f ca="1">IF(VLOOKUP($C1808,Facilities,5,FALSE)="Eligible", G1814*ApprenticeshipBonus, 0 )</f>
        <v>0</v>
      </c>
      <c r="H1817" s="11">
        <f ca="1">IF(VLOOKUP($C1808,Facilities,5,FALSE)="Eligible", H1814*ApprenticeshipBonus, 0 )</f>
        <v>0</v>
      </c>
    </row>
    <row r="1818" spans="1:8" ht="15" customHeight="1" x14ac:dyDescent="0.25">
      <c r="B1818" s="57" t="s">
        <v>6</v>
      </c>
      <c r="C1818" s="52"/>
      <c r="D1818" s="44">
        <f ca="1">IF(VLOOKUP($C1808,Facilities,6,FALSE)="Eligible", D1814, 0 )</f>
        <v>0</v>
      </c>
      <c r="E1818" s="110">
        <f ca="1">IF(VLOOKUP($C1808,Facilities,6,FALSE)="Eligible", E1814, 0 )</f>
        <v>0</v>
      </c>
      <c r="F1818" s="110">
        <f ca="1">IF(VLOOKUP($C1808,Facilities,6,FALSE)="Eligible", F1814, 0 )</f>
        <v>0</v>
      </c>
      <c r="G1818" s="110">
        <f ca="1">IF(VLOOKUP($C1808,Facilities,6,FALSE)="Eligible", G1814, 0 )</f>
        <v>0</v>
      </c>
      <c r="H1818" s="45">
        <f ca="1">IF(VLOOKUP($C1808,Facilities,6,FALSE)="Eligible", H1814, 0 )</f>
        <v>0</v>
      </c>
    </row>
    <row r="1819" spans="1:8" ht="15" customHeight="1" x14ac:dyDescent="0.25">
      <c r="B1819" s="56" t="s">
        <v>121</v>
      </c>
      <c r="C1819" s="55"/>
      <c r="D1819" s="37">
        <f ca="1">SUM(D1817:D1818)</f>
        <v>0</v>
      </c>
      <c r="E1819" s="37">
        <f ca="1">SUM(E1817:E1818)</f>
        <v>0</v>
      </c>
      <c r="F1819" s="37">
        <f ca="1">SUM(F1817:F1818)</f>
        <v>0</v>
      </c>
      <c r="G1819" s="37">
        <f ca="1">SUM(G1817:G1818)</f>
        <v>0</v>
      </c>
      <c r="H1819" s="37">
        <f ca="1">SUM(H1817:H1818)</f>
        <v>0</v>
      </c>
    </row>
    <row r="1820" spans="1:8" ht="15" customHeight="1" x14ac:dyDescent="0.25">
      <c r="B1820" s="29"/>
      <c r="C1820" s="29"/>
      <c r="D1820" s="30"/>
      <c r="E1820" s="30"/>
      <c r="F1820" s="30"/>
      <c r="G1820" s="169"/>
      <c r="H1820" s="30"/>
    </row>
    <row r="1821" spans="1:8" ht="18.75" customHeight="1" x14ac:dyDescent="0.3">
      <c r="A1821" s="38" t="s">
        <v>30</v>
      </c>
      <c r="C1821" s="29"/>
      <c r="D1821" s="2">
        <f>StartYear</f>
        <v>2017</v>
      </c>
      <c r="E1821" s="2">
        <f>D1821+1</f>
        <v>2018</v>
      </c>
      <c r="F1821" s="2">
        <f>E1821+1</f>
        <v>2019</v>
      </c>
      <c r="G1821" s="2">
        <f>F1821+1</f>
        <v>2020</v>
      </c>
      <c r="H1821" s="2">
        <f>G1821+1</f>
        <v>2021</v>
      </c>
    </row>
    <row r="1822" spans="1:8" ht="15" customHeight="1" x14ac:dyDescent="0.25">
      <c r="B1822" s="57" t="s">
        <v>47</v>
      </c>
      <c r="C1822" s="52"/>
      <c r="D1822" s="3"/>
      <c r="E1822" s="3"/>
      <c r="F1822" s="3"/>
      <c r="G1822" s="3"/>
      <c r="H1822" s="4"/>
    </row>
    <row r="1823" spans="1:8" ht="15" customHeight="1" x14ac:dyDescent="0.25">
      <c r="B1823" s="58" t="s">
        <v>23</v>
      </c>
      <c r="C1823" s="59"/>
      <c r="D1823" s="137"/>
      <c r="E1823" s="137"/>
      <c r="F1823" s="137"/>
      <c r="G1823" s="137"/>
      <c r="H1823" s="138"/>
    </row>
    <row r="1824" spans="1:8" ht="15" customHeight="1" x14ac:dyDescent="0.25">
      <c r="B1824" s="68" t="s">
        <v>89</v>
      </c>
      <c r="C1824" s="67"/>
      <c r="D1824" s="191"/>
      <c r="E1824" s="139"/>
      <c r="F1824" s="139"/>
      <c r="G1824" s="139"/>
      <c r="H1824" s="140"/>
    </row>
    <row r="1825" spans="1:8" ht="15" customHeight="1" x14ac:dyDescent="0.25">
      <c r="B1825" s="32" t="s">
        <v>90</v>
      </c>
      <c r="D1825" s="6">
        <f>SUM(D1822:D1824)</f>
        <v>0</v>
      </c>
      <c r="E1825" s="6">
        <f>SUM(E1822:E1824)</f>
        <v>0</v>
      </c>
      <c r="F1825" s="6">
        <f>SUM(F1822:F1824)</f>
        <v>0</v>
      </c>
      <c r="G1825" s="6">
        <f>SUM(G1822:G1824)</f>
        <v>0</v>
      </c>
      <c r="H1825" s="6">
        <f>SUM(H1822:H1824)</f>
        <v>0</v>
      </c>
    </row>
    <row r="1826" spans="1:8" ht="15" customHeight="1" x14ac:dyDescent="0.25">
      <c r="B1826" s="5"/>
      <c r="D1826" s="6"/>
      <c r="E1826" s="6"/>
      <c r="F1826" s="6"/>
      <c r="G1826" s="167"/>
      <c r="H1826" s="6"/>
    </row>
    <row r="1827" spans="1:8" ht="18.75" customHeight="1" x14ac:dyDescent="0.3">
      <c r="A1827" s="8" t="s">
        <v>100</v>
      </c>
      <c r="D1827" s="2">
        <f>StartYear</f>
        <v>2017</v>
      </c>
      <c r="E1827" s="2">
        <f>D1827+1</f>
        <v>2018</v>
      </c>
      <c r="F1827" s="2">
        <f>E1827+1</f>
        <v>2019</v>
      </c>
      <c r="G1827" s="2">
        <f>F1827+1</f>
        <v>2020</v>
      </c>
      <c r="H1827" s="2">
        <f>G1827+1</f>
        <v>2021</v>
      </c>
    </row>
    <row r="1828" spans="1:8" ht="15" customHeight="1" x14ac:dyDescent="0.25">
      <c r="B1828" s="57" t="str">
        <f>(StartYear-1) &amp; " Surplus Applied to " &amp; StartYear</f>
        <v>2016 Surplus Applied to 2017</v>
      </c>
      <c r="C1828" s="29"/>
      <c r="D1828" s="186">
        <v>0</v>
      </c>
      <c r="E1828" s="187"/>
      <c r="F1828" s="187"/>
      <c r="G1828" s="187"/>
      <c r="H1828" s="188"/>
    </row>
    <row r="1829" spans="1:8" ht="15" customHeight="1" x14ac:dyDescent="0.25">
      <c r="B1829" s="57" t="str">
        <f>StartYear &amp; " Surplus Applied to " &amp; (StartYear-1)</f>
        <v>2017 Surplus Applied to 2016</v>
      </c>
      <c r="C1829" s="29"/>
      <c r="D1829" s="189">
        <v>0</v>
      </c>
      <c r="E1829" s="113"/>
      <c r="F1829" s="113"/>
      <c r="G1829" s="113"/>
      <c r="H1829" s="117"/>
    </row>
    <row r="1830" spans="1:8" ht="15" customHeight="1" x14ac:dyDescent="0.25">
      <c r="B1830" s="57" t="str">
        <f>( StartYear) &amp; " Surplus Applied to " &amp; ( StartYear + 1 )</f>
        <v>2017 Surplus Applied to 2018</v>
      </c>
      <c r="C1830" s="29"/>
      <c r="D1830" s="184">
        <f ca="1">D1814+D1819-D1825</f>
        <v>0</v>
      </c>
      <c r="E1830" s="185">
        <f ca="1">D1830</f>
        <v>0</v>
      </c>
      <c r="F1830" s="181"/>
      <c r="G1830" s="181"/>
      <c r="H1830" s="182"/>
    </row>
    <row r="1831" spans="1:8" ht="15" customHeight="1" x14ac:dyDescent="0.25">
      <c r="B1831" s="57" t="str">
        <f xml:space="preserve"> ( StartYear + 1 ) &amp; " Surplus Applied to " &amp; ( StartYear )</f>
        <v>2018 Surplus Applied to 2017</v>
      </c>
      <c r="C1831" s="52"/>
      <c r="D1831" s="134">
        <v>0</v>
      </c>
      <c r="E1831" s="9">
        <v>0</v>
      </c>
      <c r="F1831" s="113"/>
      <c r="G1831" s="113"/>
      <c r="H1831" s="117"/>
    </row>
    <row r="1832" spans="1:8" ht="15" customHeight="1" x14ac:dyDescent="0.25">
      <c r="B1832" s="119" t="str">
        <f xml:space="preserve"> ( StartYear + 1 ) &amp; " Surplus Applied to " &amp; ( StartYear + 2 )</f>
        <v>2018 Surplus Applied to 2019</v>
      </c>
      <c r="C1832" s="52"/>
      <c r="D1832" s="114"/>
      <c r="E1832" s="9">
        <v>0</v>
      </c>
      <c r="F1832" s="51">
        <f>E1832</f>
        <v>0</v>
      </c>
      <c r="G1832" s="113"/>
      <c r="H1832" s="117"/>
    </row>
    <row r="1833" spans="1:8" ht="15" customHeight="1" x14ac:dyDescent="0.25">
      <c r="B1833" s="119" t="str">
        <f xml:space="preserve"> ( StartYear + 2 ) &amp; " Surplus Applied to " &amp; ( StartYear + 1 )</f>
        <v>2019 Surplus Applied to 2018</v>
      </c>
      <c r="C1833" s="52"/>
      <c r="D1833" s="114"/>
      <c r="E1833" s="51">
        <v>0</v>
      </c>
      <c r="F1833" s="9">
        <v>0</v>
      </c>
      <c r="G1833" s="113"/>
      <c r="H1833" s="117"/>
    </row>
    <row r="1834" spans="1:8" ht="15" customHeight="1" x14ac:dyDescent="0.25">
      <c r="B1834" s="165" t="str">
        <f xml:space="preserve"> ( StartYear + 2 ) &amp; " Surplus Applied to " &amp; ( StartYear + 3 )</f>
        <v>2019 Surplus Applied to 2020</v>
      </c>
      <c r="C1834" s="29"/>
      <c r="D1834" s="114"/>
      <c r="E1834" s="113"/>
      <c r="F1834" s="9">
        <v>0</v>
      </c>
      <c r="G1834" s="51">
        <f>F1834</f>
        <v>0</v>
      </c>
      <c r="H1834" s="117"/>
    </row>
    <row r="1835" spans="1:8" ht="15" customHeight="1" x14ac:dyDescent="0.25">
      <c r="B1835" s="165" t="str">
        <f xml:space="preserve"> ( StartYear + 3 ) &amp; " Surplus Applied to " &amp; ( StartYear + 2 )</f>
        <v>2020 Surplus Applied to 2019</v>
      </c>
      <c r="C1835" s="29"/>
      <c r="D1835" s="114"/>
      <c r="E1835" s="113"/>
      <c r="F1835" s="51">
        <v>0</v>
      </c>
      <c r="G1835" s="9">
        <v>0</v>
      </c>
      <c r="H1835" s="117"/>
    </row>
    <row r="1836" spans="1:8" ht="15" customHeight="1" x14ac:dyDescent="0.25">
      <c r="B1836" s="165" t="str">
        <f xml:space="preserve"> ( StartYear + 3 ) &amp; " Surplus Applied to " &amp; ( StartYear + 4 )</f>
        <v>2020 Surplus Applied to 2021</v>
      </c>
      <c r="C1836" s="29"/>
      <c r="D1836" s="114"/>
      <c r="E1836" s="113"/>
      <c r="F1836" s="113"/>
      <c r="G1836" s="9">
        <f ca="1">G1814+G1819-G1825</f>
        <v>0</v>
      </c>
      <c r="H1836" s="46">
        <f ca="1">G1836</f>
        <v>0</v>
      </c>
    </row>
    <row r="1837" spans="1:8" ht="15" customHeight="1" x14ac:dyDescent="0.25">
      <c r="B1837" s="165" t="str">
        <f xml:space="preserve"> ( StartYear + 4 ) &amp; " Surplus Applied to " &amp; ( StartYear + 3 )</f>
        <v>2021 Surplus Applied to 2020</v>
      </c>
      <c r="C1837" s="29"/>
      <c r="D1837" s="115"/>
      <c r="E1837" s="116"/>
      <c r="F1837" s="116"/>
      <c r="G1837" s="47">
        <v>0</v>
      </c>
      <c r="H1837" s="41">
        <v>0</v>
      </c>
    </row>
    <row r="1838" spans="1:8" ht="15" customHeight="1" x14ac:dyDescent="0.25">
      <c r="B1838" s="32" t="s">
        <v>17</v>
      </c>
      <c r="D1838" s="6">
        <f ca="1">D1828-D1829+D1831-D1830</f>
        <v>0</v>
      </c>
      <c r="E1838" s="6">
        <f ca="1">E1830+E1833-E1831-E1832</f>
        <v>0</v>
      </c>
      <c r="F1838" s="6">
        <f>F1832+F1835-F1833-F1834</f>
        <v>0</v>
      </c>
      <c r="G1838" s="6">
        <f ca="1">G1834+G1837-G1835-G1836</f>
        <v>0</v>
      </c>
      <c r="H1838" s="6">
        <f ca="1">H1836 - H1837</f>
        <v>0</v>
      </c>
    </row>
    <row r="1839" spans="1:8" ht="15" customHeight="1" x14ac:dyDescent="0.25">
      <c r="B1839" s="5"/>
      <c r="D1839" s="6"/>
      <c r="E1839" s="6"/>
      <c r="F1839" s="6"/>
      <c r="G1839" s="6"/>
      <c r="H1839" s="6"/>
    </row>
    <row r="1840" spans="1:8" ht="15" customHeight="1" x14ac:dyDescent="0.25">
      <c r="B1840" s="54" t="s">
        <v>12</v>
      </c>
      <c r="C1840" s="52"/>
      <c r="D1840" s="75"/>
      <c r="E1840" s="111"/>
      <c r="F1840" s="111"/>
      <c r="G1840" s="111"/>
      <c r="H1840" s="76"/>
    </row>
    <row r="1841" spans="1:8" ht="15" customHeight="1" x14ac:dyDescent="0.25">
      <c r="B1841" s="5"/>
      <c r="D1841" s="6"/>
      <c r="E1841" s="6"/>
      <c r="F1841" s="6"/>
      <c r="G1841" s="6"/>
      <c r="H1841" s="6"/>
    </row>
    <row r="1842" spans="1:8" ht="18.75" customHeight="1" x14ac:dyDescent="0.3">
      <c r="A1842" s="38" t="s">
        <v>26</v>
      </c>
      <c r="C1842" s="52">
        <f>A1808</f>
        <v>47</v>
      </c>
      <c r="D1842" s="112">
        <f ca="1" xml:space="preserve"> D1814 + D1819 - D1825 + D1838 + D1840</f>
        <v>0</v>
      </c>
      <c r="E1842" s="112">
        <f ca="1" xml:space="preserve"> E1814 + E1819 - E1825 + E1838 + E1840</f>
        <v>0</v>
      </c>
      <c r="F1842" s="112">
        <f ca="1" xml:space="preserve"> F1814 + F1819 - F1825 + F1838 + F1840</f>
        <v>0</v>
      </c>
      <c r="G1842" s="112">
        <f ca="1" xml:space="preserve"> G1814 + G1819 - G1825 + G1838 + G1840</f>
        <v>0</v>
      </c>
      <c r="H1842" s="174">
        <f ca="1" xml:space="preserve"> H1814 + H1819 - H1825 + H1838 + H1840</f>
        <v>0</v>
      </c>
    </row>
    <row r="1843" spans="1:8" ht="15" customHeight="1" x14ac:dyDescent="0.25">
      <c r="B1843" s="5"/>
      <c r="C1843" s="108" t="s">
        <v>158</v>
      </c>
      <c r="D1843" s="6"/>
      <c r="E1843" s="6"/>
      <c r="F1843" s="28"/>
      <c r="G1843" s="28"/>
      <c r="H1843" s="28"/>
    </row>
    <row r="1844" spans="1:8" ht="15.75" customHeight="1" thickBot="1" x14ac:dyDescent="0.3"/>
    <row r="1845" spans="1:8" ht="15" customHeight="1" x14ac:dyDescent="0.25">
      <c r="A1845" s="7"/>
      <c r="B1845" s="7"/>
      <c r="C1845" s="7"/>
      <c r="D1845" s="170"/>
      <c r="E1845" s="7"/>
      <c r="F1845" s="7"/>
      <c r="G1845" s="7"/>
      <c r="H1845" s="7"/>
    </row>
    <row r="1846" spans="1:8" ht="21" customHeight="1" x14ac:dyDescent="0.35">
      <c r="A1846" s="12">
        <f>MAX(A$1:A1845)+1</f>
        <v>48</v>
      </c>
      <c r="B1846" s="12"/>
      <c r="C1846" s="214">
        <f ca="1">OFFSET($B$4,A1846-1,0)</f>
        <v>0</v>
      </c>
      <c r="D1846" s="215"/>
      <c r="E1846" s="216"/>
      <c r="F1846" s="216"/>
      <c r="G1846" s="217"/>
      <c r="H1846" s="218"/>
    </row>
    <row r="1847" spans="1:8" ht="15" customHeight="1" x14ac:dyDescent="0.25">
      <c r="C1847" s="1">
        <f ca="1">VLOOKUP(C1846,Facilities,3,FALSE)</f>
        <v>0</v>
      </c>
    </row>
    <row r="1848" spans="1:8" ht="18.75" customHeight="1" x14ac:dyDescent="0.3">
      <c r="A1848" s="8" t="s">
        <v>21</v>
      </c>
      <c r="B1848" s="8"/>
      <c r="D1848" s="118">
        <f>StartYear</f>
        <v>2017</v>
      </c>
      <c r="E1848" s="2">
        <f>D1848+1</f>
        <v>2018</v>
      </c>
      <c r="F1848" s="2">
        <f>E1848+1</f>
        <v>2019</v>
      </c>
      <c r="G1848" s="2">
        <f>F1848+1</f>
        <v>2020</v>
      </c>
      <c r="H1848" s="2">
        <f>G1848+1</f>
        <v>2021</v>
      </c>
    </row>
    <row r="1849" spans="1:8" ht="15" customHeight="1" x14ac:dyDescent="0.25">
      <c r="B1849" s="119" t="str">
        <f ca="1">IF(C1885&lt;&gt;"REC only","Total MWh ","")&amp;IF(C1847="PSE owned","Produced","Purchased")&amp;" from "&amp;C1846</f>
        <v>Total MWh Purchased from 0</v>
      </c>
      <c r="C1849" s="52"/>
      <c r="D1849" s="3"/>
      <c r="E1849" s="3"/>
      <c r="F1849" s="3"/>
      <c r="G1849" s="3"/>
      <c r="H1849" s="4"/>
    </row>
    <row r="1850" spans="1:8" ht="15" customHeight="1" x14ac:dyDescent="0.25">
      <c r="B1850" s="57" t="s">
        <v>25</v>
      </c>
      <c r="C1850" s="52"/>
      <c r="D1850" s="132"/>
      <c r="E1850" s="132"/>
      <c r="F1850" s="132"/>
      <c r="G1850" s="132"/>
      <c r="H1850" s="133"/>
    </row>
    <row r="1851" spans="1:8" ht="15" customHeight="1" x14ac:dyDescent="0.25">
      <c r="B1851" s="57" t="s">
        <v>20</v>
      </c>
      <c r="C1851" s="52"/>
      <c r="D1851" s="42"/>
      <c r="E1851" s="42"/>
      <c r="F1851" s="42"/>
      <c r="G1851" s="42"/>
      <c r="H1851" s="43"/>
    </row>
    <row r="1852" spans="1:8" ht="15" customHeight="1" x14ac:dyDescent="0.25">
      <c r="B1852" s="54" t="s">
        <v>22</v>
      </c>
      <c r="C1852" s="55"/>
      <c r="D1852" s="131">
        <f xml:space="preserve"> D1849 * D1850 * D1851</f>
        <v>0</v>
      </c>
      <c r="E1852" s="131">
        <f xml:space="preserve"> E1849 * E1850 * E1851</f>
        <v>0</v>
      </c>
      <c r="F1852" s="131">
        <f xml:space="preserve"> ROUNDDOWN(F1849 * F1850 * F1851,0)</f>
        <v>0</v>
      </c>
      <c r="G1852" s="131">
        <f xml:space="preserve"> ROUNDDOWN(G1849 * G1850 * G1851,0)</f>
        <v>0</v>
      </c>
      <c r="H1852" s="131">
        <f xml:space="preserve"> ROUNDDOWN(H1849 * H1850 * H1851,0)</f>
        <v>0</v>
      </c>
    </row>
    <row r="1853" spans="1:8" ht="15" customHeight="1" x14ac:dyDescent="0.25">
      <c r="B1853" s="22"/>
      <c r="C1853" s="29"/>
      <c r="D1853" s="36"/>
      <c r="E1853" s="36"/>
      <c r="F1853" s="36"/>
      <c r="G1853" s="167"/>
      <c r="H1853" s="36"/>
    </row>
    <row r="1854" spans="1:8" ht="18.75" customHeight="1" x14ac:dyDescent="0.3">
      <c r="A1854" s="39" t="s">
        <v>119</v>
      </c>
      <c r="C1854" s="29"/>
      <c r="D1854" s="2">
        <f>StartYear</f>
        <v>2017</v>
      </c>
      <c r="E1854" s="2">
        <f>D1854+1</f>
        <v>2018</v>
      </c>
      <c r="F1854" s="2">
        <f>E1854+1</f>
        <v>2019</v>
      </c>
      <c r="G1854" s="2">
        <f>F1854+1</f>
        <v>2020</v>
      </c>
      <c r="H1854" s="2">
        <f>G1854+1</f>
        <v>2021</v>
      </c>
    </row>
    <row r="1855" spans="1:8" ht="15" customHeight="1" x14ac:dyDescent="0.25">
      <c r="B1855" s="57" t="s">
        <v>10</v>
      </c>
      <c r="C1855" s="52"/>
      <c r="D1855" s="10">
        <f ca="1">IF(VLOOKUP($C1846,Facilities,5,FALSE)="Eligible", D1852*ApprenticeshipBonus, 0 )</f>
        <v>0</v>
      </c>
      <c r="E1855" s="109">
        <f ca="1">IF(VLOOKUP($C1846,Facilities,5,FALSE)="Eligible", E1852*ApprenticeshipBonus, 0 )</f>
        <v>0</v>
      </c>
      <c r="F1855" s="109">
        <f ca="1">IF(VLOOKUP($C1846,Facilities,5,FALSE)="Eligible", F1852*ApprenticeshipBonus, 0 )</f>
        <v>0</v>
      </c>
      <c r="G1855" s="109">
        <f ca="1">IF(VLOOKUP($C1846,Facilities,5,FALSE)="Eligible", G1852*ApprenticeshipBonus, 0 )</f>
        <v>0</v>
      </c>
      <c r="H1855" s="11">
        <f ca="1">IF(VLOOKUP($C1846,Facilities,5,FALSE)="Eligible", H1852*ApprenticeshipBonus, 0 )</f>
        <v>0</v>
      </c>
    </row>
    <row r="1856" spans="1:8" ht="15" customHeight="1" x14ac:dyDescent="0.25">
      <c r="B1856" s="57" t="s">
        <v>6</v>
      </c>
      <c r="C1856" s="52"/>
      <c r="D1856" s="44">
        <f ca="1">IF(VLOOKUP($C1846,Facilities,6,FALSE)="Eligible", D1852, 0 )</f>
        <v>0</v>
      </c>
      <c r="E1856" s="110">
        <f ca="1">IF(VLOOKUP($C1846,Facilities,6,FALSE)="Eligible", E1852, 0 )</f>
        <v>0</v>
      </c>
      <c r="F1856" s="110">
        <f ca="1">IF(VLOOKUP($C1846,Facilities,6,FALSE)="Eligible", F1852, 0 )</f>
        <v>0</v>
      </c>
      <c r="G1856" s="110">
        <f ca="1">IF(VLOOKUP($C1846,Facilities,6,FALSE)="Eligible", G1852, 0 )</f>
        <v>0</v>
      </c>
      <c r="H1856" s="45">
        <f ca="1">IF(VLOOKUP($C1846,Facilities,6,FALSE)="Eligible", H1852, 0 )</f>
        <v>0</v>
      </c>
    </row>
    <row r="1857" spans="1:8" ht="15" customHeight="1" x14ac:dyDescent="0.25">
      <c r="B1857" s="56" t="s">
        <v>121</v>
      </c>
      <c r="C1857" s="55"/>
      <c r="D1857" s="37">
        <f ca="1">SUM(D1855:D1856)</f>
        <v>0</v>
      </c>
      <c r="E1857" s="37">
        <f ca="1">SUM(E1855:E1856)</f>
        <v>0</v>
      </c>
      <c r="F1857" s="37">
        <f ca="1">SUM(F1855:F1856)</f>
        <v>0</v>
      </c>
      <c r="G1857" s="37">
        <f ca="1">SUM(G1855:G1856)</f>
        <v>0</v>
      </c>
      <c r="H1857" s="37">
        <f ca="1">SUM(H1855:H1856)</f>
        <v>0</v>
      </c>
    </row>
    <row r="1858" spans="1:8" ht="15" customHeight="1" x14ac:dyDescent="0.25">
      <c r="B1858" s="29"/>
      <c r="C1858" s="29"/>
      <c r="D1858" s="30"/>
      <c r="E1858" s="30"/>
      <c r="F1858" s="30"/>
      <c r="G1858" s="169"/>
      <c r="H1858" s="30"/>
    </row>
    <row r="1859" spans="1:8" ht="18.75" customHeight="1" x14ac:dyDescent="0.3">
      <c r="A1859" s="38" t="s">
        <v>30</v>
      </c>
      <c r="C1859" s="29"/>
      <c r="D1859" s="2">
        <f>StartYear</f>
        <v>2017</v>
      </c>
      <c r="E1859" s="2">
        <f>D1859+1</f>
        <v>2018</v>
      </c>
      <c r="F1859" s="2">
        <f>E1859+1</f>
        <v>2019</v>
      </c>
      <c r="G1859" s="2">
        <f>F1859+1</f>
        <v>2020</v>
      </c>
      <c r="H1859" s="2">
        <f>G1859+1</f>
        <v>2021</v>
      </c>
    </row>
    <row r="1860" spans="1:8" ht="15" customHeight="1" x14ac:dyDescent="0.25">
      <c r="B1860" s="57" t="s">
        <v>47</v>
      </c>
      <c r="C1860" s="52"/>
      <c r="D1860" s="3"/>
      <c r="E1860" s="3"/>
      <c r="F1860" s="3"/>
      <c r="G1860" s="3"/>
      <c r="H1860" s="4"/>
    </row>
    <row r="1861" spans="1:8" ht="15" customHeight="1" x14ac:dyDescent="0.25">
      <c r="B1861" s="58" t="s">
        <v>23</v>
      </c>
      <c r="C1861" s="59"/>
      <c r="D1861" s="137"/>
      <c r="E1861" s="137"/>
      <c r="F1861" s="137"/>
      <c r="G1861" s="137"/>
      <c r="H1861" s="138"/>
    </row>
    <row r="1862" spans="1:8" ht="15" customHeight="1" x14ac:dyDescent="0.25">
      <c r="B1862" s="68" t="s">
        <v>89</v>
      </c>
      <c r="C1862" s="67"/>
      <c r="D1862" s="191"/>
      <c r="E1862" s="139"/>
      <c r="F1862" s="139"/>
      <c r="G1862" s="139"/>
      <c r="H1862" s="140"/>
    </row>
    <row r="1863" spans="1:8" ht="15" customHeight="1" x14ac:dyDescent="0.25">
      <c r="B1863" s="32" t="s">
        <v>90</v>
      </c>
      <c r="D1863" s="6">
        <f>SUM(D1860:D1862)</f>
        <v>0</v>
      </c>
      <c r="E1863" s="6">
        <f>SUM(E1860:E1862)</f>
        <v>0</v>
      </c>
      <c r="F1863" s="6">
        <f>SUM(F1860:F1862)</f>
        <v>0</v>
      </c>
      <c r="G1863" s="6">
        <f>SUM(G1860:G1862)</f>
        <v>0</v>
      </c>
      <c r="H1863" s="6">
        <f>SUM(H1860:H1862)</f>
        <v>0</v>
      </c>
    </row>
    <row r="1864" spans="1:8" ht="15" customHeight="1" x14ac:dyDescent="0.25">
      <c r="B1864" s="5"/>
      <c r="D1864" s="6"/>
      <c r="E1864" s="6"/>
      <c r="F1864" s="6"/>
      <c r="G1864" s="167"/>
      <c r="H1864" s="6"/>
    </row>
    <row r="1865" spans="1:8" ht="18.75" customHeight="1" x14ac:dyDescent="0.3">
      <c r="A1865" s="8" t="s">
        <v>100</v>
      </c>
      <c r="D1865" s="2">
        <f>StartYear</f>
        <v>2017</v>
      </c>
      <c r="E1865" s="2">
        <f>D1865+1</f>
        <v>2018</v>
      </c>
      <c r="F1865" s="2">
        <f>E1865+1</f>
        <v>2019</v>
      </c>
      <c r="G1865" s="2">
        <f>F1865+1</f>
        <v>2020</v>
      </c>
      <c r="H1865" s="2">
        <f>G1865+1</f>
        <v>2021</v>
      </c>
    </row>
    <row r="1866" spans="1:8" ht="15" customHeight="1" x14ac:dyDescent="0.25">
      <c r="B1866" s="57" t="str">
        <f>(StartYear-1) &amp; " Surplus Applied to " &amp; StartYear</f>
        <v>2016 Surplus Applied to 2017</v>
      </c>
      <c r="C1866" s="29"/>
      <c r="D1866" s="186">
        <v>0</v>
      </c>
      <c r="E1866" s="187"/>
      <c r="F1866" s="187"/>
      <c r="G1866" s="187"/>
      <c r="H1866" s="188"/>
    </row>
    <row r="1867" spans="1:8" ht="15" customHeight="1" x14ac:dyDescent="0.25">
      <c r="B1867" s="57" t="str">
        <f>StartYear &amp; " Surplus Applied to " &amp; (StartYear-1)</f>
        <v>2017 Surplus Applied to 2016</v>
      </c>
      <c r="C1867" s="29"/>
      <c r="D1867" s="189">
        <v>0</v>
      </c>
      <c r="E1867" s="113"/>
      <c r="F1867" s="113"/>
      <c r="G1867" s="113"/>
      <c r="H1867" s="117"/>
    </row>
    <row r="1868" spans="1:8" ht="15" customHeight="1" x14ac:dyDescent="0.25">
      <c r="B1868" s="57" t="str">
        <f>( StartYear) &amp; " Surplus Applied to " &amp; ( StartYear + 1 )</f>
        <v>2017 Surplus Applied to 2018</v>
      </c>
      <c r="C1868" s="29"/>
      <c r="D1868" s="184">
        <f ca="1">D1852+D1857-D1863</f>
        <v>0</v>
      </c>
      <c r="E1868" s="185">
        <f ca="1">D1868</f>
        <v>0</v>
      </c>
      <c r="F1868" s="181"/>
      <c r="G1868" s="181"/>
      <c r="H1868" s="182"/>
    </row>
    <row r="1869" spans="1:8" ht="15" customHeight="1" x14ac:dyDescent="0.25">
      <c r="B1869" s="57" t="str">
        <f xml:space="preserve"> ( StartYear + 1 ) &amp; " Surplus Applied to " &amp; ( StartYear )</f>
        <v>2018 Surplus Applied to 2017</v>
      </c>
      <c r="C1869" s="52"/>
      <c r="D1869" s="134">
        <v>0</v>
      </c>
      <c r="E1869" s="9">
        <v>0</v>
      </c>
      <c r="F1869" s="113"/>
      <c r="G1869" s="113"/>
      <c r="H1869" s="117"/>
    </row>
    <row r="1870" spans="1:8" ht="15" customHeight="1" x14ac:dyDescent="0.25">
      <c r="B1870" s="119" t="str">
        <f xml:space="preserve"> ( StartYear + 1 ) &amp; " Surplus Applied to " &amp; ( StartYear + 2 )</f>
        <v>2018 Surplus Applied to 2019</v>
      </c>
      <c r="C1870" s="52"/>
      <c r="D1870" s="114"/>
      <c r="E1870" s="9">
        <v>0</v>
      </c>
      <c r="F1870" s="51">
        <f>E1870</f>
        <v>0</v>
      </c>
      <c r="G1870" s="113"/>
      <c r="H1870" s="117"/>
    </row>
    <row r="1871" spans="1:8" ht="15" customHeight="1" x14ac:dyDescent="0.25">
      <c r="B1871" s="119" t="str">
        <f xml:space="preserve"> ( StartYear + 2 ) &amp; " Surplus Applied to " &amp; ( StartYear + 1 )</f>
        <v>2019 Surplus Applied to 2018</v>
      </c>
      <c r="C1871" s="52"/>
      <c r="D1871" s="114"/>
      <c r="E1871" s="51">
        <v>0</v>
      </c>
      <c r="F1871" s="9">
        <v>0</v>
      </c>
      <c r="G1871" s="113"/>
      <c r="H1871" s="117"/>
    </row>
    <row r="1872" spans="1:8" ht="15" customHeight="1" x14ac:dyDescent="0.25">
      <c r="B1872" s="165" t="str">
        <f xml:space="preserve"> ( StartYear + 2 ) &amp; " Surplus Applied to " &amp; ( StartYear + 3 )</f>
        <v>2019 Surplus Applied to 2020</v>
      </c>
      <c r="C1872" s="29"/>
      <c r="D1872" s="114"/>
      <c r="E1872" s="113"/>
      <c r="F1872" s="9">
        <v>0</v>
      </c>
      <c r="G1872" s="51">
        <f>F1872</f>
        <v>0</v>
      </c>
      <c r="H1872" s="117"/>
    </row>
    <row r="1873" spans="1:8" ht="15" customHeight="1" x14ac:dyDescent="0.25">
      <c r="B1873" s="165" t="str">
        <f xml:space="preserve"> ( StartYear + 3 ) &amp; " Surplus Applied to " &amp; ( StartYear + 2 )</f>
        <v>2020 Surplus Applied to 2019</v>
      </c>
      <c r="C1873" s="29"/>
      <c r="D1873" s="114"/>
      <c r="E1873" s="113"/>
      <c r="F1873" s="51">
        <v>0</v>
      </c>
      <c r="G1873" s="9">
        <v>0</v>
      </c>
      <c r="H1873" s="117"/>
    </row>
    <row r="1874" spans="1:8" ht="15" customHeight="1" x14ac:dyDescent="0.25">
      <c r="B1874" s="165" t="str">
        <f xml:space="preserve"> ( StartYear + 3 ) &amp; " Surplus Applied to " &amp; ( StartYear + 4 )</f>
        <v>2020 Surplus Applied to 2021</v>
      </c>
      <c r="C1874" s="29"/>
      <c r="D1874" s="114"/>
      <c r="E1874" s="113"/>
      <c r="F1874" s="113"/>
      <c r="G1874" s="9">
        <f ca="1">G1852+G1857-G1863</f>
        <v>0</v>
      </c>
      <c r="H1874" s="46">
        <f ca="1">G1874</f>
        <v>0</v>
      </c>
    </row>
    <row r="1875" spans="1:8" ht="15" customHeight="1" x14ac:dyDescent="0.25">
      <c r="B1875" s="165" t="str">
        <f xml:space="preserve"> ( StartYear + 4 ) &amp; " Surplus Applied to " &amp; ( StartYear + 3 )</f>
        <v>2021 Surplus Applied to 2020</v>
      </c>
      <c r="C1875" s="29"/>
      <c r="D1875" s="115"/>
      <c r="E1875" s="116"/>
      <c r="F1875" s="116"/>
      <c r="G1875" s="47">
        <v>0</v>
      </c>
      <c r="H1875" s="41">
        <v>0</v>
      </c>
    </row>
    <row r="1876" spans="1:8" ht="15" customHeight="1" x14ac:dyDescent="0.25">
      <c r="B1876" s="32" t="s">
        <v>17</v>
      </c>
      <c r="D1876" s="6">
        <f ca="1">D1866-D1867+D1869-D1868</f>
        <v>0</v>
      </c>
      <c r="E1876" s="6">
        <f ca="1">E1868+E1871-E1869-E1870</f>
        <v>0</v>
      </c>
      <c r="F1876" s="6">
        <f>F1870+F1873-F1871-F1872</f>
        <v>0</v>
      </c>
      <c r="G1876" s="6">
        <f ca="1">G1872+G1875-G1873-G1874</f>
        <v>0</v>
      </c>
      <c r="H1876" s="6">
        <f ca="1">H1874 - H1875</f>
        <v>0</v>
      </c>
    </row>
    <row r="1877" spans="1:8" ht="15" customHeight="1" x14ac:dyDescent="0.25">
      <c r="B1877" s="5"/>
      <c r="D1877" s="6"/>
      <c r="E1877" s="6"/>
      <c r="F1877" s="6"/>
      <c r="G1877" s="6"/>
      <c r="H1877" s="6"/>
    </row>
    <row r="1878" spans="1:8" ht="15" customHeight="1" x14ac:dyDescent="0.25">
      <c r="B1878" s="54" t="s">
        <v>12</v>
      </c>
      <c r="C1878" s="52"/>
      <c r="D1878" s="75"/>
      <c r="E1878" s="111"/>
      <c r="F1878" s="111"/>
      <c r="G1878" s="111"/>
      <c r="H1878" s="76"/>
    </row>
    <row r="1879" spans="1:8" ht="15" customHeight="1" x14ac:dyDescent="0.25">
      <c r="B1879" s="5"/>
      <c r="D1879" s="6"/>
      <c r="E1879" s="6"/>
      <c r="F1879" s="6"/>
      <c r="G1879" s="6"/>
      <c r="H1879" s="6"/>
    </row>
    <row r="1880" spans="1:8" ht="18.75" customHeight="1" x14ac:dyDescent="0.3">
      <c r="A1880" s="38" t="s">
        <v>26</v>
      </c>
      <c r="C1880" s="52">
        <f>A1846</f>
        <v>48</v>
      </c>
      <c r="D1880" s="112">
        <f ca="1" xml:space="preserve"> D1852 + D1857 - D1863 + D1876 + D1878</f>
        <v>0</v>
      </c>
      <c r="E1880" s="112">
        <f ca="1" xml:space="preserve"> E1852 + E1857 - E1863 + E1876 + E1878</f>
        <v>0</v>
      </c>
      <c r="F1880" s="112">
        <f ca="1" xml:space="preserve"> F1852 + F1857 - F1863 + F1876 + F1878</f>
        <v>0</v>
      </c>
      <c r="G1880" s="112">
        <f ca="1" xml:space="preserve"> G1852 + G1857 - G1863 + G1876 + G1878</f>
        <v>0</v>
      </c>
      <c r="H1880" s="174">
        <f ca="1" xml:space="preserve"> H1852 + H1857 - H1863 + H1876 + H1878</f>
        <v>0</v>
      </c>
    </row>
    <row r="1881" spans="1:8" ht="15" customHeight="1" x14ac:dyDescent="0.25">
      <c r="B1881" s="5"/>
      <c r="C1881" s="108" t="s">
        <v>158</v>
      </c>
      <c r="D1881" s="6"/>
      <c r="E1881" s="6"/>
      <c r="F1881" s="28"/>
      <c r="G1881" s="28"/>
      <c r="H1881" s="28"/>
    </row>
    <row r="1882" spans="1:8" ht="15.75" customHeight="1" thickBot="1" x14ac:dyDescent="0.3"/>
    <row r="1883" spans="1:8" ht="15" customHeight="1" x14ac:dyDescent="0.25">
      <c r="A1883" s="7"/>
      <c r="B1883" s="7"/>
      <c r="C1883" s="7"/>
      <c r="D1883" s="170"/>
      <c r="E1883" s="7"/>
      <c r="F1883" s="7"/>
      <c r="G1883" s="7"/>
      <c r="H1883" s="7"/>
    </row>
    <row r="1884" spans="1:8" ht="21" customHeight="1" x14ac:dyDescent="0.35">
      <c r="A1884" s="12">
        <f>MAX(A$1:A1883)+1</f>
        <v>49</v>
      </c>
      <c r="B1884" s="12"/>
      <c r="C1884" s="214">
        <f ca="1">OFFSET($B$4,A1884-1,0)</f>
        <v>0</v>
      </c>
      <c r="D1884" s="215"/>
      <c r="E1884" s="216"/>
      <c r="F1884" s="216"/>
      <c r="G1884" s="217"/>
      <c r="H1884" s="218"/>
    </row>
    <row r="1885" spans="1:8" ht="15" customHeight="1" x14ac:dyDescent="0.25">
      <c r="C1885" s="1">
        <f ca="1">VLOOKUP(C1884,Facilities,3,FALSE)</f>
        <v>0</v>
      </c>
    </row>
    <row r="1886" spans="1:8" ht="18.75" customHeight="1" x14ac:dyDescent="0.3">
      <c r="A1886" s="8" t="s">
        <v>21</v>
      </c>
      <c r="B1886" s="8"/>
      <c r="D1886" s="118">
        <f>StartYear</f>
        <v>2017</v>
      </c>
      <c r="E1886" s="2">
        <f>D1886+1</f>
        <v>2018</v>
      </c>
      <c r="F1886" s="2">
        <f>E1886+1</f>
        <v>2019</v>
      </c>
      <c r="G1886" s="2">
        <f>F1886+1</f>
        <v>2020</v>
      </c>
      <c r="H1886" s="2">
        <f>G1886+1</f>
        <v>2021</v>
      </c>
    </row>
    <row r="1887" spans="1:8" ht="15" customHeight="1" x14ac:dyDescent="0.25">
      <c r="B1887" s="119" t="str">
        <f ca="1">IF(C1923&lt;&gt;"REC only","Total MWh ","")&amp;IF(C1885="PSE owned","Produced","Purchased")&amp;" from "&amp;C1884</f>
        <v>Total MWh Purchased from 0</v>
      </c>
      <c r="C1887" s="52"/>
      <c r="D1887" s="3"/>
      <c r="E1887" s="3"/>
      <c r="F1887" s="3"/>
      <c r="G1887" s="3"/>
      <c r="H1887" s="4"/>
    </row>
    <row r="1888" spans="1:8" ht="15" customHeight="1" x14ac:dyDescent="0.25">
      <c r="B1888" s="57" t="s">
        <v>25</v>
      </c>
      <c r="C1888" s="52"/>
      <c r="D1888" s="132"/>
      <c r="E1888" s="132"/>
      <c r="F1888" s="132"/>
      <c r="G1888" s="132"/>
      <c r="H1888" s="133"/>
    </row>
    <row r="1889" spans="1:8" ht="15" customHeight="1" x14ac:dyDescent="0.25">
      <c r="B1889" s="57" t="s">
        <v>20</v>
      </c>
      <c r="C1889" s="52"/>
      <c r="D1889" s="42"/>
      <c r="E1889" s="42"/>
      <c r="F1889" s="42"/>
      <c r="G1889" s="42"/>
      <c r="H1889" s="43"/>
    </row>
    <row r="1890" spans="1:8" ht="15" customHeight="1" x14ac:dyDescent="0.25">
      <c r="B1890" s="54" t="s">
        <v>22</v>
      </c>
      <c r="C1890" s="55"/>
      <c r="D1890" s="131">
        <f xml:space="preserve"> D1887 * D1888 * D1889</f>
        <v>0</v>
      </c>
      <c r="E1890" s="131">
        <f xml:space="preserve"> E1887 * E1888 * E1889</f>
        <v>0</v>
      </c>
      <c r="F1890" s="131">
        <f xml:space="preserve"> ROUNDDOWN(F1887 * F1888 * F1889,0)</f>
        <v>0</v>
      </c>
      <c r="G1890" s="131">
        <f xml:space="preserve"> ROUNDDOWN(G1887 * G1888 * G1889,0)</f>
        <v>0</v>
      </c>
      <c r="H1890" s="131">
        <f xml:space="preserve"> ROUNDDOWN(H1887 * H1888 * H1889,0)</f>
        <v>0</v>
      </c>
    </row>
    <row r="1891" spans="1:8" ht="15" customHeight="1" x14ac:dyDescent="0.25">
      <c r="B1891" s="22"/>
      <c r="C1891" s="29"/>
      <c r="D1891" s="36"/>
      <c r="E1891" s="36"/>
      <c r="F1891" s="36"/>
      <c r="G1891" s="167"/>
      <c r="H1891" s="36"/>
    </row>
    <row r="1892" spans="1:8" ht="18.75" customHeight="1" x14ac:dyDescent="0.3">
      <c r="A1892" s="39" t="s">
        <v>119</v>
      </c>
      <c r="C1892" s="29"/>
      <c r="D1892" s="2">
        <f>StartYear</f>
        <v>2017</v>
      </c>
      <c r="E1892" s="2">
        <f>D1892+1</f>
        <v>2018</v>
      </c>
      <c r="F1892" s="2">
        <f>E1892+1</f>
        <v>2019</v>
      </c>
      <c r="G1892" s="2">
        <f>F1892+1</f>
        <v>2020</v>
      </c>
      <c r="H1892" s="2">
        <f>G1892+1</f>
        <v>2021</v>
      </c>
    </row>
    <row r="1893" spans="1:8" ht="15" customHeight="1" x14ac:dyDescent="0.25">
      <c r="B1893" s="57" t="s">
        <v>10</v>
      </c>
      <c r="C1893" s="52"/>
      <c r="D1893" s="10">
        <f ca="1">IF(VLOOKUP($C1884,Facilities,5,FALSE)="Eligible", D1890*ApprenticeshipBonus, 0 )</f>
        <v>0</v>
      </c>
      <c r="E1893" s="109">
        <f ca="1">IF(VLOOKUP($C1884,Facilities,5,FALSE)="Eligible", E1890*ApprenticeshipBonus, 0 )</f>
        <v>0</v>
      </c>
      <c r="F1893" s="109">
        <f ca="1">IF(VLOOKUP($C1884,Facilities,5,FALSE)="Eligible", F1890*ApprenticeshipBonus, 0 )</f>
        <v>0</v>
      </c>
      <c r="G1893" s="109">
        <f ca="1">IF(VLOOKUP($C1884,Facilities,5,FALSE)="Eligible", G1890*ApprenticeshipBonus, 0 )</f>
        <v>0</v>
      </c>
      <c r="H1893" s="11">
        <f ca="1">IF(VLOOKUP($C1884,Facilities,5,FALSE)="Eligible", H1890*ApprenticeshipBonus, 0 )</f>
        <v>0</v>
      </c>
    </row>
    <row r="1894" spans="1:8" ht="15" customHeight="1" x14ac:dyDescent="0.25">
      <c r="B1894" s="57" t="s">
        <v>6</v>
      </c>
      <c r="C1894" s="52"/>
      <c r="D1894" s="44">
        <f ca="1">IF(VLOOKUP($C1884,Facilities,6,FALSE)="Eligible", D1890, 0 )</f>
        <v>0</v>
      </c>
      <c r="E1894" s="110">
        <f ca="1">IF(VLOOKUP($C1884,Facilities,6,FALSE)="Eligible", E1890, 0 )</f>
        <v>0</v>
      </c>
      <c r="F1894" s="110">
        <f ca="1">IF(VLOOKUP($C1884,Facilities,6,FALSE)="Eligible", F1890, 0 )</f>
        <v>0</v>
      </c>
      <c r="G1894" s="110">
        <f ca="1">IF(VLOOKUP($C1884,Facilities,6,FALSE)="Eligible", G1890, 0 )</f>
        <v>0</v>
      </c>
      <c r="H1894" s="45">
        <f ca="1">IF(VLOOKUP($C1884,Facilities,6,FALSE)="Eligible", H1890, 0 )</f>
        <v>0</v>
      </c>
    </row>
    <row r="1895" spans="1:8" ht="15" customHeight="1" x14ac:dyDescent="0.25">
      <c r="B1895" s="56" t="s">
        <v>121</v>
      </c>
      <c r="C1895" s="55"/>
      <c r="D1895" s="37">
        <f ca="1">SUM(D1893:D1894)</f>
        <v>0</v>
      </c>
      <c r="E1895" s="37">
        <f ca="1">SUM(E1893:E1894)</f>
        <v>0</v>
      </c>
      <c r="F1895" s="37">
        <f ca="1">SUM(F1893:F1894)</f>
        <v>0</v>
      </c>
      <c r="G1895" s="37">
        <f ca="1">SUM(G1893:G1894)</f>
        <v>0</v>
      </c>
      <c r="H1895" s="37">
        <f ca="1">SUM(H1893:H1894)</f>
        <v>0</v>
      </c>
    </row>
    <row r="1896" spans="1:8" ht="15" customHeight="1" x14ac:dyDescent="0.25">
      <c r="B1896" s="29"/>
      <c r="C1896" s="29"/>
      <c r="D1896" s="30"/>
      <c r="E1896" s="30"/>
      <c r="F1896" s="30"/>
      <c r="G1896" s="169"/>
      <c r="H1896" s="30"/>
    </row>
    <row r="1897" spans="1:8" ht="18.75" customHeight="1" x14ac:dyDescent="0.3">
      <c r="A1897" s="38" t="s">
        <v>30</v>
      </c>
      <c r="C1897" s="29"/>
      <c r="D1897" s="2">
        <f>StartYear</f>
        <v>2017</v>
      </c>
      <c r="E1897" s="2">
        <f>D1897+1</f>
        <v>2018</v>
      </c>
      <c r="F1897" s="2">
        <f>E1897+1</f>
        <v>2019</v>
      </c>
      <c r="G1897" s="2">
        <f>F1897+1</f>
        <v>2020</v>
      </c>
      <c r="H1897" s="2">
        <f>G1897+1</f>
        <v>2021</v>
      </c>
    </row>
    <row r="1898" spans="1:8" ht="15" customHeight="1" x14ac:dyDescent="0.25">
      <c r="B1898" s="57" t="s">
        <v>47</v>
      </c>
      <c r="C1898" s="52"/>
      <c r="D1898" s="3"/>
      <c r="E1898" s="3"/>
      <c r="F1898" s="3"/>
      <c r="G1898" s="3"/>
      <c r="H1898" s="4"/>
    </row>
    <row r="1899" spans="1:8" ht="15" customHeight="1" x14ac:dyDescent="0.25">
      <c r="B1899" s="58" t="s">
        <v>23</v>
      </c>
      <c r="C1899" s="59"/>
      <c r="D1899" s="137"/>
      <c r="E1899" s="137"/>
      <c r="F1899" s="137"/>
      <c r="G1899" s="137"/>
      <c r="H1899" s="138"/>
    </row>
    <row r="1900" spans="1:8" ht="15" customHeight="1" x14ac:dyDescent="0.25">
      <c r="B1900" s="68" t="s">
        <v>89</v>
      </c>
      <c r="C1900" s="67"/>
      <c r="D1900" s="191"/>
      <c r="E1900" s="139"/>
      <c r="F1900" s="139"/>
      <c r="G1900" s="139"/>
      <c r="H1900" s="140"/>
    </row>
    <row r="1901" spans="1:8" ht="15" customHeight="1" x14ac:dyDescent="0.25">
      <c r="B1901" s="32" t="s">
        <v>90</v>
      </c>
      <c r="D1901" s="6">
        <f>SUM(D1898:D1900)</f>
        <v>0</v>
      </c>
      <c r="E1901" s="6">
        <f>SUM(E1898:E1900)</f>
        <v>0</v>
      </c>
      <c r="F1901" s="6">
        <f>SUM(F1898:F1900)</f>
        <v>0</v>
      </c>
      <c r="G1901" s="6">
        <f>SUM(G1898:G1900)</f>
        <v>0</v>
      </c>
      <c r="H1901" s="6">
        <f>SUM(H1898:H1900)</f>
        <v>0</v>
      </c>
    </row>
    <row r="1902" spans="1:8" ht="15" customHeight="1" x14ac:dyDescent="0.25">
      <c r="B1902" s="5"/>
      <c r="D1902" s="6"/>
      <c r="E1902" s="6"/>
      <c r="F1902" s="6"/>
      <c r="G1902" s="167"/>
      <c r="H1902" s="6"/>
    </row>
    <row r="1903" spans="1:8" ht="18.75" customHeight="1" x14ac:dyDescent="0.3">
      <c r="A1903" s="8" t="s">
        <v>100</v>
      </c>
      <c r="D1903" s="2">
        <f>StartYear</f>
        <v>2017</v>
      </c>
      <c r="E1903" s="2">
        <f>D1903+1</f>
        <v>2018</v>
      </c>
      <c r="F1903" s="2">
        <f>E1903+1</f>
        <v>2019</v>
      </c>
      <c r="G1903" s="2">
        <f>F1903+1</f>
        <v>2020</v>
      </c>
      <c r="H1903" s="2">
        <f>G1903+1</f>
        <v>2021</v>
      </c>
    </row>
    <row r="1904" spans="1:8" ht="15" customHeight="1" x14ac:dyDescent="0.25">
      <c r="B1904" s="57" t="str">
        <f>(StartYear-1) &amp; " Surplus Applied to " &amp; StartYear</f>
        <v>2016 Surplus Applied to 2017</v>
      </c>
      <c r="C1904" s="29"/>
      <c r="D1904" s="186">
        <v>0</v>
      </c>
      <c r="E1904" s="187"/>
      <c r="F1904" s="187"/>
      <c r="G1904" s="187"/>
      <c r="H1904" s="188"/>
    </row>
    <row r="1905" spans="1:8" ht="15" customHeight="1" x14ac:dyDescent="0.25">
      <c r="B1905" s="57" t="str">
        <f>StartYear &amp; " Surplus Applied to " &amp; (StartYear-1)</f>
        <v>2017 Surplus Applied to 2016</v>
      </c>
      <c r="C1905" s="29"/>
      <c r="D1905" s="189">
        <v>0</v>
      </c>
      <c r="E1905" s="113"/>
      <c r="F1905" s="113"/>
      <c r="G1905" s="113"/>
      <c r="H1905" s="117"/>
    </row>
    <row r="1906" spans="1:8" ht="15" customHeight="1" x14ac:dyDescent="0.25">
      <c r="B1906" s="57" t="str">
        <f>( StartYear) &amp; " Surplus Applied to " &amp; ( StartYear + 1 )</f>
        <v>2017 Surplus Applied to 2018</v>
      </c>
      <c r="C1906" s="29"/>
      <c r="D1906" s="184">
        <f ca="1">D1890+D1895-D1901</f>
        <v>0</v>
      </c>
      <c r="E1906" s="185">
        <f ca="1">D1906</f>
        <v>0</v>
      </c>
      <c r="F1906" s="181"/>
      <c r="G1906" s="181"/>
      <c r="H1906" s="182"/>
    </row>
    <row r="1907" spans="1:8" ht="15" customHeight="1" x14ac:dyDescent="0.25">
      <c r="B1907" s="57" t="str">
        <f xml:space="preserve"> ( StartYear + 1 ) &amp; " Surplus Applied to " &amp; ( StartYear )</f>
        <v>2018 Surplus Applied to 2017</v>
      </c>
      <c r="C1907" s="52"/>
      <c r="D1907" s="134">
        <v>0</v>
      </c>
      <c r="E1907" s="9">
        <v>0</v>
      </c>
      <c r="F1907" s="113"/>
      <c r="G1907" s="113"/>
      <c r="H1907" s="117"/>
    </row>
    <row r="1908" spans="1:8" ht="15" customHeight="1" x14ac:dyDescent="0.25">
      <c r="B1908" s="119" t="str">
        <f xml:space="preserve"> ( StartYear + 1 ) &amp; " Surplus Applied to " &amp; ( StartYear + 2 )</f>
        <v>2018 Surplus Applied to 2019</v>
      </c>
      <c r="C1908" s="52"/>
      <c r="D1908" s="114"/>
      <c r="E1908" s="9">
        <v>0</v>
      </c>
      <c r="F1908" s="51">
        <f>E1908</f>
        <v>0</v>
      </c>
      <c r="G1908" s="113"/>
      <c r="H1908" s="117"/>
    </row>
    <row r="1909" spans="1:8" ht="15" customHeight="1" x14ac:dyDescent="0.25">
      <c r="B1909" s="119" t="str">
        <f xml:space="preserve"> ( StartYear + 2 ) &amp; " Surplus Applied to " &amp; ( StartYear + 1 )</f>
        <v>2019 Surplus Applied to 2018</v>
      </c>
      <c r="C1909" s="52"/>
      <c r="D1909" s="114"/>
      <c r="E1909" s="51">
        <v>0</v>
      </c>
      <c r="F1909" s="9">
        <v>0</v>
      </c>
      <c r="G1909" s="113"/>
      <c r="H1909" s="117"/>
    </row>
    <row r="1910" spans="1:8" ht="15" customHeight="1" x14ac:dyDescent="0.25">
      <c r="B1910" s="165" t="str">
        <f xml:space="preserve"> ( StartYear + 2 ) &amp; " Surplus Applied to " &amp; ( StartYear + 3 )</f>
        <v>2019 Surplus Applied to 2020</v>
      </c>
      <c r="C1910" s="29"/>
      <c r="D1910" s="114"/>
      <c r="E1910" s="113"/>
      <c r="F1910" s="9">
        <v>0</v>
      </c>
      <c r="G1910" s="51">
        <f>F1910</f>
        <v>0</v>
      </c>
      <c r="H1910" s="117"/>
    </row>
    <row r="1911" spans="1:8" ht="15" customHeight="1" x14ac:dyDescent="0.25">
      <c r="B1911" s="165" t="str">
        <f xml:space="preserve"> ( StartYear + 3 ) &amp; " Surplus Applied to " &amp; ( StartYear + 2 )</f>
        <v>2020 Surplus Applied to 2019</v>
      </c>
      <c r="C1911" s="29"/>
      <c r="D1911" s="114"/>
      <c r="E1911" s="113"/>
      <c r="F1911" s="51">
        <v>0</v>
      </c>
      <c r="G1911" s="9">
        <v>0</v>
      </c>
      <c r="H1911" s="117"/>
    </row>
    <row r="1912" spans="1:8" ht="15" customHeight="1" x14ac:dyDescent="0.25">
      <c r="B1912" s="165" t="str">
        <f xml:space="preserve"> ( StartYear + 3 ) &amp; " Surplus Applied to " &amp; ( StartYear + 4 )</f>
        <v>2020 Surplus Applied to 2021</v>
      </c>
      <c r="C1912" s="29"/>
      <c r="D1912" s="114"/>
      <c r="E1912" s="113"/>
      <c r="F1912" s="113"/>
      <c r="G1912" s="9">
        <f ca="1">G1890+G1895-G1901</f>
        <v>0</v>
      </c>
      <c r="H1912" s="46">
        <f ca="1">G1912</f>
        <v>0</v>
      </c>
    </row>
    <row r="1913" spans="1:8" ht="15" customHeight="1" x14ac:dyDescent="0.25">
      <c r="B1913" s="165" t="str">
        <f xml:space="preserve"> ( StartYear + 4 ) &amp; " Surplus Applied to " &amp; ( StartYear + 3 )</f>
        <v>2021 Surplus Applied to 2020</v>
      </c>
      <c r="C1913" s="29"/>
      <c r="D1913" s="115"/>
      <c r="E1913" s="116"/>
      <c r="F1913" s="116"/>
      <c r="G1913" s="47">
        <v>0</v>
      </c>
      <c r="H1913" s="41">
        <v>0</v>
      </c>
    </row>
    <row r="1914" spans="1:8" ht="15" customHeight="1" x14ac:dyDescent="0.25">
      <c r="B1914" s="32" t="s">
        <v>17</v>
      </c>
      <c r="D1914" s="6">
        <f ca="1">D1904-D1905+D1907-D1906</f>
        <v>0</v>
      </c>
      <c r="E1914" s="6">
        <f ca="1">E1906+E1909-E1907-E1908</f>
        <v>0</v>
      </c>
      <c r="F1914" s="6">
        <f>F1908+F1911-F1909-F1910</f>
        <v>0</v>
      </c>
      <c r="G1914" s="6">
        <f ca="1">G1910+G1913-G1911-G1912</f>
        <v>0</v>
      </c>
      <c r="H1914" s="6">
        <f ca="1">H1912 - H1913</f>
        <v>0</v>
      </c>
    </row>
    <row r="1915" spans="1:8" x14ac:dyDescent="0.25">
      <c r="B1915" s="5"/>
      <c r="D1915" s="6"/>
      <c r="E1915" s="6"/>
      <c r="F1915" s="6"/>
      <c r="G1915" s="6"/>
      <c r="H1915" s="6"/>
    </row>
    <row r="1916" spans="1:8" x14ac:dyDescent="0.25">
      <c r="B1916" s="54" t="s">
        <v>12</v>
      </c>
      <c r="C1916" s="52"/>
      <c r="D1916" s="75"/>
      <c r="E1916" s="111"/>
      <c r="F1916" s="111"/>
      <c r="G1916" s="111"/>
      <c r="H1916" s="76"/>
    </row>
    <row r="1917" spans="1:8" x14ac:dyDescent="0.25">
      <c r="B1917" s="5"/>
      <c r="D1917" s="6"/>
      <c r="E1917" s="6"/>
      <c r="F1917" s="6"/>
      <c r="G1917" s="6"/>
      <c r="H1917" s="6"/>
    </row>
    <row r="1918" spans="1:8" ht="18.75" x14ac:dyDescent="0.3">
      <c r="A1918" s="38" t="s">
        <v>26</v>
      </c>
      <c r="C1918" s="52">
        <f>A1884</f>
        <v>49</v>
      </c>
      <c r="D1918" s="112">
        <f ca="1" xml:space="preserve"> D1890 + D1895 - D1901 + D1914 + D1916</f>
        <v>0</v>
      </c>
      <c r="E1918" s="112">
        <f ca="1" xml:space="preserve"> E1890 + E1895 - E1901 + E1914 + E1916</f>
        <v>0</v>
      </c>
      <c r="F1918" s="112">
        <f ca="1" xml:space="preserve"> F1890 + F1895 - F1901 + F1914 + F1916</f>
        <v>0</v>
      </c>
      <c r="G1918" s="112">
        <f ca="1" xml:space="preserve"> G1890 + G1895 - G1901 + G1914 + G1916</f>
        <v>0</v>
      </c>
      <c r="H1918" s="174">
        <f ca="1" xml:space="preserve"> H1890 + H1895 - H1901 + H1914 + H1916</f>
        <v>0</v>
      </c>
    </row>
    <row r="1919" spans="1:8" x14ac:dyDescent="0.25">
      <c r="B1919" s="5"/>
      <c r="C1919" s="108" t="s">
        <v>158</v>
      </c>
      <c r="D1919" s="6"/>
      <c r="E1919" s="6"/>
      <c r="F1919" s="28"/>
      <c r="G1919" s="28"/>
      <c r="H1919" s="28"/>
    </row>
    <row r="1920" spans="1:8" ht="15.75" thickBot="1" x14ac:dyDescent="0.3"/>
    <row r="1921" spans="1:14" x14ac:dyDescent="0.25">
      <c r="A1921" s="7"/>
      <c r="B1921" s="7"/>
      <c r="C1921" s="7"/>
      <c r="D1921" s="170"/>
      <c r="E1921" s="7"/>
      <c r="F1921" s="7"/>
      <c r="G1921" s="7"/>
      <c r="H1921" s="7"/>
    </row>
    <row r="1923" spans="1:14" outlineLevel="1" x14ac:dyDescent="0.25"/>
    <row r="1924" spans="1:14" outlineLevel="1" x14ac:dyDescent="0.25">
      <c r="B1924" s="5" t="s">
        <v>29</v>
      </c>
    </row>
    <row r="1925" spans="1:14" outlineLevel="1" x14ac:dyDescent="0.25">
      <c r="B1925" s="14" t="s">
        <v>0</v>
      </c>
    </row>
    <row r="1926" spans="1:14" outlineLevel="1" x14ac:dyDescent="0.25">
      <c r="B1926" s="16" t="s">
        <v>1</v>
      </c>
    </row>
    <row r="1927" spans="1:14" outlineLevel="1" x14ac:dyDescent="0.25">
      <c r="B1927" s="17" t="s">
        <v>2</v>
      </c>
    </row>
    <row r="1928" spans="1:14" outlineLevel="1" x14ac:dyDescent="0.25"/>
    <row r="1929" spans="1:14" outlineLevel="1" x14ac:dyDescent="0.25">
      <c r="B1929" s="5" t="s">
        <v>28</v>
      </c>
    </row>
    <row r="1930" spans="1:14" outlineLevel="1" x14ac:dyDescent="0.25">
      <c r="B1930" s="207">
        <v>0.2</v>
      </c>
    </row>
    <row r="1931" spans="1:14" outlineLevel="1" x14ac:dyDescent="0.25">
      <c r="N1931" s="228" t="s">
        <v>289</v>
      </c>
    </row>
    <row r="1932" spans="1:14" outlineLevel="1" x14ac:dyDescent="0.25">
      <c r="B1932" s="5" t="s">
        <v>8</v>
      </c>
    </row>
    <row r="1933" spans="1:14" outlineLevel="1" x14ac:dyDescent="0.25">
      <c r="B1933" s="15">
        <v>2017</v>
      </c>
    </row>
    <row r="1934" spans="1:14" outlineLevel="1" x14ac:dyDescent="0.25"/>
    <row r="1935" spans="1:14" outlineLevel="1" x14ac:dyDescent="0.25">
      <c r="B1935" s="5" t="s">
        <v>106</v>
      </c>
    </row>
    <row r="1936" spans="1:14" outlineLevel="1" x14ac:dyDescent="0.25">
      <c r="B1936" s="14"/>
    </row>
    <row r="1937" spans="2:2" outlineLevel="1" x14ac:dyDescent="0.25">
      <c r="B1937" s="16" t="s">
        <v>107</v>
      </c>
    </row>
    <row r="1938" spans="2:2" outlineLevel="1" x14ac:dyDescent="0.25">
      <c r="B1938" s="16" t="s">
        <v>108</v>
      </c>
    </row>
    <row r="1939" spans="2:2" outlineLevel="1" x14ac:dyDescent="0.25">
      <c r="B1939" s="16" t="s">
        <v>114</v>
      </c>
    </row>
    <row r="1940" spans="2:2" outlineLevel="1" x14ac:dyDescent="0.25">
      <c r="B1940" s="16" t="s">
        <v>221</v>
      </c>
    </row>
    <row r="1941" spans="2:2" outlineLevel="1" x14ac:dyDescent="0.25">
      <c r="B1941" s="16" t="s">
        <v>112</v>
      </c>
    </row>
    <row r="1942" spans="2:2" outlineLevel="1" x14ac:dyDescent="0.25">
      <c r="B1942" s="16" t="s">
        <v>109</v>
      </c>
    </row>
    <row r="1943" spans="2:2" outlineLevel="1" x14ac:dyDescent="0.25">
      <c r="B1943" s="16" t="s">
        <v>110</v>
      </c>
    </row>
    <row r="1944" spans="2:2" outlineLevel="1" x14ac:dyDescent="0.25">
      <c r="B1944" s="16" t="s">
        <v>113</v>
      </c>
    </row>
    <row r="1945" spans="2:2" outlineLevel="1" x14ac:dyDescent="0.25">
      <c r="B1945" s="16" t="s">
        <v>111</v>
      </c>
    </row>
    <row r="1946" spans="2:2" outlineLevel="1" x14ac:dyDescent="0.25">
      <c r="B1946" s="79" t="s">
        <v>120</v>
      </c>
    </row>
    <row r="1947" spans="2:2" outlineLevel="1" x14ac:dyDescent="0.25"/>
  </sheetData>
  <autoFilter ref="A58:N1919"/>
  <sortState ref="B14:H37">
    <sortCondition ref="B14:B37"/>
  </sortState>
  <mergeCells count="2">
    <mergeCell ref="B55:F55"/>
    <mergeCell ref="J364:K364"/>
  </mergeCells>
  <phoneticPr fontId="8" type="noConversion"/>
  <dataValidations disablePrompts="1" count="2">
    <dataValidation type="list" allowBlank="1" showInputMessage="1" showErrorMessage="1" sqref="F4:G53">
      <formula1>LaborBonus</formula1>
    </dataValidation>
    <dataValidation type="list" allowBlank="1" showInputMessage="1" showErrorMessage="1" sqref="E4:E53">
      <formula1>FacilityTypes</formula1>
    </dataValidation>
  </dataValidations>
  <pageMargins left="0.25" right="0.25" top="0.92" bottom="0.17" header="0.17" footer="0.17"/>
  <pageSetup scale="59" fitToHeight="2" orientation="landscape" r:id="rId1"/>
  <headerFooter alignWithMargins="0"/>
  <rowBreaks count="10" manualBreakCount="10">
    <brk id="57" max="16383" man="1"/>
    <brk id="400" max="16383" man="1"/>
    <brk id="133" max="16383" man="1"/>
    <brk id="209" max="16383" man="1"/>
    <brk id="438" max="16383" man="1"/>
    <brk id="247" max="16383" man="1"/>
    <brk id="324" max="7" man="1"/>
    <brk id="1578" max="7" man="1"/>
    <brk id="780" max="7" man="1"/>
    <brk id="894" max="7" man="1"/>
  </rowBreaks>
  <ignoredErrors>
    <ignoredError sqref="D207 D245 D28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workbookViewId="0">
      <selection activeCell="E27" sqref="E27"/>
    </sheetView>
  </sheetViews>
  <sheetFormatPr defaultColWidth="9.140625" defaultRowHeight="12.75" outlineLevelRow="1" x14ac:dyDescent="0.2"/>
  <cols>
    <col min="1" max="1" width="58.42578125" style="80" bestFit="1" customWidth="1"/>
    <col min="2" max="2" width="18.28515625" style="80" customWidth="1"/>
    <col min="3" max="3" width="11.7109375" style="80" customWidth="1"/>
    <col min="4" max="4" width="12.42578125" style="80" customWidth="1"/>
    <col min="5" max="6" width="14.7109375" style="80" customWidth="1"/>
    <col min="7" max="7" width="14.28515625" style="80" customWidth="1"/>
    <col min="8" max="8" width="3.7109375" style="80" customWidth="1"/>
    <col min="9" max="16384" width="9.140625" style="80"/>
  </cols>
  <sheetData>
    <row r="1" spans="1:7" ht="21" x14ac:dyDescent="0.35">
      <c r="A1" s="96" t="str">
        <f>"PUGET SOUND ENERGY "&amp;TEXT(StartYear+4,"0000")&amp;" RPS REPORT"</f>
        <v>PUGET SOUND ENERGY 2021 RPS REPORT</v>
      </c>
    </row>
    <row r="2" spans="1:7" ht="21" x14ac:dyDescent="0.35">
      <c r="A2" s="96" t="s">
        <v>118</v>
      </c>
    </row>
    <row r="4" spans="1:7" ht="15" x14ac:dyDescent="0.25">
      <c r="C4" s="82">
        <f>StartYear</f>
        <v>2017</v>
      </c>
      <c r="D4" s="82">
        <f>C4+1</f>
        <v>2018</v>
      </c>
      <c r="E4" s="82">
        <f>D4+1</f>
        <v>2019</v>
      </c>
      <c r="F4" s="82">
        <f>E4+1</f>
        <v>2020</v>
      </c>
      <c r="G4" s="82">
        <f>F4+1</f>
        <v>2021</v>
      </c>
    </row>
    <row r="5" spans="1:7" ht="15" x14ac:dyDescent="0.25">
      <c r="A5" s="81" t="str">
        <f t="array" ref="A5:A13">FacilityTypes</f>
        <v>Wind</v>
      </c>
      <c r="C5" s="84">
        <f t="shared" ref="C5:G13" ca="1" si="0" xml:space="preserve"> SUMIF( $B$19:$B$69, $A5, C$19:C$69 )</f>
        <v>1767728.5999999999</v>
      </c>
      <c r="D5" s="85">
        <f t="shared" ca="1" si="0"/>
        <v>1771252</v>
      </c>
      <c r="E5" s="85">
        <f t="shared" ca="1" si="0"/>
        <v>1800255.9999999998</v>
      </c>
      <c r="F5" s="85">
        <f t="shared" ca="1" si="0"/>
        <v>2840057.3000000003</v>
      </c>
      <c r="G5" s="86">
        <f t="shared" ca="1" si="0"/>
        <v>3855696.2054379676</v>
      </c>
    </row>
    <row r="6" spans="1:7" ht="15" x14ac:dyDescent="0.25">
      <c r="A6" s="81" t="str">
        <v>Solar</v>
      </c>
      <c r="C6" s="88">
        <f t="shared" ca="1" si="0"/>
        <v>37300</v>
      </c>
      <c r="D6" s="89">
        <f t="shared" ca="1" si="0"/>
        <v>0</v>
      </c>
      <c r="E6" s="89">
        <f t="shared" ca="1" si="0"/>
        <v>0</v>
      </c>
      <c r="F6" s="89">
        <f t="shared" ca="1" si="0"/>
        <v>0</v>
      </c>
      <c r="G6" s="90">
        <f t="shared" ca="1" si="0"/>
        <v>0</v>
      </c>
    </row>
    <row r="7" spans="1:7" ht="15" x14ac:dyDescent="0.25">
      <c r="A7" s="81" t="str">
        <v>Water (Incremental Hydro)</v>
      </c>
      <c r="C7" s="88">
        <f t="shared" ca="1" si="0"/>
        <v>105187.99999999999</v>
      </c>
      <c r="D7" s="89">
        <f t="shared" ca="1" si="0"/>
        <v>125494</v>
      </c>
      <c r="E7" s="89">
        <f t="shared" ca="1" si="0"/>
        <v>90356</v>
      </c>
      <c r="F7" s="89">
        <f t="shared" ca="1" si="0"/>
        <v>128279</v>
      </c>
      <c r="G7" s="90">
        <f t="shared" ca="1" si="0"/>
        <v>118380</v>
      </c>
    </row>
    <row r="8" spans="1:7" ht="15" x14ac:dyDescent="0.25">
      <c r="A8" s="81" t="str">
        <v>Biogas</v>
      </c>
      <c r="C8" s="88">
        <f t="shared" ca="1" si="0"/>
        <v>0</v>
      </c>
      <c r="D8" s="89">
        <f t="shared" ca="1" si="0"/>
        <v>0</v>
      </c>
      <c r="E8" s="89">
        <f t="shared" ca="1" si="0"/>
        <v>0</v>
      </c>
      <c r="F8" s="89">
        <f t="shared" ca="1" si="0"/>
        <v>36752</v>
      </c>
      <c r="G8" s="90">
        <f t="shared" ca="1" si="0"/>
        <v>0</v>
      </c>
    </row>
    <row r="9" spans="1:7" ht="15" x14ac:dyDescent="0.25">
      <c r="A9" s="81" t="str">
        <v>Biomass</v>
      </c>
      <c r="C9" s="88">
        <f t="shared" ca="1" si="0"/>
        <v>0</v>
      </c>
      <c r="D9" s="89">
        <f t="shared" ca="1" si="0"/>
        <v>0</v>
      </c>
      <c r="E9" s="89">
        <f t="shared" ca="1" si="0"/>
        <v>0</v>
      </c>
      <c r="F9" s="89">
        <f t="shared" ca="1" si="0"/>
        <v>107333</v>
      </c>
      <c r="G9" s="90">
        <f t="shared" ca="1" si="0"/>
        <v>120421</v>
      </c>
    </row>
    <row r="10" spans="1:7" ht="15" x14ac:dyDescent="0.25">
      <c r="A10" s="81" t="str">
        <v>Geothermal</v>
      </c>
      <c r="C10" s="88">
        <f t="shared" si="0"/>
        <v>0</v>
      </c>
      <c r="D10" s="89">
        <f t="shared" si="0"/>
        <v>0</v>
      </c>
      <c r="E10" s="89">
        <f t="shared" si="0"/>
        <v>0</v>
      </c>
      <c r="F10" s="89">
        <f t="shared" si="0"/>
        <v>0</v>
      </c>
      <c r="G10" s="90">
        <f t="shared" si="0"/>
        <v>0</v>
      </c>
    </row>
    <row r="11" spans="1:7" ht="15" x14ac:dyDescent="0.25">
      <c r="A11" s="81" t="str">
        <v>Landfill Gas</v>
      </c>
      <c r="C11" s="88">
        <f t="shared" ca="1" si="0"/>
        <v>0</v>
      </c>
      <c r="D11" s="89">
        <f t="shared" ca="1" si="0"/>
        <v>0</v>
      </c>
      <c r="E11" s="89">
        <f t="shared" ca="1" si="0"/>
        <v>0</v>
      </c>
      <c r="F11" s="89">
        <f t="shared" ca="1" si="0"/>
        <v>2361</v>
      </c>
      <c r="G11" s="90">
        <f t="shared" ca="1" si="0"/>
        <v>0</v>
      </c>
    </row>
    <row r="12" spans="1:7" ht="15" x14ac:dyDescent="0.25">
      <c r="A12" s="81" t="str">
        <v>Sewage Treatment Gas</v>
      </c>
      <c r="C12" s="88">
        <f t="shared" si="0"/>
        <v>0</v>
      </c>
      <c r="D12" s="89">
        <f t="shared" si="0"/>
        <v>0</v>
      </c>
      <c r="E12" s="89">
        <f t="shared" si="0"/>
        <v>0</v>
      </c>
      <c r="F12" s="89">
        <f t="shared" si="0"/>
        <v>0</v>
      </c>
      <c r="G12" s="90">
        <f t="shared" si="0"/>
        <v>0</v>
      </c>
    </row>
    <row r="13" spans="1:7" ht="15" x14ac:dyDescent="0.25">
      <c r="A13" s="81" t="str">
        <v>Wave, Ocean, Tidal</v>
      </c>
      <c r="C13" s="91">
        <f t="shared" si="0"/>
        <v>0</v>
      </c>
      <c r="D13" s="92">
        <f t="shared" si="0"/>
        <v>0</v>
      </c>
      <c r="E13" s="92">
        <f t="shared" si="0"/>
        <v>0</v>
      </c>
      <c r="F13" s="92">
        <f t="shared" si="0"/>
        <v>0</v>
      </c>
      <c r="G13" s="93">
        <f t="shared" si="0"/>
        <v>0</v>
      </c>
    </row>
    <row r="14" spans="1:7" ht="15.75" x14ac:dyDescent="0.25">
      <c r="A14" s="97"/>
      <c r="B14" s="98"/>
      <c r="C14" s="98">
        <f t="shared" ref="C14:F14" ca="1" si="1">SUM(C5:C13)</f>
        <v>1910216.5999999999</v>
      </c>
      <c r="D14" s="98">
        <f t="shared" ca="1" si="1"/>
        <v>1896746</v>
      </c>
      <c r="E14" s="98">
        <f t="shared" ca="1" si="1"/>
        <v>1890611.9999999998</v>
      </c>
      <c r="F14" s="98">
        <f t="shared" ca="1" si="1"/>
        <v>3114782.3000000003</v>
      </c>
      <c r="G14" s="98">
        <f ca="1">SUM(G5:G13)</f>
        <v>4094497.2054379676</v>
      </c>
    </row>
    <row r="15" spans="1:7" x14ac:dyDescent="0.2">
      <c r="B15" s="226" t="s">
        <v>231</v>
      </c>
      <c r="C15" s="227">
        <f ca="1">'Compliance Summary'!B14+'Compliance Summary'!B20+'Compliance Summary'!B33-C14</f>
        <v>0.40000000013969839</v>
      </c>
      <c r="D15" s="227">
        <f ca="1">'Compliance Summary'!C14+'Compliance Summary'!C20+'Compliance Summary'!C33-D14</f>
        <v>0</v>
      </c>
      <c r="E15" s="227">
        <f ca="1">'Compliance Summary'!D14+'Compliance Summary'!D20+'Compliance Summary'!D33-E14</f>
        <v>0</v>
      </c>
      <c r="F15" s="227">
        <f ca="1">'Compliance Summary'!E14+'Compliance Summary'!E20+'Compliance Summary'!E33-F14</f>
        <v>0</v>
      </c>
      <c r="G15" s="227">
        <f ca="1">'Compliance Summary'!F14+'Compliance Summary'!F20+'Compliance Summary'!F33-G14</f>
        <v>0</v>
      </c>
    </row>
    <row r="16" spans="1:7" x14ac:dyDescent="0.2">
      <c r="C16" s="206"/>
      <c r="D16" s="206"/>
      <c r="E16" s="206"/>
      <c r="F16" s="206"/>
      <c r="G16" s="206"/>
    </row>
    <row r="17" spans="1:8" ht="15" outlineLevel="1" x14ac:dyDescent="0.25">
      <c r="G17" s="94"/>
    </row>
    <row r="18" spans="1:8" ht="15" outlineLevel="1" x14ac:dyDescent="0.25">
      <c r="A18" s="95" t="s">
        <v>48</v>
      </c>
      <c r="B18" s="94" t="s">
        <v>115</v>
      </c>
      <c r="C18" s="94">
        <f>StartYear</f>
        <v>2017</v>
      </c>
      <c r="D18" s="94">
        <f>C18+1</f>
        <v>2018</v>
      </c>
      <c r="E18" s="94">
        <f>D18+1</f>
        <v>2019</v>
      </c>
      <c r="F18" s="94">
        <f>E18+1</f>
        <v>2020</v>
      </c>
      <c r="G18" s="94">
        <f>F18+1</f>
        <v>2021</v>
      </c>
      <c r="H18" s="126"/>
    </row>
    <row r="19" spans="1:8" ht="15" outlineLevel="1" x14ac:dyDescent="0.25">
      <c r="A19" s="83" t="str">
        <f t="array" ref="A19:A70">Facilities</f>
        <v>Baker River Project</v>
      </c>
      <c r="B19" s="171" t="str">
        <f t="shared" ref="B19:B54" si="2">VLOOKUP(A19,Facilities,4,FALSE)</f>
        <v>Water (Incremental Hydro)</v>
      </c>
      <c r="C19" s="203">
        <f ca="1">VLOOKUP(1+ROW()-ROW($19:$19),'Facility Detail'!$C:$H,1+COLUMN()-COLUMN($B:$B),FALSE)</f>
        <v>88578.999999999985</v>
      </c>
      <c r="D19" s="204">
        <f ca="1">VLOOKUP(1+ROW()-ROW($19:$19),'Facility Detail'!$C:$H,1+COLUMN()-COLUMN($B:$B),FALSE)</f>
        <v>108971</v>
      </c>
      <c r="E19" s="204">
        <f ca="1">VLOOKUP(1+ROW()-ROW($19:$19),'Facility Detail'!$C:$H,1+COLUMN()-COLUMN($B:$B),FALSE)</f>
        <v>74606</v>
      </c>
      <c r="F19" s="204">
        <f ca="1">VLOOKUP(1+ROW()-ROW($19:$19),'Facility Detail'!$C:$H,1+COLUMN()-COLUMN($B:$B),FALSE)</f>
        <v>108503</v>
      </c>
      <c r="G19" s="205">
        <f ca="1">VLOOKUP(1+ROW()-ROW($19:$19),'Facility Detail'!$C:$H,1+COLUMN()-COLUMN($B:$B),FALSE)</f>
        <v>98639</v>
      </c>
    </row>
    <row r="20" spans="1:8" ht="15" outlineLevel="1" x14ac:dyDescent="0.25">
      <c r="A20" s="87" t="str">
        <v>Hopkins Ridge</v>
      </c>
      <c r="B20" s="87" t="str">
        <f t="shared" si="2"/>
        <v>Wind</v>
      </c>
      <c r="C20" s="203">
        <f ca="1">VLOOKUP(1+ROW()-ROW($19:$19),'Facility Detail'!$C:$H,1+COLUMN()-COLUMN($B:$B),FALSE)</f>
        <v>207498</v>
      </c>
      <c r="D20" s="204">
        <f ca="1">VLOOKUP(1+ROW()-ROW($19:$19),'Facility Detail'!$C:$H,1+COLUMN()-COLUMN($B:$B),FALSE)</f>
        <v>255144</v>
      </c>
      <c r="E20" s="204">
        <f ca="1">VLOOKUP(1+ROW()-ROW($19:$19),'Facility Detail'!$C:$H,1+COLUMN()-COLUMN($B:$B),FALSE)</f>
        <v>215750</v>
      </c>
      <c r="F20" s="204">
        <f ca="1">VLOOKUP(1+ROW()-ROW($19:$19),'Facility Detail'!$C:$H,1+COLUMN()-COLUMN($B:$B),FALSE)</f>
        <v>756028</v>
      </c>
      <c r="G20" s="205">
        <f ca="1">VLOOKUP(1+ROW()-ROW($19:$19),'Facility Detail'!$C:$H,1+COLUMN()-COLUMN($B:$B),FALSE)</f>
        <v>396353.31500000006</v>
      </c>
    </row>
    <row r="21" spans="1:8" ht="15" outlineLevel="1" x14ac:dyDescent="0.25">
      <c r="A21" s="87" t="str">
        <v>Hopkins Ridge Phase II</v>
      </c>
      <c r="B21" s="87" t="str">
        <f t="shared" si="2"/>
        <v>Wind</v>
      </c>
      <c r="C21" s="203">
        <f ca="1">VLOOKUP(1+ROW()-ROW($19:$19),'Facility Detail'!$C:$H,1+COLUMN()-COLUMN($B:$B),FALSE)</f>
        <v>10000</v>
      </c>
      <c r="D21" s="204">
        <f ca="1">VLOOKUP(1+ROW()-ROW($19:$19),'Facility Detail'!$C:$H,1+COLUMN()-COLUMN($B:$B),FALSE)</f>
        <v>15881</v>
      </c>
      <c r="E21" s="204">
        <f ca="1">VLOOKUP(1+ROW()-ROW($19:$19),'Facility Detail'!$C:$H,1+COLUMN()-COLUMN($B:$B),FALSE)</f>
        <v>8722</v>
      </c>
      <c r="F21" s="204">
        <f ca="1">VLOOKUP(1+ROW()-ROW($19:$19),'Facility Detail'!$C:$H,1+COLUMN()-COLUMN($B:$B),FALSE)</f>
        <v>37640</v>
      </c>
      <c r="G21" s="205">
        <f ca="1">VLOOKUP(1+ROW()-ROW($19:$19),'Facility Detail'!$C:$H,1+COLUMN()-COLUMN($B:$B),FALSE)</f>
        <v>20071.685000000001</v>
      </c>
    </row>
    <row r="22" spans="1:8" ht="15" outlineLevel="1" x14ac:dyDescent="0.25">
      <c r="A22" s="87" t="str">
        <v>Klondike III</v>
      </c>
      <c r="B22" s="87" t="str">
        <f t="shared" si="2"/>
        <v>Wind</v>
      </c>
      <c r="C22" s="203">
        <f ca="1">VLOOKUP(1+ROW()-ROW($19:$19),'Facility Detail'!$C:$H,1+COLUMN()-COLUMN($B:$B),FALSE)</f>
        <v>64389</v>
      </c>
      <c r="D22" s="204">
        <f ca="1">VLOOKUP(1+ROW()-ROW($19:$19),'Facility Detail'!$C:$H,1+COLUMN()-COLUMN($B:$B),FALSE)</f>
        <v>53421</v>
      </c>
      <c r="E22" s="204">
        <f ca="1">VLOOKUP(1+ROW()-ROW($19:$19),'Facility Detail'!$C:$H,1+COLUMN()-COLUMN($B:$B),FALSE)</f>
        <v>61829</v>
      </c>
      <c r="F22" s="204">
        <f ca="1">VLOOKUP(1+ROW()-ROW($19:$19),'Facility Detail'!$C:$H,1+COLUMN()-COLUMN($B:$B),FALSE)</f>
        <v>30152</v>
      </c>
      <c r="G22" s="205">
        <f ca="1">VLOOKUP(1+ROW()-ROW($19:$19),'Facility Detail'!$C:$H,1+COLUMN()-COLUMN($B:$B),FALSE)</f>
        <v>276318</v>
      </c>
    </row>
    <row r="23" spans="1:8" ht="15" outlineLevel="1" x14ac:dyDescent="0.25">
      <c r="A23" s="87" t="str">
        <v>Lower Snake River - Dodge Junction</v>
      </c>
      <c r="B23" s="87" t="str">
        <f t="shared" si="2"/>
        <v>Wind</v>
      </c>
      <c r="C23" s="203">
        <f ca="1">VLOOKUP(1+ROW()-ROW($19:$19),'Facility Detail'!$C:$H,1+COLUMN()-COLUMN($B:$B),FALSE)</f>
        <v>600880.80000000005</v>
      </c>
      <c r="D23" s="204">
        <f ca="1">VLOOKUP(1+ROW()-ROW($19:$19),'Facility Detail'!$C:$H,1+COLUMN()-COLUMN($B:$B),FALSE)</f>
        <v>496567.2</v>
      </c>
      <c r="E23" s="204">
        <f ca="1">VLOOKUP(1+ROW()-ROW($19:$19),'Facility Detail'!$C:$H,1+COLUMN()-COLUMN($B:$B),FALSE)</f>
        <v>609891.6</v>
      </c>
      <c r="F23" s="204">
        <f ca="1">VLOOKUP(1+ROW()-ROW($19:$19),'Facility Detail'!$C:$H,1+COLUMN()-COLUMN($B:$B),FALSE)</f>
        <v>494517.6</v>
      </c>
      <c r="G23" s="205">
        <f ca="1">VLOOKUP(1+ROW()-ROW($19:$19),'Facility Detail'!$C:$H,1+COLUMN()-COLUMN($B:$B),FALSE)</f>
        <v>1271049</v>
      </c>
    </row>
    <row r="24" spans="1:8" ht="15" outlineLevel="1" x14ac:dyDescent="0.25">
      <c r="A24" s="87" t="str">
        <v>Lower Snake River - Phalen Gulch</v>
      </c>
      <c r="B24" s="87" t="str">
        <f t="shared" si="2"/>
        <v>Wind</v>
      </c>
      <c r="C24" s="203">
        <f ca="1">VLOOKUP(1+ROW()-ROW($19:$19),'Facility Detail'!$C:$H,1+COLUMN()-COLUMN($B:$B),FALSE)</f>
        <v>441543.6</v>
      </c>
      <c r="D24" s="204">
        <f ca="1">VLOOKUP(1+ROW()-ROW($19:$19),'Facility Detail'!$C:$H,1+COLUMN()-COLUMN($B:$B),FALSE)</f>
        <v>359119.2</v>
      </c>
      <c r="E24" s="204">
        <f ca="1">VLOOKUP(1+ROW()-ROW($19:$19),'Facility Detail'!$C:$H,1+COLUMN()-COLUMN($B:$B),FALSE)</f>
        <v>444981.6</v>
      </c>
      <c r="F24" s="204">
        <f ca="1">VLOOKUP(1+ROW()-ROW($19:$19),'Facility Detail'!$C:$H,1+COLUMN()-COLUMN($B:$B),FALSE)</f>
        <v>358414.8</v>
      </c>
      <c r="G24" s="205">
        <f ca="1">VLOOKUP(1+ROW()-ROW($19:$19),'Facility Detail'!$C:$H,1+COLUMN()-COLUMN($B:$B),FALSE)</f>
        <v>910762.70543796732</v>
      </c>
    </row>
    <row r="25" spans="1:8" ht="15" outlineLevel="1" x14ac:dyDescent="0.25">
      <c r="A25" s="87" t="str">
        <v>Snoqualmie Falls Project</v>
      </c>
      <c r="B25" s="87" t="str">
        <f t="shared" si="2"/>
        <v>Water (Incremental Hydro)</v>
      </c>
      <c r="C25" s="203">
        <f ca="1">VLOOKUP(1+ROW()-ROW($19:$19),'Facility Detail'!$C:$H,1+COLUMN()-COLUMN($B:$B),FALSE)</f>
        <v>16609</v>
      </c>
      <c r="D25" s="204">
        <f ca="1">VLOOKUP(1+ROW()-ROW($19:$19),'Facility Detail'!$C:$H,1+COLUMN()-COLUMN($B:$B),FALSE)</f>
        <v>16523</v>
      </c>
      <c r="E25" s="204">
        <f ca="1">VLOOKUP(1+ROW()-ROW($19:$19),'Facility Detail'!$C:$H,1+COLUMN()-COLUMN($B:$B),FALSE)</f>
        <v>15750</v>
      </c>
      <c r="F25" s="204">
        <f ca="1">VLOOKUP(1+ROW()-ROW($19:$19),'Facility Detail'!$C:$H,1+COLUMN()-COLUMN($B:$B),FALSE)</f>
        <v>19776</v>
      </c>
      <c r="G25" s="205">
        <f ca="1">VLOOKUP(1+ROW()-ROW($19:$19),'Facility Detail'!$C:$H,1+COLUMN()-COLUMN($B:$B),FALSE)</f>
        <v>19741</v>
      </c>
    </row>
    <row r="26" spans="1:8" ht="15" outlineLevel="1" x14ac:dyDescent="0.25">
      <c r="A26" s="87" t="str">
        <v>Sierra Pacific Burlington - Sierra Pacific Burlington</v>
      </c>
      <c r="B26" s="87" t="str">
        <f t="shared" si="2"/>
        <v>Biomass</v>
      </c>
      <c r="C26" s="203">
        <f ca="1">VLOOKUP(1+ROW()-ROW($19:$19),'Facility Detail'!$C:$H,1+COLUMN()-COLUMN($B:$B),FALSE)</f>
        <v>0</v>
      </c>
      <c r="D26" s="204">
        <f ca="1">VLOOKUP(1+ROW()-ROW($19:$19),'Facility Detail'!$C:$H,1+COLUMN()-COLUMN($B:$B),FALSE)</f>
        <v>0</v>
      </c>
      <c r="E26" s="204">
        <f ca="1">VLOOKUP(1+ROW()-ROW($19:$19),'Facility Detail'!$C:$H,1+COLUMN()-COLUMN($B:$B),FALSE)</f>
        <v>0</v>
      </c>
      <c r="F26" s="204">
        <f ca="1">VLOOKUP(1+ROW()-ROW($19:$19),'Facility Detail'!$C:$H,1+COLUMN()-COLUMN($B:$B),FALSE)</f>
        <v>0</v>
      </c>
      <c r="G26" s="205">
        <f ca="1">VLOOKUP(1+ROW()-ROW($19:$19),'Facility Detail'!$C:$H,1+COLUMN()-COLUMN($B:$B),FALSE)</f>
        <v>120421</v>
      </c>
    </row>
    <row r="27" spans="1:8" ht="15" outlineLevel="1" x14ac:dyDescent="0.25">
      <c r="A27" s="87" t="str">
        <v>Wild Horse</v>
      </c>
      <c r="B27" s="87" t="str">
        <f t="shared" si="2"/>
        <v>Wind</v>
      </c>
      <c r="C27" s="203">
        <f ca="1">VLOOKUP(1+ROW()-ROW($19:$19),'Facility Detail'!$C:$H,1+COLUMN()-COLUMN($B:$B),FALSE)</f>
        <v>305994</v>
      </c>
      <c r="D27" s="204">
        <f ca="1">VLOOKUP(1+ROW()-ROW($19:$19),'Facility Detail'!$C:$H,1+COLUMN()-COLUMN($B:$B),FALSE)</f>
        <v>471878</v>
      </c>
      <c r="E27" s="204">
        <f ca="1">VLOOKUP(1+ROW()-ROW($19:$19),'Facility Detail'!$C:$H,1+COLUMN()-COLUMN($B:$B),FALSE)</f>
        <v>334325</v>
      </c>
      <c r="F27" s="204">
        <f ca="1">VLOOKUP(1+ROW()-ROW($19:$19),'Facility Detail'!$C:$H,1+COLUMN()-COLUMN($B:$B),FALSE)</f>
        <v>627191.5</v>
      </c>
      <c r="G27" s="205">
        <f ca="1">VLOOKUP(1+ROW()-ROW($19:$19),'Facility Detail'!$C:$H,1+COLUMN()-COLUMN($B:$B),FALSE)</f>
        <v>718089.5</v>
      </c>
    </row>
    <row r="28" spans="1:8" ht="15" outlineLevel="1" x14ac:dyDescent="0.25">
      <c r="A28" s="87" t="str">
        <v>Wild Horse Phase II</v>
      </c>
      <c r="B28" s="87" t="str">
        <f t="shared" si="2"/>
        <v>Wind</v>
      </c>
      <c r="C28" s="203">
        <f ca="1">VLOOKUP(1+ROW()-ROW($19:$19),'Facility Detail'!$C:$H,1+COLUMN()-COLUMN($B:$B),FALSE)</f>
        <v>130423.2</v>
      </c>
      <c r="D28" s="204">
        <f ca="1">VLOOKUP(1+ROW()-ROW($19:$19),'Facility Detail'!$C:$H,1+COLUMN()-COLUMN($B:$B),FALSE)</f>
        <v>119241.60000000001</v>
      </c>
      <c r="E28" s="204">
        <f ca="1">VLOOKUP(1+ROW()-ROW($19:$19),'Facility Detail'!$C:$H,1+COLUMN()-COLUMN($B:$B),FALSE)</f>
        <v>124154.4</v>
      </c>
      <c r="F28" s="204">
        <f ca="1">VLOOKUP(1+ROW()-ROW($19:$19),'Facility Detail'!$C:$H,1+COLUMN()-COLUMN($B:$B),FALSE)</f>
        <v>119230.8</v>
      </c>
      <c r="G28" s="205">
        <f ca="1">VLOOKUP(1+ROW()-ROW($19:$19),'Facility Detail'!$C:$H,1+COLUMN()-COLUMN($B:$B),FALSE)</f>
        <v>263052</v>
      </c>
    </row>
    <row r="29" spans="1:8" ht="15" outlineLevel="1" x14ac:dyDescent="0.25">
      <c r="A29" s="87" t="str">
        <v>Camp Reed Wind Park - Camp Reed Wind Park</v>
      </c>
      <c r="B29" s="87" t="str">
        <f t="shared" si="2"/>
        <v>Wind</v>
      </c>
      <c r="C29" s="203">
        <f ca="1">VLOOKUP(1+ROW()-ROW($19:$19),'Facility Detail'!$C:$H,1+COLUMN()-COLUMN($B:$B),FALSE)</f>
        <v>0</v>
      </c>
      <c r="D29" s="204">
        <f ca="1">VLOOKUP(1+ROW()-ROW($19:$19),'Facility Detail'!$C:$H,1+COLUMN()-COLUMN($B:$B),FALSE)</f>
        <v>0</v>
      </c>
      <c r="E29" s="204">
        <f ca="1">VLOOKUP(1+ROW()-ROW($19:$19),'Facility Detail'!$C:$H,1+COLUMN()-COLUMN($B:$B),FALSE)</f>
        <v>602.40000000000146</v>
      </c>
      <c r="F29" s="204">
        <f ca="1">VLOOKUP(1+ROW()-ROW($19:$19),'Facility Detail'!$C:$H,1+COLUMN()-COLUMN($B:$B),FALSE)</f>
        <v>17434.599999999999</v>
      </c>
      <c r="G29" s="205">
        <f ca="1">VLOOKUP(1+ROW()-ROW($19:$19),'Facility Detail'!$C:$H,1+COLUMN()-COLUMN($B:$B),FALSE)</f>
        <v>0</v>
      </c>
    </row>
    <row r="30" spans="1:8" ht="15" outlineLevel="1" x14ac:dyDescent="0.25">
      <c r="A30" s="87" t="str">
        <v>Condon Wind Power</v>
      </c>
      <c r="B30" s="87" t="str">
        <f t="shared" si="2"/>
        <v>Wind</v>
      </c>
      <c r="C30" s="203">
        <f ca="1">VLOOKUP(1+ROW()-ROW($19:$19),'Facility Detail'!$C:$H,1+COLUMN()-COLUMN($B:$B),FALSE)</f>
        <v>1046</v>
      </c>
      <c r="D30" s="204">
        <f ca="1">VLOOKUP(1+ROW()-ROW($19:$19),'Facility Detail'!$C:$H,1+COLUMN()-COLUMN($B:$B),FALSE)</f>
        <v>0</v>
      </c>
      <c r="E30" s="204">
        <f ca="1">VLOOKUP(1+ROW()-ROW($19:$19),'Facility Detail'!$C:$H,1+COLUMN()-COLUMN($B:$B),FALSE)</f>
        <v>0</v>
      </c>
      <c r="F30" s="204">
        <f ca="1">VLOOKUP(1+ROW()-ROW($19:$19),'Facility Detail'!$C:$H,1+COLUMN()-COLUMN($B:$B),FALSE)</f>
        <v>591</v>
      </c>
      <c r="G30" s="205">
        <f ca="1">VLOOKUP(1+ROW()-ROW($19:$19),'Facility Detail'!$C:$H,1+COLUMN()-COLUMN($B:$B),FALSE)</f>
        <v>0</v>
      </c>
    </row>
    <row r="31" spans="1:8" ht="15" outlineLevel="1" x14ac:dyDescent="0.25">
      <c r="A31" s="87" t="str">
        <v>Condon Wind Power Phase II</v>
      </c>
      <c r="B31" s="87" t="str">
        <f t="shared" si="2"/>
        <v>Wind</v>
      </c>
      <c r="C31" s="203">
        <f ca="1">VLOOKUP(1+ROW()-ROW($19:$19),'Facility Detail'!$C:$H,1+COLUMN()-COLUMN($B:$B),FALSE)</f>
        <v>1069</v>
      </c>
      <c r="D31" s="204">
        <f ca="1">VLOOKUP(1+ROW()-ROW($19:$19),'Facility Detail'!$C:$H,1+COLUMN()-COLUMN($B:$B),FALSE)</f>
        <v>0</v>
      </c>
      <c r="E31" s="204">
        <f ca="1">VLOOKUP(1+ROW()-ROW($19:$19),'Facility Detail'!$C:$H,1+COLUMN()-COLUMN($B:$B),FALSE)</f>
        <v>0</v>
      </c>
      <c r="F31" s="204">
        <f ca="1">VLOOKUP(1+ROW()-ROW($19:$19),'Facility Detail'!$C:$H,1+COLUMN()-COLUMN($B:$B),FALSE)</f>
        <v>604</v>
      </c>
      <c r="G31" s="205">
        <f ca="1">VLOOKUP(1+ROW()-ROW($19:$19),'Facility Detail'!$C:$H,1+COLUMN()-COLUMN($B:$B),FALSE)</f>
        <v>0</v>
      </c>
    </row>
    <row r="32" spans="1:8" ht="15" outlineLevel="1" x14ac:dyDescent="0.25">
      <c r="A32" s="87" t="str">
        <v>Cosmo Specialty Fibers - Cos1</v>
      </c>
      <c r="B32" s="87" t="str">
        <f t="shared" si="2"/>
        <v>Biomass</v>
      </c>
      <c r="C32" s="203">
        <f ca="1">VLOOKUP(1+ROW()-ROW($19:$19),'Facility Detail'!$C:$H,1+COLUMN()-COLUMN($B:$B),FALSE)</f>
        <v>0</v>
      </c>
      <c r="D32" s="204">
        <f ca="1">VLOOKUP(1+ROW()-ROW($19:$19),'Facility Detail'!$C:$H,1+COLUMN()-COLUMN($B:$B),FALSE)</f>
        <v>0</v>
      </c>
      <c r="E32" s="204">
        <f ca="1">VLOOKUP(1+ROW()-ROW($19:$19),'Facility Detail'!$C:$H,1+COLUMN()-COLUMN($B:$B),FALSE)</f>
        <v>0</v>
      </c>
      <c r="F32" s="204">
        <f ca="1">VLOOKUP(1+ROW()-ROW($19:$19),'Facility Detail'!$C:$H,1+COLUMN()-COLUMN($B:$B),FALSE)</f>
        <v>25871</v>
      </c>
      <c r="G32" s="205">
        <f ca="1">VLOOKUP(1+ROW()-ROW($19:$19),'Facility Detail'!$C:$H,1+COLUMN()-COLUMN($B:$B),FALSE)</f>
        <v>0</v>
      </c>
    </row>
    <row r="33" spans="1:7" ht="15" outlineLevel="1" x14ac:dyDescent="0.25">
      <c r="A33" s="87" t="str">
        <v>Cosmo Specialty Fibers Inc. - COS2</v>
      </c>
      <c r="B33" s="87" t="str">
        <f t="shared" si="2"/>
        <v>Biomass</v>
      </c>
      <c r="C33" s="203">
        <f ca="1">VLOOKUP(1+ROW()-ROW($19:$19),'Facility Detail'!$C:$H,1+COLUMN()-COLUMN($B:$B),FALSE)</f>
        <v>0</v>
      </c>
      <c r="D33" s="204">
        <f ca="1">VLOOKUP(1+ROW()-ROW($19:$19),'Facility Detail'!$C:$H,1+COLUMN()-COLUMN($B:$B),FALSE)</f>
        <v>0</v>
      </c>
      <c r="E33" s="204">
        <f ca="1">VLOOKUP(1+ROW()-ROW($19:$19),'Facility Detail'!$C:$H,1+COLUMN()-COLUMN($B:$B),FALSE)</f>
        <v>0</v>
      </c>
      <c r="F33" s="204">
        <f ca="1">VLOOKUP(1+ROW()-ROW($19:$19),'Facility Detail'!$C:$H,1+COLUMN()-COLUMN($B:$B),FALSE)</f>
        <v>26987</v>
      </c>
      <c r="G33" s="205">
        <f ca="1">VLOOKUP(1+ROW()-ROW($19:$19),'Facility Detail'!$C:$H,1+COLUMN()-COLUMN($B:$B),FALSE)</f>
        <v>0</v>
      </c>
    </row>
    <row r="34" spans="1:7" ht="15" outlineLevel="1" x14ac:dyDescent="0.25">
      <c r="A34" s="87" t="str">
        <v>Golden Valley Wind Park - Golden Valley Wind Park</v>
      </c>
      <c r="B34" s="87" t="str">
        <f t="shared" si="2"/>
        <v>Wind</v>
      </c>
      <c r="C34" s="203">
        <f ca="1">VLOOKUP(1+ROW()-ROW($19:$19),'Facility Detail'!$C:$H,1+COLUMN()-COLUMN($B:$B),FALSE)</f>
        <v>0</v>
      </c>
      <c r="D34" s="204">
        <f ca="1">VLOOKUP(1+ROW()-ROW($19:$19),'Facility Detail'!$C:$H,1+COLUMN()-COLUMN($B:$B),FALSE)</f>
        <v>0</v>
      </c>
      <c r="E34" s="204">
        <f ca="1">VLOOKUP(1+ROW()-ROW($19:$19),'Facility Detail'!$C:$H,1+COLUMN()-COLUMN($B:$B),FALSE)</f>
        <v>0</v>
      </c>
      <c r="F34" s="204">
        <f ca="1">VLOOKUP(1+ROW()-ROW($19:$19),'Facility Detail'!$C:$H,1+COLUMN()-COLUMN($B:$B),FALSE)</f>
        <v>8708</v>
      </c>
      <c r="G34" s="205">
        <f ca="1">VLOOKUP(1+ROW()-ROW($19:$19),'Facility Detail'!$C:$H,1+COLUMN()-COLUMN($B:$B),FALSE)</f>
        <v>0</v>
      </c>
    </row>
    <row r="35" spans="1:7" ht="15" outlineLevel="1" x14ac:dyDescent="0.25">
      <c r="A35" s="87" t="str">
        <v>Goodnoe Hills - Goodnoe Hills</v>
      </c>
      <c r="B35" s="87" t="str">
        <f t="shared" si="2"/>
        <v>Wind</v>
      </c>
      <c r="C35" s="203">
        <f ca="1">VLOOKUP(1+ROW()-ROW($19:$19),'Facility Detail'!$C:$H,1+COLUMN()-COLUMN($B:$B),FALSE)</f>
        <v>0</v>
      </c>
      <c r="D35" s="204">
        <f ca="1">VLOOKUP(1+ROW()-ROW($19:$19),'Facility Detail'!$C:$H,1+COLUMN()-COLUMN($B:$B),FALSE)</f>
        <v>0</v>
      </c>
      <c r="E35" s="204">
        <f ca="1">VLOOKUP(1+ROW()-ROW($19:$19),'Facility Detail'!$C:$H,1+COLUMN()-COLUMN($B:$B),FALSE)</f>
        <v>0</v>
      </c>
      <c r="F35" s="204">
        <f ca="1">VLOOKUP(1+ROW()-ROW($19:$19),'Facility Detail'!$C:$H,1+COLUMN()-COLUMN($B:$B),FALSE)</f>
        <v>6000</v>
      </c>
      <c r="G35" s="205">
        <f ca="1">VLOOKUP(1+ROW()-ROW($19:$19),'Facility Detail'!$C:$H,1+COLUMN()-COLUMN($B:$B),FALSE)</f>
        <v>0</v>
      </c>
    </row>
    <row r="36" spans="1:7" ht="15" outlineLevel="1" x14ac:dyDescent="0.25">
      <c r="A36" s="87" t="str">
        <v>Grand View 2 West</v>
      </c>
      <c r="B36" s="87" t="str">
        <f t="shared" si="2"/>
        <v>Solar</v>
      </c>
      <c r="C36" s="203">
        <f ca="1">VLOOKUP(1+ROW()-ROW($19:$19),'Facility Detail'!$C:$H,1+COLUMN()-COLUMN($B:$B),FALSE)</f>
        <v>18511</v>
      </c>
      <c r="D36" s="204">
        <f ca="1">VLOOKUP(1+ROW()-ROW($19:$19),'Facility Detail'!$C:$H,1+COLUMN()-COLUMN($B:$B),FALSE)</f>
        <v>0</v>
      </c>
      <c r="E36" s="204">
        <f ca="1">VLOOKUP(1+ROW()-ROW($19:$19),'Facility Detail'!$C:$H,1+COLUMN()-COLUMN($B:$B),FALSE)</f>
        <v>0</v>
      </c>
      <c r="F36" s="204">
        <f ca="1">VLOOKUP(1+ROW()-ROW($19:$19),'Facility Detail'!$C:$H,1+COLUMN()-COLUMN($B:$B),FALSE)</f>
        <v>0</v>
      </c>
      <c r="G36" s="205">
        <f ca="1">VLOOKUP(1+ROW()-ROW($19:$19),'Facility Detail'!$C:$H,1+COLUMN()-COLUMN($B:$B),FALSE)</f>
        <v>0</v>
      </c>
    </row>
    <row r="37" spans="1:7" ht="15" outlineLevel="1" x14ac:dyDescent="0.25">
      <c r="A37" s="87" t="str">
        <v>Grand View 5 East</v>
      </c>
      <c r="B37" s="87" t="str">
        <f t="shared" si="2"/>
        <v>Solar</v>
      </c>
      <c r="C37" s="203">
        <f ca="1">VLOOKUP(1+ROW()-ROW($19:$19),'Facility Detail'!$C:$H,1+COLUMN()-COLUMN($B:$B),FALSE)</f>
        <v>6741</v>
      </c>
      <c r="D37" s="204">
        <f ca="1">VLOOKUP(1+ROW()-ROW($19:$19),'Facility Detail'!$C:$H,1+COLUMN()-COLUMN($B:$B),FALSE)</f>
        <v>0</v>
      </c>
      <c r="E37" s="204">
        <f ca="1">VLOOKUP(1+ROW()-ROW($19:$19),'Facility Detail'!$C:$H,1+COLUMN()-COLUMN($B:$B),FALSE)</f>
        <v>0</v>
      </c>
      <c r="F37" s="204">
        <f ca="1">VLOOKUP(1+ROW()-ROW($19:$19),'Facility Detail'!$C:$H,1+COLUMN()-COLUMN($B:$B),FALSE)</f>
        <v>0</v>
      </c>
      <c r="G37" s="205">
        <f ca="1">VLOOKUP(1+ROW()-ROW($19:$19),'Facility Detail'!$C:$H,1+COLUMN()-COLUMN($B:$B),FALSE)</f>
        <v>0</v>
      </c>
    </row>
    <row r="38" spans="1:7" ht="15" outlineLevel="1" x14ac:dyDescent="0.25">
      <c r="A38" s="87" t="str">
        <v>Hidden Hollow Energy LLC - Hidden Hollow Energy</v>
      </c>
      <c r="B38" s="87" t="str">
        <f t="shared" si="2"/>
        <v>Biogas</v>
      </c>
      <c r="C38" s="203">
        <f ca="1">VLOOKUP(1+ROW()-ROW($19:$19),'Facility Detail'!$C:$H,1+COLUMN()-COLUMN($B:$B),FALSE)</f>
        <v>0</v>
      </c>
      <c r="D38" s="204">
        <f ca="1">VLOOKUP(1+ROW()-ROW($19:$19),'Facility Detail'!$C:$H,1+COLUMN()-COLUMN($B:$B),FALSE)</f>
        <v>0</v>
      </c>
      <c r="E38" s="204">
        <f ca="1">VLOOKUP(1+ROW()-ROW($19:$19),'Facility Detail'!$C:$H,1+COLUMN()-COLUMN($B:$B),FALSE)</f>
        <v>0</v>
      </c>
      <c r="F38" s="204">
        <f ca="1">VLOOKUP(1+ROW()-ROW($19:$19),'Facility Detail'!$C:$H,1+COLUMN()-COLUMN($B:$B),FALSE)</f>
        <v>36752</v>
      </c>
      <c r="G38" s="205">
        <f ca="1">VLOOKUP(1+ROW()-ROW($19:$19),'Facility Detail'!$C:$H,1+COLUMN()-COLUMN($B:$B),FALSE)</f>
        <v>0</v>
      </c>
    </row>
    <row r="39" spans="1:7" ht="15" outlineLevel="1" x14ac:dyDescent="0.25">
      <c r="A39" s="87" t="str">
        <v>Horse Butte Wind</v>
      </c>
      <c r="B39" s="87" t="str">
        <f t="shared" si="2"/>
        <v>Wind</v>
      </c>
      <c r="C39" s="203">
        <f ca="1">VLOOKUP(1+ROW()-ROW($19:$19),'Facility Detail'!$C:$H,1+COLUMN()-COLUMN($B:$B),FALSE)</f>
        <v>27</v>
      </c>
      <c r="D39" s="204">
        <f ca="1">VLOOKUP(1+ROW()-ROW($19:$19),'Facility Detail'!$C:$H,1+COLUMN()-COLUMN($B:$B),FALSE)</f>
        <v>0</v>
      </c>
      <c r="E39" s="204">
        <f ca="1">VLOOKUP(1+ROW()-ROW($19:$19),'Facility Detail'!$C:$H,1+COLUMN()-COLUMN($B:$B),FALSE)</f>
        <v>0</v>
      </c>
      <c r="F39" s="204">
        <f ca="1">VLOOKUP(1+ROW()-ROW($19:$19),'Facility Detail'!$C:$H,1+COLUMN()-COLUMN($B:$B),FALSE)</f>
        <v>16566</v>
      </c>
      <c r="G39" s="205">
        <f ca="1">VLOOKUP(1+ROW()-ROW($19:$19),'Facility Detail'!$C:$H,1+COLUMN()-COLUMN($B:$B),FALSE)</f>
        <v>0</v>
      </c>
    </row>
    <row r="40" spans="1:7" ht="15" outlineLevel="1" x14ac:dyDescent="0.25">
      <c r="A40" s="87" t="str">
        <v>ID Solar 1</v>
      </c>
      <c r="B40" s="87" t="str">
        <f t="shared" si="2"/>
        <v>Solar</v>
      </c>
      <c r="C40" s="203">
        <f ca="1">VLOOKUP(1+ROW()-ROW($19:$19),'Facility Detail'!$C:$H,1+COLUMN()-COLUMN($B:$B),FALSE)</f>
        <v>12048</v>
      </c>
      <c r="D40" s="204">
        <f ca="1">VLOOKUP(1+ROW()-ROW($19:$19),'Facility Detail'!$C:$H,1+COLUMN()-COLUMN($B:$B),FALSE)</f>
        <v>0</v>
      </c>
      <c r="E40" s="204">
        <f ca="1">VLOOKUP(1+ROW()-ROW($19:$19),'Facility Detail'!$C:$H,1+COLUMN()-COLUMN($B:$B),FALSE)</f>
        <v>0</v>
      </c>
      <c r="F40" s="204">
        <f ca="1">VLOOKUP(1+ROW()-ROW($19:$19),'Facility Detail'!$C:$H,1+COLUMN()-COLUMN($B:$B),FALSE)</f>
        <v>0</v>
      </c>
      <c r="G40" s="205">
        <f ca="1">VLOOKUP(1+ROW()-ROW($19:$19),'Facility Detail'!$C:$H,1+COLUMN()-COLUMN($B:$B),FALSE)</f>
        <v>0</v>
      </c>
    </row>
    <row r="41" spans="1:7" ht="15" outlineLevel="1" x14ac:dyDescent="0.25">
      <c r="A41" s="87" t="str">
        <v>Klondike 1</v>
      </c>
      <c r="B41" s="87" t="str">
        <f t="shared" si="2"/>
        <v>Wind</v>
      </c>
      <c r="C41" s="203">
        <f ca="1">VLOOKUP(1+ROW()-ROW($19:$19),'Facility Detail'!$C:$H,1+COLUMN()-COLUMN($B:$B),FALSE)</f>
        <v>968</v>
      </c>
      <c r="D41" s="204">
        <f ca="1">VLOOKUP(1+ROW()-ROW($19:$19),'Facility Detail'!$C:$H,1+COLUMN()-COLUMN($B:$B),FALSE)</f>
        <v>0</v>
      </c>
      <c r="E41" s="204">
        <f ca="1">VLOOKUP(1+ROW()-ROW($19:$19),'Facility Detail'!$C:$H,1+COLUMN()-COLUMN($B:$B),FALSE)</f>
        <v>0</v>
      </c>
      <c r="F41" s="204">
        <f ca="1">VLOOKUP(1+ROW()-ROW($19:$19),'Facility Detail'!$C:$H,1+COLUMN()-COLUMN($B:$B),FALSE)</f>
        <v>755</v>
      </c>
      <c r="G41" s="205">
        <f ca="1">VLOOKUP(1+ROW()-ROW($19:$19),'Facility Detail'!$C:$H,1+COLUMN()-COLUMN($B:$B),FALSE)</f>
        <v>0</v>
      </c>
    </row>
    <row r="42" spans="1:7" ht="15" outlineLevel="1" x14ac:dyDescent="0.25">
      <c r="A42" s="87" t="str">
        <v>Klondike III - Klondike Wind Power III LLC</v>
      </c>
      <c r="B42" s="87" t="str">
        <f t="shared" si="2"/>
        <v>Wind</v>
      </c>
      <c r="C42" s="203">
        <f ca="1">VLOOKUP(1+ROW()-ROW($19:$19),'Facility Detail'!$C:$H,1+COLUMN()-COLUMN($B:$B),FALSE)</f>
        <v>0</v>
      </c>
      <c r="D42" s="204">
        <f ca="1">VLOOKUP(1+ROW()-ROW($19:$19),'Facility Detail'!$C:$H,1+COLUMN()-COLUMN($B:$B),FALSE)</f>
        <v>0</v>
      </c>
      <c r="E42" s="204">
        <f ca="1">VLOOKUP(1+ROW()-ROW($19:$19),'Facility Detail'!$C:$H,1+COLUMN()-COLUMN($B:$B),FALSE)</f>
        <v>0</v>
      </c>
      <c r="F42" s="204">
        <f ca="1">VLOOKUP(1+ROW()-ROW($19:$19),'Facility Detail'!$C:$H,1+COLUMN()-COLUMN($B:$B),FALSE)</f>
        <v>19040</v>
      </c>
      <c r="G42" s="205">
        <f ca="1">VLOOKUP(1+ROW()-ROW($19:$19),'Facility Detail'!$C:$H,1+COLUMN()-COLUMN($B:$B),FALSE)</f>
        <v>0</v>
      </c>
    </row>
    <row r="43" spans="1:7" ht="15" outlineLevel="1" x14ac:dyDescent="0.25">
      <c r="A43" s="87" t="str">
        <v>Klondike IIIa - Klondike Wind Power IIIa</v>
      </c>
      <c r="B43" s="87" t="str">
        <f t="shared" si="2"/>
        <v>Wind</v>
      </c>
      <c r="C43" s="203">
        <f ca="1">VLOOKUP(1+ROW()-ROW($19:$19),'Facility Detail'!$C:$H,1+COLUMN()-COLUMN($B:$B),FALSE)</f>
        <v>0</v>
      </c>
      <c r="D43" s="204">
        <f ca="1">VLOOKUP(1+ROW()-ROW($19:$19),'Facility Detail'!$C:$H,1+COLUMN()-COLUMN($B:$B),FALSE)</f>
        <v>0</v>
      </c>
      <c r="E43" s="204">
        <f ca="1">VLOOKUP(1+ROW()-ROW($19:$19),'Facility Detail'!$C:$H,1+COLUMN()-COLUMN($B:$B),FALSE)</f>
        <v>0</v>
      </c>
      <c r="F43" s="204">
        <f ca="1">VLOOKUP(1+ROW()-ROW($19:$19),'Facility Detail'!$C:$H,1+COLUMN()-COLUMN($B:$B),FALSE)</f>
        <v>1852</v>
      </c>
      <c r="G43" s="205">
        <f ca="1">VLOOKUP(1+ROW()-ROW($19:$19),'Facility Detail'!$C:$H,1+COLUMN()-COLUMN($B:$B),FALSE)</f>
        <v>0</v>
      </c>
    </row>
    <row r="44" spans="1:7" ht="15" outlineLevel="1" x14ac:dyDescent="0.25">
      <c r="A44" s="87" t="str">
        <v>Marengo - Marengo</v>
      </c>
      <c r="B44" s="87" t="str">
        <f t="shared" si="2"/>
        <v>Wind</v>
      </c>
      <c r="C44" s="203">
        <f ca="1">VLOOKUP(1+ROW()-ROW($19:$19),'Facility Detail'!$C:$H,1+COLUMN()-COLUMN($B:$B),FALSE)</f>
        <v>0</v>
      </c>
      <c r="D44" s="204">
        <f ca="1">VLOOKUP(1+ROW()-ROW($19:$19),'Facility Detail'!$C:$H,1+COLUMN()-COLUMN($B:$B),FALSE)</f>
        <v>0</v>
      </c>
      <c r="E44" s="204">
        <f ca="1">VLOOKUP(1+ROW()-ROW($19:$19),'Facility Detail'!$C:$H,1+COLUMN()-COLUMN($B:$B),FALSE)</f>
        <v>0</v>
      </c>
      <c r="F44" s="204">
        <f ca="1">VLOOKUP(1+ROW()-ROW($19:$19),'Facility Detail'!$C:$H,1+COLUMN()-COLUMN($B:$B),FALSE)</f>
        <v>10937</v>
      </c>
      <c r="G44" s="205">
        <f ca="1">VLOOKUP(1+ROW()-ROW($19:$19),'Facility Detail'!$C:$H,1+COLUMN()-COLUMN($B:$B),FALSE)</f>
        <v>0</v>
      </c>
    </row>
    <row r="45" spans="1:7" ht="15" outlineLevel="1" x14ac:dyDescent="0.25">
      <c r="A45" s="87" t="str">
        <v>Meadow Creek Wind Farm - Five Pine Project</v>
      </c>
      <c r="B45" s="87" t="str">
        <f t="shared" si="2"/>
        <v>Wind</v>
      </c>
      <c r="C45" s="203">
        <f ca="1">VLOOKUP(1+ROW()-ROW($19:$19),'Facility Detail'!$C:$H,1+COLUMN()-COLUMN($B:$B),FALSE)</f>
        <v>0</v>
      </c>
      <c r="D45" s="204">
        <f ca="1">VLOOKUP(1+ROW()-ROW($19:$19),'Facility Detail'!$C:$H,1+COLUMN()-COLUMN($B:$B),FALSE)</f>
        <v>0</v>
      </c>
      <c r="E45" s="204">
        <f ca="1">VLOOKUP(1+ROW()-ROW($19:$19),'Facility Detail'!$C:$H,1+COLUMN()-COLUMN($B:$B),FALSE)</f>
        <v>0</v>
      </c>
      <c r="F45" s="204">
        <f ca="1">VLOOKUP(1+ROW()-ROW($19:$19),'Facility Detail'!$C:$H,1+COLUMN()-COLUMN($B:$B),FALSE)</f>
        <v>25276</v>
      </c>
      <c r="G45" s="205">
        <f ca="1">VLOOKUP(1+ROW()-ROW($19:$19),'Facility Detail'!$C:$H,1+COLUMN()-COLUMN($B:$B),FALSE)</f>
        <v>0</v>
      </c>
    </row>
    <row r="46" spans="1:7" ht="15" outlineLevel="1" x14ac:dyDescent="0.25">
      <c r="A46" s="87" t="str">
        <v>Meadow Creek Wind Farm - North Point Wind Farm</v>
      </c>
      <c r="B46" s="87" t="str">
        <f t="shared" si="2"/>
        <v>Wind</v>
      </c>
      <c r="C46" s="203">
        <f ca="1">VLOOKUP(1+ROW()-ROW($19:$19),'Facility Detail'!$C:$H,1+COLUMN()-COLUMN($B:$B),FALSE)</f>
        <v>0</v>
      </c>
      <c r="D46" s="204">
        <f ca="1">VLOOKUP(1+ROW()-ROW($19:$19),'Facility Detail'!$C:$H,1+COLUMN()-COLUMN($B:$B),FALSE)</f>
        <v>0</v>
      </c>
      <c r="E46" s="204">
        <f ca="1">VLOOKUP(1+ROW()-ROW($19:$19),'Facility Detail'!$C:$H,1+COLUMN()-COLUMN($B:$B),FALSE)</f>
        <v>0</v>
      </c>
      <c r="F46" s="204">
        <f ca="1">VLOOKUP(1+ROW()-ROW($19:$19),'Facility Detail'!$C:$H,1+COLUMN()-COLUMN($B:$B),FALSE)</f>
        <v>49724</v>
      </c>
      <c r="G46" s="205">
        <f ca="1">VLOOKUP(1+ROW()-ROW($19:$19),'Facility Detail'!$C:$H,1+COLUMN()-COLUMN($B:$B),FALSE)</f>
        <v>0</v>
      </c>
    </row>
    <row r="47" spans="1:7" ht="15" outlineLevel="1" x14ac:dyDescent="0.25">
      <c r="A47" s="87" t="str">
        <v>Mountain Air Wind Projects - Mountain Air Wind Projects</v>
      </c>
      <c r="B47" s="87" t="str">
        <f t="shared" si="2"/>
        <v>Wind</v>
      </c>
      <c r="C47" s="203">
        <f ca="1">VLOOKUP(1+ROW()-ROW($19:$19),'Facility Detail'!$C:$H,1+COLUMN()-COLUMN($B:$B),FALSE)</f>
        <v>0</v>
      </c>
      <c r="D47" s="204">
        <f ca="1">VLOOKUP(1+ROW()-ROW($19:$19),'Facility Detail'!$C:$H,1+COLUMN()-COLUMN($B:$B),FALSE)</f>
        <v>0</v>
      </c>
      <c r="E47" s="204">
        <f ca="1">VLOOKUP(1+ROW()-ROW($19:$19),'Facility Detail'!$C:$H,1+COLUMN()-COLUMN($B:$B),FALSE)</f>
        <v>0</v>
      </c>
      <c r="F47" s="204">
        <f ca="1">VLOOKUP(1+ROW()-ROW($19:$19),'Facility Detail'!$C:$H,1+COLUMN()-COLUMN($B:$B),FALSE)</f>
        <v>25681</v>
      </c>
      <c r="G47" s="205">
        <f ca="1">VLOOKUP(1+ROW()-ROW($19:$19),'Facility Detail'!$C:$H,1+COLUMN()-COLUMN($B:$B),FALSE)</f>
        <v>0</v>
      </c>
    </row>
    <row r="48" spans="1:7" ht="15" outlineLevel="1" x14ac:dyDescent="0.25">
      <c r="A48" s="87" t="str">
        <v>Nine Canyon Wind Project - Nine Canyon Phase 3</v>
      </c>
      <c r="B48" s="87" t="str">
        <f t="shared" si="2"/>
        <v>Wind</v>
      </c>
      <c r="C48" s="203">
        <f ca="1">VLOOKUP(1+ROW()-ROW($19:$19),'Facility Detail'!$C:$H,1+COLUMN()-COLUMN($B:$B),FALSE)</f>
        <v>0</v>
      </c>
      <c r="D48" s="204">
        <f ca="1">VLOOKUP(1+ROW()-ROW($19:$19),'Facility Detail'!$C:$H,1+COLUMN()-COLUMN($B:$B),FALSE)</f>
        <v>0</v>
      </c>
      <c r="E48" s="204">
        <f ca="1">VLOOKUP(1+ROW()-ROW($19:$19),'Facility Detail'!$C:$H,1+COLUMN()-COLUMN($B:$B),FALSE)</f>
        <v>0</v>
      </c>
      <c r="F48" s="204">
        <f ca="1">VLOOKUP(1+ROW()-ROW($19:$19),'Facility Detail'!$C:$H,1+COLUMN()-COLUMN($B:$B),FALSE)</f>
        <v>16850</v>
      </c>
      <c r="G48" s="205">
        <f ca="1">VLOOKUP(1+ROW()-ROW($19:$19),'Facility Detail'!$C:$H,1+COLUMN()-COLUMN($B:$B),FALSE)</f>
        <v>0</v>
      </c>
    </row>
    <row r="49" spans="1:7" ht="15" outlineLevel="1" x14ac:dyDescent="0.25">
      <c r="A49" s="87" t="str">
        <v>Nine Canyon Wind Project - Nine Canyon Wind Project</v>
      </c>
      <c r="B49" s="87" t="str">
        <f t="shared" si="2"/>
        <v>Wind</v>
      </c>
      <c r="C49" s="203">
        <f ca="1">VLOOKUP(1+ROW()-ROW($19:$19),'Facility Detail'!$C:$H,1+COLUMN()-COLUMN($B:$B),FALSE)</f>
        <v>0</v>
      </c>
      <c r="D49" s="204">
        <f ca="1">VLOOKUP(1+ROW()-ROW($19:$19),'Facility Detail'!$C:$H,1+COLUMN()-COLUMN($B:$B),FALSE)</f>
        <v>0</v>
      </c>
      <c r="E49" s="204">
        <f ca="1">VLOOKUP(1+ROW()-ROW($19:$19),'Facility Detail'!$C:$H,1+COLUMN()-COLUMN($B:$B),FALSE)</f>
        <v>0</v>
      </c>
      <c r="F49" s="204">
        <f ca="1">VLOOKUP(1+ROW()-ROW($19:$19),'Facility Detail'!$C:$H,1+COLUMN()-COLUMN($B:$B),FALSE)</f>
        <v>25489</v>
      </c>
      <c r="G49" s="205">
        <f ca="1">VLOOKUP(1+ROW()-ROW($19:$19),'Facility Detail'!$C:$H,1+COLUMN()-COLUMN($B:$B),FALSE)</f>
        <v>0</v>
      </c>
    </row>
    <row r="50" spans="1:7" ht="15" outlineLevel="1" x14ac:dyDescent="0.25">
      <c r="A50" s="87" t="str">
        <v>Oregon Trail Wind Park, LLC - Oregon Trail Wind Park</v>
      </c>
      <c r="B50" s="87" t="str">
        <f t="shared" si="2"/>
        <v>Wind</v>
      </c>
      <c r="C50" s="203">
        <f ca="1">VLOOKUP(1+ROW()-ROW($19:$19),'Facility Detail'!$C:$H,1+COLUMN()-COLUMN($B:$B),FALSE)</f>
        <v>0</v>
      </c>
      <c r="D50" s="204">
        <f ca="1">VLOOKUP(1+ROW()-ROW($19:$19),'Facility Detail'!$C:$H,1+COLUMN()-COLUMN($B:$B),FALSE)</f>
        <v>0</v>
      </c>
      <c r="E50" s="204">
        <f ca="1">VLOOKUP(1+ROW()-ROW($19:$19),'Facility Detail'!$C:$H,1+COLUMN()-COLUMN($B:$B),FALSE)</f>
        <v>0</v>
      </c>
      <c r="F50" s="204">
        <f ca="1">VLOOKUP(1+ROW()-ROW($19:$19),'Facility Detail'!$C:$H,1+COLUMN()-COLUMN($B:$B),FALSE)</f>
        <v>9879</v>
      </c>
      <c r="G50" s="205">
        <f ca="1">VLOOKUP(1+ROW()-ROW($19:$19),'Facility Detail'!$C:$H,1+COLUMN()-COLUMN($B:$B),FALSE)</f>
        <v>0</v>
      </c>
    </row>
    <row r="51" spans="1:7" ht="15" outlineLevel="1" x14ac:dyDescent="0.25">
      <c r="A51" s="87" t="str">
        <v>PaTu Wind Farm - PaTu Wind</v>
      </c>
      <c r="B51" s="87" t="str">
        <f t="shared" si="2"/>
        <v>Wind</v>
      </c>
      <c r="C51" s="203">
        <f ca="1">VLOOKUP(1+ROW()-ROW($19:$19),'Facility Detail'!$C:$H,1+COLUMN()-COLUMN($B:$B),FALSE)</f>
        <v>0</v>
      </c>
      <c r="D51" s="204">
        <f ca="1">VLOOKUP(1+ROW()-ROW($19:$19),'Facility Detail'!$C:$H,1+COLUMN()-COLUMN($B:$B),FALSE)</f>
        <v>0</v>
      </c>
      <c r="E51" s="204">
        <f ca="1">VLOOKUP(1+ROW()-ROW($19:$19),'Facility Detail'!$C:$H,1+COLUMN()-COLUMN($B:$B),FALSE)</f>
        <v>0</v>
      </c>
      <c r="F51" s="204">
        <f ca="1">VLOOKUP(1+ROW()-ROW($19:$19),'Facility Detail'!$C:$H,1+COLUMN()-COLUMN($B:$B),FALSE)</f>
        <v>26276</v>
      </c>
      <c r="G51" s="205">
        <f ca="1">VLOOKUP(1+ROW()-ROW($19:$19),'Facility Detail'!$C:$H,1+COLUMN()-COLUMN($B:$B),FALSE)</f>
        <v>0</v>
      </c>
    </row>
    <row r="52" spans="1:7" ht="15" outlineLevel="1" x14ac:dyDescent="0.25">
      <c r="A52" s="87" t="str">
        <v>Rolling Hills - Rolling Hills</v>
      </c>
      <c r="B52" s="87" t="str">
        <f t="shared" si="2"/>
        <v>Wind</v>
      </c>
      <c r="C52" s="203">
        <f ca="1">VLOOKUP(1+ROW()-ROW($19:$19),'Facility Detail'!$C:$H,1+COLUMN()-COLUMN($B:$B),FALSE)</f>
        <v>0</v>
      </c>
      <c r="D52" s="204">
        <f ca="1">VLOOKUP(1+ROW()-ROW($19:$19),'Facility Detail'!$C:$H,1+COLUMN()-COLUMN($B:$B),FALSE)</f>
        <v>0</v>
      </c>
      <c r="E52" s="204">
        <f ca="1">VLOOKUP(1+ROW()-ROW($19:$19),'Facility Detail'!$C:$H,1+COLUMN()-COLUMN($B:$B),FALSE)</f>
        <v>0</v>
      </c>
      <c r="F52" s="204">
        <f ca="1">VLOOKUP(1+ROW()-ROW($19:$19),'Facility Detail'!$C:$H,1+COLUMN()-COLUMN($B:$B),FALSE)</f>
        <v>15000</v>
      </c>
      <c r="G52" s="205">
        <f ca="1">VLOOKUP(1+ROW()-ROW($19:$19),'Facility Detail'!$C:$H,1+COLUMN()-COLUMN($B:$B),FALSE)</f>
        <v>0</v>
      </c>
    </row>
    <row r="53" spans="1:7" ht="15" outlineLevel="1" x14ac:dyDescent="0.25">
      <c r="A53" s="87" t="str">
        <v>Roseburg LFG - Roseburg LFG Energy</v>
      </c>
      <c r="B53" s="87" t="str">
        <f t="shared" si="2"/>
        <v>Landfill Gas</v>
      </c>
      <c r="C53" s="203">
        <f ca="1">VLOOKUP(1+ROW()-ROW($19:$19),'Facility Detail'!$C:$H,1+COLUMN()-COLUMN($B:$B),FALSE)</f>
        <v>0</v>
      </c>
      <c r="D53" s="204">
        <f ca="1">VLOOKUP(1+ROW()-ROW($19:$19),'Facility Detail'!$C:$H,1+COLUMN()-COLUMN($B:$B),FALSE)</f>
        <v>0</v>
      </c>
      <c r="E53" s="204">
        <f ca="1">VLOOKUP(1+ROW()-ROW($19:$19),'Facility Detail'!$C:$H,1+COLUMN()-COLUMN($B:$B),FALSE)</f>
        <v>0</v>
      </c>
      <c r="F53" s="204">
        <f ca="1">VLOOKUP(1+ROW()-ROW($19:$19),'Facility Detail'!$C:$H,1+COLUMN()-COLUMN($B:$B),FALSE)</f>
        <v>2361</v>
      </c>
      <c r="G53" s="205">
        <f ca="1">VLOOKUP(1+ROW()-ROW($19:$19),'Facility Detail'!$C:$H,1+COLUMN()-COLUMN($B:$B),FALSE)</f>
        <v>0</v>
      </c>
    </row>
    <row r="54" spans="1:7" ht="15" outlineLevel="1" x14ac:dyDescent="0.25">
      <c r="A54" s="87" t="str">
        <v>Salmon Falls Wind Park, LLC - Salmon Falls Wind Park</v>
      </c>
      <c r="B54" s="87" t="str">
        <f t="shared" si="2"/>
        <v>Wind</v>
      </c>
      <c r="C54" s="203">
        <f ca="1">VLOOKUP(1+ROW()-ROW($19:$19),'Facility Detail'!$C:$H,1+COLUMN()-COLUMN($B:$B),FALSE)</f>
        <v>0</v>
      </c>
      <c r="D54" s="204">
        <f ca="1">VLOOKUP(1+ROW()-ROW($19:$19),'Facility Detail'!$C:$H,1+COLUMN()-COLUMN($B:$B),FALSE)</f>
        <v>0</v>
      </c>
      <c r="E54" s="204">
        <f ca="1">VLOOKUP(1+ROW()-ROW($19:$19),'Facility Detail'!$C:$H,1+COLUMN()-COLUMN($B:$B),FALSE)</f>
        <v>0</v>
      </c>
      <c r="F54" s="204">
        <f ca="1">VLOOKUP(1+ROW()-ROW($19:$19),'Facility Detail'!$C:$H,1+COLUMN()-COLUMN($B:$B),FALSE)</f>
        <v>17090</v>
      </c>
      <c r="G54" s="205">
        <f ca="1">VLOOKUP(1+ROW()-ROW($19:$19),'Facility Detail'!$C:$H,1+COLUMN()-COLUMN($B:$B),FALSE)</f>
        <v>0</v>
      </c>
    </row>
    <row r="55" spans="1:7" ht="15" outlineLevel="1" x14ac:dyDescent="0.25">
      <c r="A55" s="87" t="str">
        <v>Sawtooth Wind Project - Sawtooth Wind Project</v>
      </c>
      <c r="B55" s="87" t="str">
        <f>IFERROR(VLOOKUP(A55,Facilities,4,FALSE),"")</f>
        <v>Wind</v>
      </c>
      <c r="C55" s="203">
        <f ca="1">VLOOKUP(1+ROW()-ROW($19:$19),'Facility Detail'!$C:$H,1+COLUMN()-COLUMN($B:$B),FALSE)</f>
        <v>0</v>
      </c>
      <c r="D55" s="204">
        <f ca="1">VLOOKUP(1+ROW()-ROW($19:$19),'Facility Detail'!$C:$H,1+COLUMN()-COLUMN($B:$B),FALSE)</f>
        <v>0</v>
      </c>
      <c r="E55" s="204">
        <f ca="1">VLOOKUP(1+ROW()-ROW($19:$19),'Facility Detail'!$C:$H,1+COLUMN()-COLUMN($B:$B),FALSE)</f>
        <v>0</v>
      </c>
      <c r="F55" s="204">
        <f ca="1">VLOOKUP(1+ROW()-ROW($19:$19),'Facility Detail'!$C:$H,1+COLUMN()-COLUMN($B:$B),FALSE)</f>
        <v>57727</v>
      </c>
      <c r="G55" s="205">
        <f ca="1">VLOOKUP(1+ROW()-ROW($19:$19),'Facility Detail'!$C:$H,1+COLUMN()-COLUMN($B:$B),FALSE)</f>
        <v>0</v>
      </c>
    </row>
    <row r="56" spans="1:7" ht="15" outlineLevel="1" x14ac:dyDescent="0.25">
      <c r="A56" s="87" t="str">
        <v>Stateline (WA) - FPL Energy Vansycle LLC</v>
      </c>
      <c r="B56" s="87" t="str">
        <f>IFERROR(VLOOKUP(A56,Facilities,4,FALSE),"")</f>
        <v>Wind</v>
      </c>
      <c r="C56" s="203">
        <f ca="1">VLOOKUP(1+ROW()-ROW($19:$19),'Facility Detail'!$C:$H,1+COLUMN()-COLUMN($B:$B),FALSE)</f>
        <v>3890</v>
      </c>
      <c r="D56" s="204">
        <f ca="1">VLOOKUP(1+ROW()-ROW($19:$19),'Facility Detail'!$C:$H,1+COLUMN()-COLUMN($B:$B),FALSE)</f>
        <v>0</v>
      </c>
      <c r="E56" s="204">
        <f ca="1">VLOOKUP(1+ROW()-ROW($19:$19),'Facility Detail'!$C:$H,1+COLUMN()-COLUMN($B:$B),FALSE)</f>
        <v>0</v>
      </c>
      <c r="F56" s="204">
        <f ca="1">VLOOKUP(1+ROW()-ROW($19:$19),'Facility Detail'!$C:$H,1+COLUMN()-COLUMN($B:$B),FALSE)</f>
        <v>2582</v>
      </c>
      <c r="G56" s="205">
        <f ca="1">VLOOKUP(1+ROW()-ROW($19:$19),'Facility Detail'!$C:$H,1+COLUMN()-COLUMN($B:$B),FALSE)</f>
        <v>0</v>
      </c>
    </row>
    <row r="57" spans="1:7" ht="15" outlineLevel="1" x14ac:dyDescent="0.25">
      <c r="A57" s="87" t="str">
        <v>stimson lumber-plummer - stimson-plummer</v>
      </c>
      <c r="B57" s="87" t="str">
        <f>IFERROR(VLOOKUP(A57,Facilities,4,FALSE),"")</f>
        <v>Biomass</v>
      </c>
      <c r="C57" s="203">
        <f ca="1">VLOOKUP(1+ROW()-ROW($19:$19),'Facility Detail'!$C:$H,1+COLUMN()-COLUMN($B:$B),FALSE)</f>
        <v>0</v>
      </c>
      <c r="D57" s="204">
        <f ca="1">VLOOKUP(1+ROW()-ROW($19:$19),'Facility Detail'!$C:$H,1+COLUMN()-COLUMN($B:$B),FALSE)</f>
        <v>0</v>
      </c>
      <c r="E57" s="204">
        <f ca="1">VLOOKUP(1+ROW()-ROW($19:$19),'Facility Detail'!$C:$H,1+COLUMN()-COLUMN($B:$B),FALSE)</f>
        <v>0</v>
      </c>
      <c r="F57" s="204">
        <f ca="1">VLOOKUP(1+ROW()-ROW($19:$19),'Facility Detail'!$C:$H,1+COLUMN()-COLUMN($B:$B),FALSE)</f>
        <v>15794</v>
      </c>
      <c r="G57" s="205">
        <f ca="1">VLOOKUP(1+ROW()-ROW($19:$19),'Facility Detail'!$C:$H,1+COLUMN()-COLUMN($B:$B),FALSE)</f>
        <v>0</v>
      </c>
    </row>
    <row r="58" spans="1:7" ht="15" outlineLevel="1" x14ac:dyDescent="0.25">
      <c r="A58" s="87" t="str">
        <v>Stoltze Cogeneration Plant - Stoltze CoGen1</v>
      </c>
      <c r="B58" s="87" t="str">
        <f>IFERROR(VLOOKUP(A58,Facilities,4,FALSE),"")</f>
        <v>Biomass</v>
      </c>
      <c r="C58" s="203">
        <f ca="1">VLOOKUP(1+ROW()-ROW($19:$19),'Facility Detail'!$C:$H,1+COLUMN()-COLUMN($B:$B),FALSE)</f>
        <v>0</v>
      </c>
      <c r="D58" s="204">
        <f ca="1">VLOOKUP(1+ROW()-ROW($19:$19),'Facility Detail'!$C:$H,1+COLUMN()-COLUMN($B:$B),FALSE)</f>
        <v>0</v>
      </c>
      <c r="E58" s="204">
        <f ca="1">VLOOKUP(1+ROW()-ROW($19:$19),'Facility Detail'!$C:$H,1+COLUMN()-COLUMN($B:$B),FALSE)</f>
        <v>0</v>
      </c>
      <c r="F58" s="204">
        <f ca="1">VLOOKUP(1+ROW()-ROW($19:$19),'Facility Detail'!$C:$H,1+COLUMN()-COLUMN($B:$B),FALSE)</f>
        <v>30000</v>
      </c>
      <c r="G58" s="205">
        <f ca="1">VLOOKUP(1+ROW()-ROW($19:$19),'Facility Detail'!$C:$H,1+COLUMN()-COLUMN($B:$B),FALSE)</f>
        <v>0</v>
      </c>
    </row>
    <row r="59" spans="1:7" ht="15" outlineLevel="1" x14ac:dyDescent="0.25">
      <c r="A59" s="87" t="str">
        <v>Thousand Springs Wind Park, LLC - Thousand Springs Wind Park</v>
      </c>
      <c r="B59" s="87" t="s">
        <v>112</v>
      </c>
      <c r="C59" s="203">
        <f ca="1">VLOOKUP(1+ROW()-ROW($19:$19),'Facility Detail'!$C:$H,1+COLUMN()-COLUMN($B:$B),FALSE)</f>
        <v>0</v>
      </c>
      <c r="D59" s="204">
        <f ca="1">VLOOKUP(1+ROW()-ROW($19:$19),'Facility Detail'!$C:$H,1+COLUMN()-COLUMN($B:$B),FALSE)</f>
        <v>0</v>
      </c>
      <c r="E59" s="204">
        <f ca="1">VLOOKUP(1+ROW()-ROW($19:$19),'Facility Detail'!$C:$H,1+COLUMN()-COLUMN($B:$B),FALSE)</f>
        <v>0</v>
      </c>
      <c r="F59" s="204">
        <f ca="1">VLOOKUP(1+ROW()-ROW($19:$19),'Facility Detail'!$C:$H,1+COLUMN()-COLUMN($B:$B),FALSE)</f>
        <v>8681</v>
      </c>
      <c r="G59" s="205">
        <f ca="1">VLOOKUP(1+ROW()-ROW($19:$19),'Facility Detail'!$C:$H,1+COLUMN()-COLUMN($B:$B),FALSE)</f>
        <v>0</v>
      </c>
    </row>
    <row r="60" spans="1:7" ht="15" outlineLevel="1" x14ac:dyDescent="0.25">
      <c r="A60" s="87" t="str">
        <v>Top of the World - Top of the World</v>
      </c>
      <c r="B60" s="87" t="s">
        <v>107</v>
      </c>
      <c r="C60" s="203">
        <f ca="1">VLOOKUP(1+ROW()-ROW($19:$19),'Facility Detail'!$C:$H,1+COLUMN()-COLUMN($B:$B),FALSE)</f>
        <v>0</v>
      </c>
      <c r="D60" s="204">
        <f ca="1">VLOOKUP(1+ROW()-ROW($19:$19),'Facility Detail'!$C:$H,1+COLUMN()-COLUMN($B:$B),FALSE)</f>
        <v>0</v>
      </c>
      <c r="E60" s="204">
        <f ca="1">VLOOKUP(1+ROW()-ROW($19:$19),'Facility Detail'!$C:$H,1+COLUMN()-COLUMN($B:$B),FALSE)</f>
        <v>0</v>
      </c>
      <c r="F60" s="204">
        <f ca="1">VLOOKUP(1+ROW()-ROW($19:$19),'Facility Detail'!$C:$H,1+COLUMN()-COLUMN($B:$B),FALSE)</f>
        <v>21727</v>
      </c>
      <c r="G60" s="205">
        <f ca="1">VLOOKUP(1+ROW()-ROW($19:$19),'Facility Detail'!$C:$H,1+COLUMN()-COLUMN($B:$B),FALSE)</f>
        <v>0</v>
      </c>
    </row>
    <row r="61" spans="1:7" ht="15" outlineLevel="1" x14ac:dyDescent="0.25">
      <c r="A61" s="87" t="str">
        <v>Tuana Gulch Wind Park, LLC - Tuana Gulch Wind Park</v>
      </c>
      <c r="B61" s="87" t="s">
        <v>107</v>
      </c>
      <c r="C61" s="203">
        <f ca="1">VLOOKUP(1+ROW()-ROW($19:$19),'Facility Detail'!$C:$H,1+COLUMN()-COLUMN($B:$B),FALSE)</f>
        <v>0</v>
      </c>
      <c r="D61" s="204">
        <f ca="1">VLOOKUP(1+ROW()-ROW($19:$19),'Facility Detail'!$C:$H,1+COLUMN()-COLUMN($B:$B),FALSE)</f>
        <v>0</v>
      </c>
      <c r="E61" s="204">
        <f ca="1">VLOOKUP(1+ROW()-ROW($19:$19),'Facility Detail'!$C:$H,1+COLUMN()-COLUMN($B:$B),FALSE)</f>
        <v>0</v>
      </c>
      <c r="F61" s="204">
        <f ca="1">VLOOKUP(1+ROW()-ROW($19:$19),'Facility Detail'!$C:$H,1+COLUMN()-COLUMN($B:$B),FALSE)</f>
        <v>7912</v>
      </c>
      <c r="G61" s="205">
        <f ca="1">VLOOKUP(1+ROW()-ROW($19:$19),'Facility Detail'!$C:$H,1+COLUMN()-COLUMN($B:$B),FALSE)</f>
        <v>0</v>
      </c>
    </row>
    <row r="62" spans="1:7" ht="15" outlineLevel="1" x14ac:dyDescent="0.25">
      <c r="A62" s="87" t="str">
        <v>Tuana Springs Energy, LLC - Tuana Springs</v>
      </c>
      <c r="B62" s="87" t="s">
        <v>107</v>
      </c>
      <c r="C62" s="203">
        <f ca="1">VLOOKUP(1+ROW()-ROW($19:$19),'Facility Detail'!$C:$H,1+COLUMN()-COLUMN($B:$B),FALSE)</f>
        <v>0</v>
      </c>
      <c r="D62" s="204">
        <f ca="1">VLOOKUP(1+ROW()-ROW($19:$19),'Facility Detail'!$C:$H,1+COLUMN()-COLUMN($B:$B),FALSE)</f>
        <v>0</v>
      </c>
      <c r="E62" s="204">
        <f ca="1">VLOOKUP(1+ROW()-ROW($19:$19),'Facility Detail'!$C:$H,1+COLUMN()-COLUMN($B:$B),FALSE)</f>
        <v>0</v>
      </c>
      <c r="F62" s="204">
        <f ca="1">VLOOKUP(1+ROW()-ROW($19:$19),'Facility Detail'!$C:$H,1+COLUMN()-COLUMN($B:$B),FALSE)</f>
        <v>30105</v>
      </c>
      <c r="G62" s="205">
        <f ca="1">VLOOKUP(1+ROW()-ROW($19:$19),'Facility Detail'!$C:$H,1+COLUMN()-COLUMN($B:$B),FALSE)</f>
        <v>0</v>
      </c>
    </row>
    <row r="63" spans="1:7" ht="15" outlineLevel="1" x14ac:dyDescent="0.25">
      <c r="A63" s="87" t="str">
        <v>White Creek Wind 1 - White Creek</v>
      </c>
      <c r="B63" s="87" t="s">
        <v>107</v>
      </c>
      <c r="C63" s="203">
        <f ca="1">VLOOKUP(1+ROW()-ROW($19:$19),'Facility Detail'!$C:$H,1+COLUMN()-COLUMN($B:$B),FALSE)</f>
        <v>0</v>
      </c>
      <c r="D63" s="204">
        <f ca="1">VLOOKUP(1+ROW()-ROW($19:$19),'Facility Detail'!$C:$H,1+COLUMN()-COLUMN($B:$B),FALSE)</f>
        <v>0</v>
      </c>
      <c r="E63" s="204">
        <f ca="1">VLOOKUP(1+ROW()-ROW($19:$19),'Facility Detail'!$C:$H,1+COLUMN()-COLUMN($B:$B),FALSE)</f>
        <v>0</v>
      </c>
      <c r="F63" s="204">
        <f ca="1">VLOOKUP(1+ROW()-ROW($19:$19),'Facility Detail'!$C:$H,1+COLUMN()-COLUMN($B:$B),FALSE)</f>
        <v>3077</v>
      </c>
      <c r="G63" s="205">
        <f ca="1">VLOOKUP(1+ROW()-ROW($19:$19),'Facility Detail'!$C:$H,1+COLUMN()-COLUMN($B:$B),FALSE)</f>
        <v>0</v>
      </c>
    </row>
    <row r="64" spans="1:7" ht="15" outlineLevel="1" x14ac:dyDescent="0.25">
      <c r="A64" s="87">
        <v>0</v>
      </c>
      <c r="B64" s="87" t="s">
        <v>107</v>
      </c>
      <c r="C64" s="203">
        <f ca="1">VLOOKUP(1+ROW()-ROW($19:$19),'Facility Detail'!$C:$H,1+COLUMN()-COLUMN($B:$B),FALSE)</f>
        <v>0</v>
      </c>
      <c r="D64" s="204">
        <f ca="1">VLOOKUP(1+ROW()-ROW($19:$19),'Facility Detail'!$C:$H,1+COLUMN()-COLUMN($B:$B),FALSE)</f>
        <v>0</v>
      </c>
      <c r="E64" s="204">
        <f ca="1">VLOOKUP(1+ROW()-ROW($19:$19),'Facility Detail'!$C:$H,1+COLUMN()-COLUMN($B:$B),FALSE)</f>
        <v>0</v>
      </c>
      <c r="F64" s="204">
        <f ca="1">VLOOKUP(1+ROW()-ROW($19:$19),'Facility Detail'!$C:$H,1+COLUMN()-COLUMN($B:$B),FALSE)</f>
        <v>0</v>
      </c>
      <c r="G64" s="205">
        <f ca="1">VLOOKUP(1+ROW()-ROW($19:$19),'Facility Detail'!$C:$H,1+COLUMN()-COLUMN($B:$B),FALSE)</f>
        <v>0</v>
      </c>
    </row>
    <row r="65" spans="1:7" ht="15" outlineLevel="1" x14ac:dyDescent="0.25">
      <c r="A65" s="87">
        <v>0</v>
      </c>
      <c r="B65" s="87" t="s">
        <v>107</v>
      </c>
      <c r="C65" s="203">
        <f ca="1">VLOOKUP(1+ROW()-ROW($19:$19),'Facility Detail'!$C:$H,1+COLUMN()-COLUMN($B:$B),FALSE)</f>
        <v>0</v>
      </c>
      <c r="D65" s="204">
        <f ca="1">VLOOKUP(1+ROW()-ROW($19:$19),'Facility Detail'!$C:$H,1+COLUMN()-COLUMN($B:$B),FALSE)</f>
        <v>0</v>
      </c>
      <c r="E65" s="204">
        <f ca="1">VLOOKUP(1+ROW()-ROW($19:$19),'Facility Detail'!$C:$H,1+COLUMN()-COLUMN($B:$B),FALSE)</f>
        <v>0</v>
      </c>
      <c r="F65" s="204">
        <f ca="1">VLOOKUP(1+ROW()-ROW($19:$19),'Facility Detail'!$C:$H,1+COLUMN()-COLUMN($B:$B),FALSE)</f>
        <v>0</v>
      </c>
      <c r="G65" s="205">
        <f ca="1">VLOOKUP(1+ROW()-ROW($19:$19),'Facility Detail'!$C:$H,1+COLUMN()-COLUMN($B:$B),FALSE)</f>
        <v>0</v>
      </c>
    </row>
    <row r="66" spans="1:7" ht="15" outlineLevel="1" x14ac:dyDescent="0.25">
      <c r="A66" s="87">
        <v>0</v>
      </c>
      <c r="B66" s="87"/>
      <c r="C66" s="203">
        <f ca="1">VLOOKUP(1+ROW()-ROW($19:$19),'Facility Detail'!$C:$H,1+COLUMN()-COLUMN($B:$B),FALSE)</f>
        <v>0</v>
      </c>
      <c r="D66" s="204">
        <f ca="1">VLOOKUP(1+ROW()-ROW($19:$19),'Facility Detail'!$C:$H,1+COLUMN()-COLUMN($B:$B),FALSE)</f>
        <v>0</v>
      </c>
      <c r="E66" s="204">
        <f ca="1">VLOOKUP(1+ROW()-ROW($19:$19),'Facility Detail'!$C:$H,1+COLUMN()-COLUMN($B:$B),FALSE)</f>
        <v>0</v>
      </c>
      <c r="F66" s="204">
        <f ca="1">VLOOKUP(1+ROW()-ROW($19:$19),'Facility Detail'!$C:$H,1+COLUMN()-COLUMN($B:$B),FALSE)</f>
        <v>0</v>
      </c>
      <c r="G66" s="205">
        <f ca="1">VLOOKUP(1+ROW()-ROW($19:$19),'Facility Detail'!$C:$H,1+COLUMN()-COLUMN($B:$B),FALSE)</f>
        <v>0</v>
      </c>
    </row>
    <row r="67" spans="1:7" ht="15" outlineLevel="1" x14ac:dyDescent="0.25">
      <c r="A67" s="87">
        <v>0</v>
      </c>
      <c r="B67" s="87"/>
      <c r="C67" s="203">
        <f ca="1">VLOOKUP(1+ROW()-ROW($19:$19),'Facility Detail'!$C:$H,1+COLUMN()-COLUMN($B:$B),FALSE)</f>
        <v>0</v>
      </c>
      <c r="D67" s="204">
        <f ca="1">VLOOKUP(1+ROW()-ROW($19:$19),'Facility Detail'!$C:$H,1+COLUMN()-COLUMN($B:$B),FALSE)</f>
        <v>0</v>
      </c>
      <c r="E67" s="204">
        <f ca="1">VLOOKUP(1+ROW()-ROW($19:$19),'Facility Detail'!$C:$H,1+COLUMN()-COLUMN($B:$B),FALSE)</f>
        <v>0</v>
      </c>
      <c r="F67" s="204">
        <f ca="1">VLOOKUP(1+ROW()-ROW($19:$19),'Facility Detail'!$C:$H,1+COLUMN()-COLUMN($B:$B),FALSE)</f>
        <v>0</v>
      </c>
      <c r="G67" s="205">
        <f ca="1">VLOOKUP(1+ROW()-ROW($19:$19),'Facility Detail'!$C:$H,1+COLUMN()-COLUMN($B:$B),FALSE)</f>
        <v>0</v>
      </c>
    </row>
    <row r="68" spans="1:7" ht="15" outlineLevel="1" x14ac:dyDescent="0.25">
      <c r="A68" s="87" t="str">
        <v>INSERT ABOVE THIS LINE</v>
      </c>
      <c r="B68" s="87"/>
      <c r="C68" s="203"/>
      <c r="D68" s="204"/>
      <c r="E68" s="204"/>
      <c r="F68" s="204"/>
      <c r="G68" s="205"/>
    </row>
    <row r="69" spans="1:7" ht="15" outlineLevel="1" x14ac:dyDescent="0.25">
      <c r="A69" s="87" t="e">
        <v>#N/A</v>
      </c>
      <c r="B69" s="87"/>
      <c r="C69" s="203"/>
      <c r="D69" s="204"/>
      <c r="E69" s="204"/>
      <c r="F69" s="204"/>
      <c r="G69" s="205"/>
    </row>
    <row r="70" spans="1:7" ht="15" outlineLevel="1" x14ac:dyDescent="0.25">
      <c r="A70" s="223" t="e">
        <v>#N/A</v>
      </c>
      <c r="B70" s="223"/>
      <c r="C70" s="224"/>
      <c r="D70" s="224"/>
      <c r="E70" s="224"/>
      <c r="F70" s="224"/>
      <c r="G70" s="224"/>
    </row>
    <row r="71" spans="1:7" ht="15.75" outlineLevel="1" x14ac:dyDescent="0.25">
      <c r="C71" s="98">
        <f t="shared" ref="C71:G71" ca="1" si="3">SUM(C19:C69)</f>
        <v>1910216.5999999999</v>
      </c>
      <c r="D71" s="98">
        <f t="shared" ca="1" si="3"/>
        <v>1896746</v>
      </c>
      <c r="E71" s="98">
        <f t="shared" ca="1" si="3"/>
        <v>1890611.9999999998</v>
      </c>
      <c r="F71" s="98">
        <f t="shared" ca="1" si="3"/>
        <v>3114782.3000000003</v>
      </c>
      <c r="G71" s="98">
        <f t="shared" ca="1" si="3"/>
        <v>4094497.2054379676</v>
      </c>
    </row>
    <row r="72" spans="1:7" x14ac:dyDescent="0.2">
      <c r="B72" s="226" t="s">
        <v>231</v>
      </c>
      <c r="C72" s="227">
        <f ca="1">C14-C71</f>
        <v>0</v>
      </c>
      <c r="D72" s="227">
        <f t="shared" ref="D72:G72" ca="1" si="4">D14-D71</f>
        <v>0</v>
      </c>
      <c r="E72" s="227">
        <f t="shared" ca="1" si="4"/>
        <v>0</v>
      </c>
      <c r="F72" s="227">
        <f t="shared" ca="1" si="4"/>
        <v>0</v>
      </c>
      <c r="G72" s="227">
        <f t="shared" ca="1" si="4"/>
        <v>0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1D763B60F2F94691671F177B693F20" ma:contentTypeVersion="44" ma:contentTypeDescription="" ma:contentTypeScope="" ma:versionID="6990598cad3759fe9f4da5af9075eff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2021-06-01T07:00:00+00:00</OpenedDate>
    <Date1 xmlns="dc463f71-b30c-4ab2-9473-d307f9d35888">2021-06-01T07:00:00+00:00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210411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45AA785-C2B0-4CC8-8429-19A635152C5D}"/>
</file>

<file path=customXml/itemProps2.xml><?xml version="1.0" encoding="utf-8"?>
<ds:datastoreItem xmlns:ds="http://schemas.openxmlformats.org/officeDocument/2006/customXml" ds:itemID="{4F426CE5-D4AB-4ECF-A56A-EC27F10011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0379F7-7E7E-45A9-8EEF-173167518629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3547A3E9-22A9-4FC0-AFA5-F1B3AE574A5A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3C041B08-5FB0-4E9D-86EE-971433051217}"/>
</file>

<file path=customXml/itemProps6.xml><?xml version="1.0" encoding="utf-8"?>
<ds:datastoreItem xmlns:ds="http://schemas.openxmlformats.org/officeDocument/2006/customXml" ds:itemID="{F7CA2EEB-7738-4ED9-B419-A31A19063359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Cover</vt:lpstr>
      <vt:lpstr>Instructions</vt:lpstr>
      <vt:lpstr>Compliance Summary</vt:lpstr>
      <vt:lpstr>Facility Detail</vt:lpstr>
      <vt:lpstr>Generation Rollup</vt:lpstr>
      <vt:lpstr>ApprenticeshipBonus</vt:lpstr>
      <vt:lpstr>Facilities</vt:lpstr>
      <vt:lpstr>FacilityTypes</vt:lpstr>
      <vt:lpstr>LaborBonus</vt:lpstr>
      <vt:lpstr>'Compliance Summary'!Print_Area</vt:lpstr>
      <vt:lpstr>'Facility Detail'!Print_Area</vt:lpstr>
      <vt:lpstr>'Generation Rollup'!Print_Area</vt:lpstr>
      <vt:lpstr>Instructions!Print_Area</vt:lpstr>
      <vt:lpstr>StartYear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Watts</dc:creator>
  <cp:lastModifiedBy>Lori Traore</cp:lastModifiedBy>
  <cp:lastPrinted>2020-06-17T02:49:06Z</cp:lastPrinted>
  <dcterms:created xsi:type="dcterms:W3CDTF">2011-06-02T16:07:19Z</dcterms:created>
  <dcterms:modified xsi:type="dcterms:W3CDTF">2021-06-01T21:29:58Z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Description">
    <vt:lpwstr>Compliance Reporting Tool</vt:lpwstr>
  </property>
  <property fmtid="{D5CDD505-2E9C-101B-9397-08002B2CF9AE}" pid="3" name="EFilingId">
    <vt:lpwstr>853.000000000000</vt:lpwstr>
  </property>
  <property fmtid="{D5CDD505-2E9C-101B-9397-08002B2CF9AE}" pid="4" name="_docset_NoMedatataSyncRequired">
    <vt:lpwstr>False</vt:lpwstr>
  </property>
  <property fmtid="{D5CDD505-2E9C-101B-9397-08002B2CF9AE}" pid="5" name="ContentTypeId">
    <vt:lpwstr>0x0101006E56B4D1795A2E4DB2F0B01679ED314A00441D763B60F2F94691671F177B693F20</vt:lpwstr>
  </property>
  <property fmtid="{D5CDD505-2E9C-101B-9397-08002B2CF9AE}" pid="6" name="IsEFSEC">
    <vt:bool>false</vt:bool>
  </property>
</Properties>
</file>