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515" yWindow="75" windowWidth="19020" windowHeight="8595"/>
  </bookViews>
  <sheets>
    <sheet name="ITC Summary" sheetId="1" r:id="rId1"/>
    <sheet name="Nine Mile" sheetId="4" state="hidden" r:id="rId2"/>
  </sheets>
  <definedNames>
    <definedName name="_xlnm.Print_Area" localSheetId="0">'ITC Summary'!$A$1:$I$106</definedName>
    <definedName name="_xlnm.Print_Area" localSheetId="1">'Nine Mile'!$B:$P</definedName>
  </definedNames>
  <calcPr calcId="152511"/>
</workbook>
</file>

<file path=xl/calcChain.xml><?xml version="1.0" encoding="utf-8"?>
<calcChain xmlns="http://schemas.openxmlformats.org/spreadsheetml/2006/main">
  <c r="C104" i="1" l="1"/>
  <c r="G31" i="1" l="1"/>
  <c r="G45" i="1" s="1"/>
  <c r="G30" i="1"/>
  <c r="H10" i="1"/>
  <c r="G6" i="1"/>
  <c r="G93" i="1" l="1"/>
  <c r="G69" i="1"/>
  <c r="G84" i="1"/>
  <c r="G41" i="1"/>
  <c r="G34" i="1"/>
  <c r="G81" i="1"/>
  <c r="G37" i="1"/>
  <c r="G92" i="1"/>
  <c r="G68" i="1"/>
  <c r="G89" i="1"/>
  <c r="G77" i="1"/>
  <c r="G57" i="1"/>
  <c r="G85" i="1"/>
  <c r="G76" i="1"/>
  <c r="G53" i="1"/>
  <c r="G73" i="1"/>
  <c r="G65" i="1"/>
  <c r="G49" i="1"/>
  <c r="G33" i="1"/>
  <c r="G88" i="1"/>
  <c r="G80" i="1"/>
  <c r="G72" i="1"/>
  <c r="G61" i="1"/>
  <c r="G64" i="1"/>
  <c r="G60" i="1"/>
  <c r="G56" i="1"/>
  <c r="G52" i="1"/>
  <c r="G48" i="1"/>
  <c r="G44" i="1"/>
  <c r="G40" i="1"/>
  <c r="G36" i="1"/>
  <c r="G32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91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F32" i="1" l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31" i="1"/>
  <c r="D9" i="1"/>
  <c r="E9" i="1"/>
  <c r="F9" i="1"/>
  <c r="C88" i="1"/>
  <c r="C9" i="1"/>
  <c r="C105" i="1" l="1"/>
  <c r="H95" i="1" l="1"/>
  <c r="H96" i="1"/>
  <c r="H97" i="1"/>
  <c r="H98" i="1"/>
  <c r="G8" i="1"/>
  <c r="H8" i="1" l="1"/>
  <c r="G9" i="1"/>
  <c r="H93" i="1"/>
  <c r="H94" i="1"/>
  <c r="I58" i="4"/>
  <c r="I57" i="4"/>
  <c r="I55" i="4"/>
  <c r="F39" i="4"/>
  <c r="F38" i="4"/>
  <c r="I26" i="4"/>
  <c r="E20" i="4"/>
  <c r="I17" i="4"/>
  <c r="I6" i="4"/>
  <c r="H92" i="1" l="1"/>
  <c r="F21" i="4"/>
  <c r="E30" i="4"/>
  <c r="I7" i="4"/>
  <c r="F30" i="4"/>
  <c r="F19" i="4"/>
  <c r="G100" i="1" l="1"/>
  <c r="G101" i="1" s="1"/>
  <c r="I8" i="4"/>
  <c r="I9" i="4"/>
  <c r="I12" i="4" s="1"/>
  <c r="E37" i="4"/>
  <c r="F37" i="4"/>
  <c r="F40" i="4" s="1"/>
  <c r="F33" i="4"/>
  <c r="E23" i="4"/>
  <c r="F54" i="4" s="1"/>
  <c r="E31" i="4"/>
  <c r="E102" i="1"/>
  <c r="C8" i="1"/>
  <c r="C22" i="1" s="1"/>
  <c r="E7" i="1"/>
  <c r="D7" i="1"/>
  <c r="F8" i="1"/>
  <c r="C54" i="4" l="1"/>
  <c r="E38" i="4"/>
  <c r="F119" i="4"/>
  <c r="N120" i="4" s="1"/>
  <c r="F115" i="4"/>
  <c r="N116" i="4" s="1"/>
  <c r="F111" i="4"/>
  <c r="N112" i="4" s="1"/>
  <c r="F107" i="4"/>
  <c r="N108" i="4" s="1"/>
  <c r="F103" i="4"/>
  <c r="N104" i="4" s="1"/>
  <c r="F99" i="4"/>
  <c r="N100" i="4" s="1"/>
  <c r="F121" i="4"/>
  <c r="N122" i="4" s="1"/>
  <c r="F117" i="4"/>
  <c r="N118" i="4" s="1"/>
  <c r="F113" i="4"/>
  <c r="N114" i="4" s="1"/>
  <c r="F109" i="4"/>
  <c r="N110" i="4" s="1"/>
  <c r="F105" i="4"/>
  <c r="N106" i="4" s="1"/>
  <c r="F101" i="4"/>
  <c r="N102" i="4" s="1"/>
  <c r="F97" i="4"/>
  <c r="N98" i="4" s="1"/>
  <c r="F118" i="4"/>
  <c r="N119" i="4" s="1"/>
  <c r="F110" i="4"/>
  <c r="N111" i="4" s="1"/>
  <c r="F102" i="4"/>
  <c r="N103" i="4" s="1"/>
  <c r="F75" i="4"/>
  <c r="N76" i="4" s="1"/>
  <c r="F71" i="4"/>
  <c r="N72" i="4" s="1"/>
  <c r="F67" i="4"/>
  <c r="N68" i="4" s="1"/>
  <c r="F63" i="4"/>
  <c r="N64" i="4" s="1"/>
  <c r="F122" i="4"/>
  <c r="N123" i="4" s="1"/>
  <c r="F114" i="4"/>
  <c r="N115" i="4" s="1"/>
  <c r="F106" i="4"/>
  <c r="N107" i="4" s="1"/>
  <c r="F98" i="4"/>
  <c r="N99" i="4" s="1"/>
  <c r="F77" i="4"/>
  <c r="N78" i="4" s="1"/>
  <c r="F73" i="4"/>
  <c r="N74" i="4" s="1"/>
  <c r="F69" i="4"/>
  <c r="N70" i="4" s="1"/>
  <c r="F65" i="4"/>
  <c r="N66" i="4" s="1"/>
  <c r="F61" i="4"/>
  <c r="N62" i="4" s="1"/>
  <c r="F56" i="4"/>
  <c r="F120" i="4"/>
  <c r="N121" i="4" s="1"/>
  <c r="F112" i="4"/>
  <c r="N113" i="4" s="1"/>
  <c r="F100" i="4"/>
  <c r="N101" i="4" s="1"/>
  <c r="F95" i="4"/>
  <c r="N96" i="4" s="1"/>
  <c r="F91" i="4"/>
  <c r="N92" i="4" s="1"/>
  <c r="F88" i="4"/>
  <c r="N89" i="4" s="1"/>
  <c r="F86" i="4"/>
  <c r="N87" i="4" s="1"/>
  <c r="F84" i="4"/>
  <c r="N85" i="4" s="1"/>
  <c r="F82" i="4"/>
  <c r="N83" i="4" s="1"/>
  <c r="F80" i="4"/>
  <c r="N81" i="4" s="1"/>
  <c r="F78" i="4"/>
  <c r="N79" i="4" s="1"/>
  <c r="F70" i="4"/>
  <c r="N71" i="4" s="1"/>
  <c r="F62" i="4"/>
  <c r="N63" i="4" s="1"/>
  <c r="F59" i="4"/>
  <c r="F116" i="4"/>
  <c r="N117" i="4" s="1"/>
  <c r="F96" i="4"/>
  <c r="N97" i="4" s="1"/>
  <c r="F92" i="4"/>
  <c r="N93" i="4" s="1"/>
  <c r="F76" i="4"/>
  <c r="N77" i="4" s="1"/>
  <c r="F68" i="4"/>
  <c r="N69" i="4" s="1"/>
  <c r="F60" i="4"/>
  <c r="N61" i="4" s="1"/>
  <c r="F108" i="4"/>
  <c r="N109" i="4" s="1"/>
  <c r="F93" i="4"/>
  <c r="N94" i="4" s="1"/>
  <c r="F89" i="4"/>
  <c r="N90" i="4" s="1"/>
  <c r="F87" i="4"/>
  <c r="N88" i="4" s="1"/>
  <c r="F85" i="4"/>
  <c r="N86" i="4" s="1"/>
  <c r="F83" i="4"/>
  <c r="N84" i="4" s="1"/>
  <c r="F81" i="4"/>
  <c r="N82" i="4" s="1"/>
  <c r="F79" i="4"/>
  <c r="N80" i="4" s="1"/>
  <c r="F74" i="4"/>
  <c r="N75" i="4" s="1"/>
  <c r="F66" i="4"/>
  <c r="N67" i="4" s="1"/>
  <c r="F104" i="4"/>
  <c r="N105" i="4" s="1"/>
  <c r="F94" i="4"/>
  <c r="N95" i="4" s="1"/>
  <c r="F90" i="4"/>
  <c r="N91" i="4" s="1"/>
  <c r="F72" i="4"/>
  <c r="N73" i="4" s="1"/>
  <c r="F64" i="4"/>
  <c r="N65" i="4" s="1"/>
  <c r="I23" i="4"/>
  <c r="I15" i="4"/>
  <c r="I10" i="4"/>
  <c r="C12" i="1"/>
  <c r="C17" i="1"/>
  <c r="C16" i="1"/>
  <c r="C26" i="1"/>
  <c r="C14" i="1"/>
  <c r="C25" i="1"/>
  <c r="C13" i="1"/>
  <c r="C18" i="1"/>
  <c r="C24" i="1"/>
  <c r="C21" i="1"/>
  <c r="C20" i="1"/>
  <c r="C15" i="1"/>
  <c r="C19" i="1"/>
  <c r="C23" i="1"/>
  <c r="H12" i="1"/>
  <c r="F16" i="1"/>
  <c r="F17" i="1"/>
  <c r="F15" i="1"/>
  <c r="F21" i="1"/>
  <c r="F20" i="1"/>
  <c r="F19" i="1"/>
  <c r="F18" i="1"/>
  <c r="F26" i="1"/>
  <c r="F25" i="1"/>
  <c r="F24" i="1"/>
  <c r="F23" i="1"/>
  <c r="F22" i="1"/>
  <c r="E8" i="1"/>
  <c r="D8" i="1"/>
  <c r="F24" i="4" l="1"/>
  <c r="K16" i="4" s="1"/>
  <c r="K17" i="4" s="1"/>
  <c r="I18" i="4"/>
  <c r="I24" i="4" s="1"/>
  <c r="I25" i="4"/>
  <c r="I27" i="4" s="1"/>
  <c r="F26" i="4" s="1"/>
  <c r="F124" i="4"/>
  <c r="F125" i="4" s="1"/>
  <c r="N60" i="4"/>
  <c r="N59" i="4"/>
  <c r="F47" i="4" s="1"/>
  <c r="C121" i="4"/>
  <c r="K122" i="4" s="1"/>
  <c r="C117" i="4"/>
  <c r="K118" i="4" s="1"/>
  <c r="C113" i="4"/>
  <c r="K114" i="4" s="1"/>
  <c r="C109" i="4"/>
  <c r="K110" i="4" s="1"/>
  <c r="C105" i="4"/>
  <c r="K106" i="4" s="1"/>
  <c r="C101" i="4"/>
  <c r="K102" i="4" s="1"/>
  <c r="C97" i="4"/>
  <c r="K98" i="4" s="1"/>
  <c r="C119" i="4"/>
  <c r="K120" i="4" s="1"/>
  <c r="C115" i="4"/>
  <c r="K116" i="4" s="1"/>
  <c r="C111" i="4"/>
  <c r="K112" i="4" s="1"/>
  <c r="C107" i="4"/>
  <c r="K108" i="4" s="1"/>
  <c r="C103" i="4"/>
  <c r="K104" i="4" s="1"/>
  <c r="C99" i="4"/>
  <c r="K100" i="4" s="1"/>
  <c r="C96" i="4"/>
  <c r="K97" i="4" s="1"/>
  <c r="C95" i="4"/>
  <c r="K96" i="4" s="1"/>
  <c r="C94" i="4"/>
  <c r="K95" i="4" s="1"/>
  <c r="C93" i="4"/>
  <c r="K94" i="4" s="1"/>
  <c r="C92" i="4"/>
  <c r="K93" i="4" s="1"/>
  <c r="C91" i="4"/>
  <c r="K92" i="4" s="1"/>
  <c r="C90" i="4"/>
  <c r="K91" i="4" s="1"/>
  <c r="C120" i="4"/>
  <c r="K121" i="4" s="1"/>
  <c r="C112" i="4"/>
  <c r="K113" i="4" s="1"/>
  <c r="C104" i="4"/>
  <c r="K105" i="4" s="1"/>
  <c r="C89" i="4"/>
  <c r="K90" i="4" s="1"/>
  <c r="C88" i="4"/>
  <c r="K89" i="4" s="1"/>
  <c r="C87" i="4"/>
  <c r="K88" i="4" s="1"/>
  <c r="C86" i="4"/>
  <c r="K87" i="4" s="1"/>
  <c r="C85" i="4"/>
  <c r="K86" i="4" s="1"/>
  <c r="C84" i="4"/>
  <c r="K85" i="4" s="1"/>
  <c r="C83" i="4"/>
  <c r="K84" i="4" s="1"/>
  <c r="C82" i="4"/>
  <c r="K83" i="4" s="1"/>
  <c r="C81" i="4"/>
  <c r="K82" i="4" s="1"/>
  <c r="C80" i="4"/>
  <c r="K81" i="4" s="1"/>
  <c r="C79" i="4"/>
  <c r="K80" i="4" s="1"/>
  <c r="C78" i="4"/>
  <c r="K79" i="4" s="1"/>
  <c r="C74" i="4"/>
  <c r="C70" i="4"/>
  <c r="C66" i="4"/>
  <c r="C62" i="4"/>
  <c r="C59" i="4"/>
  <c r="H54" i="4"/>
  <c r="C116" i="4"/>
  <c r="K117" i="4" s="1"/>
  <c r="C108" i="4"/>
  <c r="K109" i="4" s="1"/>
  <c r="C100" i="4"/>
  <c r="K101" i="4" s="1"/>
  <c r="C76" i="4"/>
  <c r="C72" i="4"/>
  <c r="C68" i="4"/>
  <c r="C64" i="4"/>
  <c r="C60" i="4"/>
  <c r="C122" i="4"/>
  <c r="K123" i="4" s="1"/>
  <c r="C114" i="4"/>
  <c r="K115" i="4" s="1"/>
  <c r="C110" i="4"/>
  <c r="K111" i="4" s="1"/>
  <c r="C102" i="4"/>
  <c r="K103" i="4" s="1"/>
  <c r="C77" i="4"/>
  <c r="C69" i="4"/>
  <c r="C61" i="4"/>
  <c r="C98" i="4"/>
  <c r="K99" i="4" s="1"/>
  <c r="C75" i="4"/>
  <c r="C67" i="4"/>
  <c r="C73" i="4"/>
  <c r="C65" i="4"/>
  <c r="C118" i="4"/>
  <c r="K119" i="4" s="1"/>
  <c r="C106" i="4"/>
  <c r="K107" i="4" s="1"/>
  <c r="C71" i="4"/>
  <c r="C63" i="4"/>
  <c r="C56" i="4"/>
  <c r="D18" i="1"/>
  <c r="C27" i="1"/>
  <c r="C30" i="1" s="1"/>
  <c r="E24" i="1"/>
  <c r="D13" i="1"/>
  <c r="H13" i="1" s="1"/>
  <c r="E23" i="1"/>
  <c r="E22" i="1"/>
  <c r="E25" i="1"/>
  <c r="D21" i="1"/>
  <c r="F27" i="1"/>
  <c r="D16" i="1"/>
  <c r="D23" i="1"/>
  <c r="H23" i="1" s="1"/>
  <c r="E14" i="1"/>
  <c r="E18" i="1"/>
  <c r="H18" i="1" s="1"/>
  <c r="E21" i="1"/>
  <c r="E20" i="1"/>
  <c r="D26" i="1"/>
  <c r="E19" i="1"/>
  <c r="E15" i="1"/>
  <c r="E17" i="1"/>
  <c r="D17" i="1"/>
  <c r="D24" i="1"/>
  <c r="D20" i="1"/>
  <c r="D19" i="1"/>
  <c r="E26" i="1"/>
  <c r="H26" i="1" s="1"/>
  <c r="E16" i="1"/>
  <c r="D14" i="1"/>
  <c r="H14" i="1" s="1"/>
  <c r="D15" i="1"/>
  <c r="D22" i="1"/>
  <c r="D25" i="1"/>
  <c r="H25" i="1" s="1"/>
  <c r="H91" i="1" l="1"/>
  <c r="F30" i="1"/>
  <c r="H22" i="1"/>
  <c r="H19" i="1"/>
  <c r="K72" i="4"/>
  <c r="K74" i="4"/>
  <c r="K61" i="4"/>
  <c r="K77" i="4"/>
  <c r="H122" i="4"/>
  <c r="P123" i="4" s="1"/>
  <c r="H121" i="4"/>
  <c r="P122" i="4" s="1"/>
  <c r="H120" i="4"/>
  <c r="P121" i="4" s="1"/>
  <c r="H119" i="4"/>
  <c r="P120" i="4" s="1"/>
  <c r="H118" i="4"/>
  <c r="P119" i="4" s="1"/>
  <c r="H117" i="4"/>
  <c r="P118" i="4" s="1"/>
  <c r="H116" i="4"/>
  <c r="P117" i="4" s="1"/>
  <c r="H115" i="4"/>
  <c r="P116" i="4" s="1"/>
  <c r="H114" i="4"/>
  <c r="P115" i="4" s="1"/>
  <c r="H113" i="4"/>
  <c r="P114" i="4" s="1"/>
  <c r="H112" i="4"/>
  <c r="P113" i="4" s="1"/>
  <c r="H111" i="4"/>
  <c r="P112" i="4" s="1"/>
  <c r="H110" i="4"/>
  <c r="P111" i="4" s="1"/>
  <c r="H109" i="4"/>
  <c r="P110" i="4" s="1"/>
  <c r="H108" i="4"/>
  <c r="P109" i="4" s="1"/>
  <c r="H107" i="4"/>
  <c r="P108" i="4" s="1"/>
  <c r="H106" i="4"/>
  <c r="P107" i="4" s="1"/>
  <c r="H105" i="4"/>
  <c r="P106" i="4" s="1"/>
  <c r="H104" i="4"/>
  <c r="P105" i="4" s="1"/>
  <c r="H103" i="4"/>
  <c r="P104" i="4" s="1"/>
  <c r="H102" i="4"/>
  <c r="P103" i="4" s="1"/>
  <c r="H101" i="4"/>
  <c r="P102" i="4" s="1"/>
  <c r="H100" i="4"/>
  <c r="P101" i="4" s="1"/>
  <c r="H99" i="4"/>
  <c r="P100" i="4" s="1"/>
  <c r="H98" i="4"/>
  <c r="P99" i="4" s="1"/>
  <c r="H97" i="4"/>
  <c r="P98" i="4" s="1"/>
  <c r="H96" i="4"/>
  <c r="P97" i="4" s="1"/>
  <c r="H95" i="4"/>
  <c r="P96" i="4" s="1"/>
  <c r="H93" i="4"/>
  <c r="P94" i="4" s="1"/>
  <c r="H91" i="4"/>
  <c r="P92" i="4" s="1"/>
  <c r="H89" i="4"/>
  <c r="P90" i="4" s="1"/>
  <c r="H77" i="4"/>
  <c r="P78" i="4" s="1"/>
  <c r="H73" i="4"/>
  <c r="P74" i="4" s="1"/>
  <c r="H69" i="4"/>
  <c r="P70" i="4" s="1"/>
  <c r="H65" i="4"/>
  <c r="P66" i="4" s="1"/>
  <c r="H61" i="4"/>
  <c r="P62" i="4" s="1"/>
  <c r="H56" i="4"/>
  <c r="H94" i="4"/>
  <c r="P95" i="4" s="1"/>
  <c r="H92" i="4"/>
  <c r="P93" i="4" s="1"/>
  <c r="H90" i="4"/>
  <c r="P91" i="4" s="1"/>
  <c r="H75" i="4"/>
  <c r="P76" i="4" s="1"/>
  <c r="H71" i="4"/>
  <c r="P72" i="4" s="1"/>
  <c r="H67" i="4"/>
  <c r="P68" i="4" s="1"/>
  <c r="H63" i="4"/>
  <c r="P64" i="4" s="1"/>
  <c r="H76" i="4"/>
  <c r="P77" i="4" s="1"/>
  <c r="H68" i="4"/>
  <c r="P69" i="4" s="1"/>
  <c r="H60" i="4"/>
  <c r="P61" i="4" s="1"/>
  <c r="H87" i="4"/>
  <c r="P88" i="4" s="1"/>
  <c r="H85" i="4"/>
  <c r="P86" i="4" s="1"/>
  <c r="H83" i="4"/>
  <c r="P84" i="4" s="1"/>
  <c r="H81" i="4"/>
  <c r="P82" i="4" s="1"/>
  <c r="H79" i="4"/>
  <c r="P80" i="4" s="1"/>
  <c r="H74" i="4"/>
  <c r="P75" i="4" s="1"/>
  <c r="H66" i="4"/>
  <c r="P67" i="4" s="1"/>
  <c r="H72" i="4"/>
  <c r="P73" i="4" s="1"/>
  <c r="H64" i="4"/>
  <c r="P65" i="4" s="1"/>
  <c r="H88" i="4"/>
  <c r="P89" i="4" s="1"/>
  <c r="H86" i="4"/>
  <c r="P87" i="4" s="1"/>
  <c r="H84" i="4"/>
  <c r="P85" i="4" s="1"/>
  <c r="H82" i="4"/>
  <c r="P83" i="4" s="1"/>
  <c r="H80" i="4"/>
  <c r="P81" i="4" s="1"/>
  <c r="H78" i="4"/>
  <c r="P79" i="4" s="1"/>
  <c r="H70" i="4"/>
  <c r="P71" i="4" s="1"/>
  <c r="H62" i="4"/>
  <c r="P63" i="4" s="1"/>
  <c r="H59" i="4"/>
  <c r="K71" i="4"/>
  <c r="E32" i="4"/>
  <c r="E25" i="4"/>
  <c r="E54" i="4" s="1"/>
  <c r="K62" i="4"/>
  <c r="K65" i="4"/>
  <c r="C124" i="4"/>
  <c r="K59" i="4"/>
  <c r="E43" i="4" s="1"/>
  <c r="K60" i="4"/>
  <c r="K75" i="4"/>
  <c r="K68" i="4"/>
  <c r="K70" i="4"/>
  <c r="K69" i="4"/>
  <c r="K63" i="4"/>
  <c r="K64" i="4"/>
  <c r="K66" i="4"/>
  <c r="K76" i="4"/>
  <c r="K78" i="4"/>
  <c r="K73" i="4"/>
  <c r="K67" i="4"/>
  <c r="F29" i="1"/>
  <c r="F100" i="1" s="1"/>
  <c r="F101" i="1" s="1"/>
  <c r="F28" i="1"/>
  <c r="C28" i="1"/>
  <c r="C29" i="1"/>
  <c r="H15" i="1"/>
  <c r="H20" i="1"/>
  <c r="E27" i="1"/>
  <c r="H24" i="1"/>
  <c r="H17" i="1"/>
  <c r="H21" i="1"/>
  <c r="D27" i="1"/>
  <c r="H16" i="1"/>
  <c r="H89" i="1" l="1"/>
  <c r="D30" i="1"/>
  <c r="H90" i="1"/>
  <c r="E30" i="1"/>
  <c r="D54" i="4"/>
  <c r="E39" i="4"/>
  <c r="E40" i="4" s="1"/>
  <c r="G40" i="4" s="1"/>
  <c r="G41" i="4" s="1"/>
  <c r="E33" i="4"/>
  <c r="G33" i="4" s="1"/>
  <c r="G34" i="4" s="1"/>
  <c r="C125" i="4"/>
  <c r="E120" i="4"/>
  <c r="M121" i="4" s="1"/>
  <c r="E116" i="4"/>
  <c r="M117" i="4" s="1"/>
  <c r="E112" i="4"/>
  <c r="M113" i="4" s="1"/>
  <c r="E108" i="4"/>
  <c r="M109" i="4" s="1"/>
  <c r="E104" i="4"/>
  <c r="M105" i="4" s="1"/>
  <c r="E100" i="4"/>
  <c r="M101" i="4" s="1"/>
  <c r="E96" i="4"/>
  <c r="M97" i="4" s="1"/>
  <c r="E95" i="4"/>
  <c r="M96" i="4" s="1"/>
  <c r="E94" i="4"/>
  <c r="M95" i="4" s="1"/>
  <c r="E93" i="4"/>
  <c r="M94" i="4" s="1"/>
  <c r="E92" i="4"/>
  <c r="M93" i="4" s="1"/>
  <c r="E91" i="4"/>
  <c r="M92" i="4" s="1"/>
  <c r="E90" i="4"/>
  <c r="M91" i="4" s="1"/>
  <c r="E122" i="4"/>
  <c r="M123" i="4" s="1"/>
  <c r="E118" i="4"/>
  <c r="M119" i="4" s="1"/>
  <c r="E114" i="4"/>
  <c r="M115" i="4" s="1"/>
  <c r="E110" i="4"/>
  <c r="M111" i="4" s="1"/>
  <c r="E106" i="4"/>
  <c r="M107" i="4" s="1"/>
  <c r="E102" i="4"/>
  <c r="M103" i="4" s="1"/>
  <c r="E98" i="4"/>
  <c r="M99" i="4" s="1"/>
  <c r="E119" i="4"/>
  <c r="M120" i="4" s="1"/>
  <c r="E111" i="4"/>
  <c r="M112" i="4" s="1"/>
  <c r="E103" i="4"/>
  <c r="M104" i="4" s="1"/>
  <c r="E76" i="4"/>
  <c r="M77" i="4" s="1"/>
  <c r="E72" i="4"/>
  <c r="M73" i="4" s="1"/>
  <c r="E68" i="4"/>
  <c r="M69" i="4" s="1"/>
  <c r="E64" i="4"/>
  <c r="M65" i="4" s="1"/>
  <c r="E60" i="4"/>
  <c r="M61" i="4" s="1"/>
  <c r="E115" i="4"/>
  <c r="M116" i="4" s="1"/>
  <c r="E107" i="4"/>
  <c r="M108" i="4" s="1"/>
  <c r="E99" i="4"/>
  <c r="M100" i="4" s="1"/>
  <c r="E89" i="4"/>
  <c r="M90" i="4" s="1"/>
  <c r="E88" i="4"/>
  <c r="M89" i="4" s="1"/>
  <c r="E87" i="4"/>
  <c r="M88" i="4" s="1"/>
  <c r="E86" i="4"/>
  <c r="M87" i="4" s="1"/>
  <c r="E85" i="4"/>
  <c r="M86" i="4" s="1"/>
  <c r="E84" i="4"/>
  <c r="M85" i="4" s="1"/>
  <c r="E83" i="4"/>
  <c r="M84" i="4" s="1"/>
  <c r="E82" i="4"/>
  <c r="M83" i="4" s="1"/>
  <c r="E81" i="4"/>
  <c r="M82" i="4" s="1"/>
  <c r="E80" i="4"/>
  <c r="M81" i="4" s="1"/>
  <c r="E79" i="4"/>
  <c r="M80" i="4" s="1"/>
  <c r="E78" i="4"/>
  <c r="M79" i="4" s="1"/>
  <c r="E74" i="4"/>
  <c r="M75" i="4" s="1"/>
  <c r="E70" i="4"/>
  <c r="M71" i="4" s="1"/>
  <c r="E66" i="4"/>
  <c r="M67" i="4" s="1"/>
  <c r="E62" i="4"/>
  <c r="M63" i="4" s="1"/>
  <c r="E59" i="4"/>
  <c r="E121" i="4"/>
  <c r="M122" i="4" s="1"/>
  <c r="E113" i="4"/>
  <c r="M114" i="4" s="1"/>
  <c r="E117" i="4"/>
  <c r="M118" i="4" s="1"/>
  <c r="E75" i="4"/>
  <c r="M76" i="4" s="1"/>
  <c r="E67" i="4"/>
  <c r="M68" i="4" s="1"/>
  <c r="E109" i="4"/>
  <c r="M110" i="4" s="1"/>
  <c r="E105" i="4"/>
  <c r="M106" i="4" s="1"/>
  <c r="E73" i="4"/>
  <c r="M74" i="4" s="1"/>
  <c r="E65" i="4"/>
  <c r="M66" i="4" s="1"/>
  <c r="E101" i="4"/>
  <c r="M102" i="4" s="1"/>
  <c r="E71" i="4"/>
  <c r="M72" i="4" s="1"/>
  <c r="E63" i="4"/>
  <c r="M64" i="4" s="1"/>
  <c r="E56" i="4"/>
  <c r="E97" i="4"/>
  <c r="M98" i="4" s="1"/>
  <c r="E77" i="4"/>
  <c r="M78" i="4" s="1"/>
  <c r="E69" i="4"/>
  <c r="M70" i="4" s="1"/>
  <c r="E61" i="4"/>
  <c r="M62" i="4" s="1"/>
  <c r="H124" i="4"/>
  <c r="H125" i="4" s="1"/>
  <c r="P59" i="4"/>
  <c r="F45" i="4" s="1"/>
  <c r="P60" i="4"/>
  <c r="D28" i="1"/>
  <c r="H28" i="1" s="1"/>
  <c r="D29" i="1"/>
  <c r="E29" i="1"/>
  <c r="E28" i="1"/>
  <c r="H27" i="1"/>
  <c r="H30" i="1" l="1"/>
  <c r="H88" i="1"/>
  <c r="C36" i="1"/>
  <c r="H36" i="1" s="1"/>
  <c r="C40" i="1"/>
  <c r="H40" i="1" s="1"/>
  <c r="C44" i="1"/>
  <c r="H44" i="1" s="1"/>
  <c r="C48" i="1"/>
  <c r="H48" i="1" s="1"/>
  <c r="C52" i="1"/>
  <c r="H52" i="1" s="1"/>
  <c r="C56" i="1"/>
  <c r="H56" i="1" s="1"/>
  <c r="C60" i="1"/>
  <c r="H60" i="1" s="1"/>
  <c r="C64" i="1"/>
  <c r="H64" i="1" s="1"/>
  <c r="C68" i="1"/>
  <c r="H68" i="1" s="1"/>
  <c r="C72" i="1"/>
  <c r="H72" i="1" s="1"/>
  <c r="C76" i="1"/>
  <c r="H76" i="1" s="1"/>
  <c r="C80" i="1"/>
  <c r="H80" i="1" s="1"/>
  <c r="C84" i="1"/>
  <c r="H84" i="1" s="1"/>
  <c r="C32" i="1"/>
  <c r="H32" i="1" s="1"/>
  <c r="C33" i="1"/>
  <c r="H33" i="1" s="1"/>
  <c r="C37" i="1"/>
  <c r="H37" i="1" s="1"/>
  <c r="C41" i="1"/>
  <c r="H41" i="1" s="1"/>
  <c r="C45" i="1"/>
  <c r="H45" i="1" s="1"/>
  <c r="C49" i="1"/>
  <c r="H49" i="1" s="1"/>
  <c r="C53" i="1"/>
  <c r="H53" i="1" s="1"/>
  <c r="C57" i="1"/>
  <c r="H57" i="1" s="1"/>
  <c r="C61" i="1"/>
  <c r="H61" i="1" s="1"/>
  <c r="C65" i="1"/>
  <c r="H65" i="1" s="1"/>
  <c r="C69" i="1"/>
  <c r="H69" i="1" s="1"/>
  <c r="C73" i="1"/>
  <c r="H73" i="1" s="1"/>
  <c r="C77" i="1"/>
  <c r="H77" i="1" s="1"/>
  <c r="C81" i="1"/>
  <c r="H81" i="1" s="1"/>
  <c r="C85" i="1"/>
  <c r="H85" i="1" s="1"/>
  <c r="C31" i="1"/>
  <c r="C59" i="1"/>
  <c r="H59" i="1" s="1"/>
  <c r="C67" i="1"/>
  <c r="H67" i="1" s="1"/>
  <c r="C79" i="1"/>
  <c r="H79" i="1" s="1"/>
  <c r="C87" i="1"/>
  <c r="H87" i="1" s="1"/>
  <c r="C34" i="1"/>
  <c r="H34" i="1" s="1"/>
  <c r="C38" i="1"/>
  <c r="H38" i="1" s="1"/>
  <c r="C42" i="1"/>
  <c r="H42" i="1" s="1"/>
  <c r="C46" i="1"/>
  <c r="H46" i="1" s="1"/>
  <c r="C50" i="1"/>
  <c r="H50" i="1" s="1"/>
  <c r="C54" i="1"/>
  <c r="H54" i="1" s="1"/>
  <c r="C58" i="1"/>
  <c r="H58" i="1" s="1"/>
  <c r="C62" i="1"/>
  <c r="H62" i="1" s="1"/>
  <c r="C66" i="1"/>
  <c r="H66" i="1" s="1"/>
  <c r="C70" i="1"/>
  <c r="H70" i="1" s="1"/>
  <c r="C74" i="1"/>
  <c r="H74" i="1" s="1"/>
  <c r="C78" i="1"/>
  <c r="H78" i="1" s="1"/>
  <c r="C82" i="1"/>
  <c r="H82" i="1" s="1"/>
  <c r="C86" i="1"/>
  <c r="H86" i="1" s="1"/>
  <c r="C35" i="1"/>
  <c r="H35" i="1" s="1"/>
  <c r="C39" i="1"/>
  <c r="H39" i="1" s="1"/>
  <c r="C43" i="1"/>
  <c r="H43" i="1" s="1"/>
  <c r="C47" i="1"/>
  <c r="H47" i="1" s="1"/>
  <c r="C51" i="1"/>
  <c r="H51" i="1" s="1"/>
  <c r="C55" i="1"/>
  <c r="H55" i="1" s="1"/>
  <c r="C63" i="1"/>
  <c r="H63" i="1" s="1"/>
  <c r="C71" i="1"/>
  <c r="H71" i="1" s="1"/>
  <c r="C75" i="1"/>
  <c r="H75" i="1" s="1"/>
  <c r="C83" i="1"/>
  <c r="H83" i="1" s="1"/>
  <c r="E124" i="4"/>
  <c r="E125" i="4" s="1"/>
  <c r="M60" i="4"/>
  <c r="M59" i="4"/>
  <c r="F46" i="4" s="1"/>
  <c r="D56" i="4"/>
  <c r="D59" i="4"/>
  <c r="G54" i="4"/>
  <c r="I54" i="4"/>
  <c r="H29" i="1"/>
  <c r="E100" i="1"/>
  <c r="E101" i="1" s="1"/>
  <c r="D100" i="1"/>
  <c r="D101" i="1" s="1"/>
  <c r="H31" i="1" l="1"/>
  <c r="C106" i="1" s="1"/>
  <c r="C100" i="1"/>
  <c r="C101" i="1" s="1"/>
  <c r="L59" i="4"/>
  <c r="E44" i="4" s="1"/>
  <c r="L60" i="4"/>
  <c r="D60" i="4"/>
  <c r="G122" i="4"/>
  <c r="O123" i="4" s="1"/>
  <c r="G118" i="4"/>
  <c r="O119" i="4" s="1"/>
  <c r="G114" i="4"/>
  <c r="O115" i="4" s="1"/>
  <c r="G110" i="4"/>
  <c r="O111" i="4" s="1"/>
  <c r="G106" i="4"/>
  <c r="O107" i="4" s="1"/>
  <c r="G102" i="4"/>
  <c r="O103" i="4" s="1"/>
  <c r="G98" i="4"/>
  <c r="O99" i="4" s="1"/>
  <c r="G120" i="4"/>
  <c r="O121" i="4" s="1"/>
  <c r="G116" i="4"/>
  <c r="O117" i="4" s="1"/>
  <c r="G112" i="4"/>
  <c r="O113" i="4" s="1"/>
  <c r="G108" i="4"/>
  <c r="O109" i="4" s="1"/>
  <c r="G104" i="4"/>
  <c r="O105" i="4" s="1"/>
  <c r="G100" i="4"/>
  <c r="O101" i="4" s="1"/>
  <c r="G96" i="4"/>
  <c r="O97" i="4" s="1"/>
  <c r="G95" i="4"/>
  <c r="O96" i="4" s="1"/>
  <c r="G94" i="4"/>
  <c r="O95" i="4" s="1"/>
  <c r="G93" i="4"/>
  <c r="O94" i="4" s="1"/>
  <c r="G92" i="4"/>
  <c r="O93" i="4" s="1"/>
  <c r="G91" i="4"/>
  <c r="O92" i="4" s="1"/>
  <c r="G90" i="4"/>
  <c r="O91" i="4" s="1"/>
  <c r="G89" i="4"/>
  <c r="O90" i="4" s="1"/>
  <c r="G117" i="4"/>
  <c r="O118" i="4" s="1"/>
  <c r="G109" i="4"/>
  <c r="O110" i="4" s="1"/>
  <c r="G101" i="4"/>
  <c r="O102" i="4" s="1"/>
  <c r="G88" i="4"/>
  <c r="O89" i="4" s="1"/>
  <c r="G87" i="4"/>
  <c r="O88" i="4" s="1"/>
  <c r="G86" i="4"/>
  <c r="O87" i="4" s="1"/>
  <c r="G85" i="4"/>
  <c r="O86" i="4" s="1"/>
  <c r="G84" i="4"/>
  <c r="O85" i="4" s="1"/>
  <c r="G83" i="4"/>
  <c r="O84" i="4" s="1"/>
  <c r="G82" i="4"/>
  <c r="O83" i="4" s="1"/>
  <c r="G81" i="4"/>
  <c r="O82" i="4" s="1"/>
  <c r="G80" i="4"/>
  <c r="O81" i="4" s="1"/>
  <c r="G79" i="4"/>
  <c r="O80" i="4" s="1"/>
  <c r="G78" i="4"/>
  <c r="O79" i="4" s="1"/>
  <c r="G74" i="4"/>
  <c r="O75" i="4" s="1"/>
  <c r="G70" i="4"/>
  <c r="O71" i="4" s="1"/>
  <c r="G66" i="4"/>
  <c r="O67" i="4" s="1"/>
  <c r="G62" i="4"/>
  <c r="O63" i="4" s="1"/>
  <c r="G59" i="4"/>
  <c r="G121" i="4"/>
  <c r="O122" i="4" s="1"/>
  <c r="G113" i="4"/>
  <c r="O114" i="4" s="1"/>
  <c r="G105" i="4"/>
  <c r="O106" i="4" s="1"/>
  <c r="G97" i="4"/>
  <c r="O98" i="4" s="1"/>
  <c r="G76" i="4"/>
  <c r="O77" i="4" s="1"/>
  <c r="G72" i="4"/>
  <c r="O73" i="4" s="1"/>
  <c r="G68" i="4"/>
  <c r="O69" i="4" s="1"/>
  <c r="G64" i="4"/>
  <c r="O65" i="4" s="1"/>
  <c r="G60" i="4"/>
  <c r="O61" i="4" s="1"/>
  <c r="G119" i="4"/>
  <c r="O120" i="4" s="1"/>
  <c r="G111" i="4"/>
  <c r="O112" i="4" s="1"/>
  <c r="G107" i="4"/>
  <c r="O108" i="4" s="1"/>
  <c r="G73" i="4"/>
  <c r="O74" i="4" s="1"/>
  <c r="G65" i="4"/>
  <c r="O66" i="4" s="1"/>
  <c r="G103" i="4"/>
  <c r="O104" i="4" s="1"/>
  <c r="G71" i="4"/>
  <c r="O72" i="4" s="1"/>
  <c r="G63" i="4"/>
  <c r="O64" i="4" s="1"/>
  <c r="G115" i="4"/>
  <c r="O116" i="4" s="1"/>
  <c r="G99" i="4"/>
  <c r="O100" i="4" s="1"/>
  <c r="G77" i="4"/>
  <c r="O78" i="4" s="1"/>
  <c r="G69" i="4"/>
  <c r="O70" i="4" s="1"/>
  <c r="G61" i="4"/>
  <c r="O62" i="4" s="1"/>
  <c r="G75" i="4"/>
  <c r="O76" i="4" s="1"/>
  <c r="G67" i="4"/>
  <c r="O68" i="4" s="1"/>
  <c r="G56" i="4"/>
  <c r="I56" i="4" s="1"/>
  <c r="D104" i="1" l="1"/>
  <c r="D106" i="1" s="1"/>
  <c r="E104" i="1"/>
  <c r="E106" i="1" s="1"/>
  <c r="H100" i="1"/>
  <c r="H101" i="1" s="1"/>
  <c r="D61" i="4"/>
  <c r="L61" i="4"/>
  <c r="I60" i="4"/>
  <c r="G124" i="4"/>
  <c r="G125" i="4" s="1"/>
  <c r="O59" i="4"/>
  <c r="E48" i="4" s="1"/>
  <c r="O60" i="4"/>
  <c r="I59" i="4"/>
  <c r="Q59" i="4" s="1"/>
  <c r="L62" i="4" l="1"/>
  <c r="D62" i="4"/>
  <c r="I61" i="4"/>
  <c r="D63" i="4" l="1"/>
  <c r="L63" i="4"/>
  <c r="I62" i="4"/>
  <c r="L64" i="4" l="1"/>
  <c r="D64" i="4"/>
  <c r="I63" i="4"/>
  <c r="D65" i="4" l="1"/>
  <c r="L65" i="4"/>
  <c r="I64" i="4"/>
  <c r="L66" i="4" l="1"/>
  <c r="D66" i="4"/>
  <c r="I65" i="4"/>
  <c r="D67" i="4" l="1"/>
  <c r="L67" i="4"/>
  <c r="I66" i="4"/>
  <c r="L68" i="4" l="1"/>
  <c r="D68" i="4"/>
  <c r="I67" i="4"/>
  <c r="D69" i="4" l="1"/>
  <c r="L69" i="4"/>
  <c r="I68" i="4"/>
  <c r="L70" i="4" l="1"/>
  <c r="D70" i="4"/>
  <c r="I69" i="4"/>
  <c r="D71" i="4" l="1"/>
  <c r="L71" i="4"/>
  <c r="I70" i="4"/>
  <c r="L72" i="4" l="1"/>
  <c r="D72" i="4"/>
  <c r="I71" i="4"/>
  <c r="D73" i="4" l="1"/>
  <c r="L73" i="4"/>
  <c r="I72" i="4"/>
  <c r="L74" i="4" l="1"/>
  <c r="D74" i="4"/>
  <c r="I73" i="4"/>
  <c r="D75" i="4" l="1"/>
  <c r="L75" i="4"/>
  <c r="I74" i="4"/>
  <c r="L76" i="4" l="1"/>
  <c r="D76" i="4"/>
  <c r="I75" i="4"/>
  <c r="D77" i="4" l="1"/>
  <c r="L77" i="4"/>
  <c r="I76" i="4"/>
  <c r="D78" i="4" l="1"/>
  <c r="L78" i="4"/>
  <c r="I77" i="4"/>
  <c r="L79" i="4" l="1"/>
  <c r="D79" i="4"/>
  <c r="D80" i="4" l="1"/>
  <c r="L80" i="4"/>
  <c r="L81" i="4" l="1"/>
  <c r="D81" i="4"/>
  <c r="D82" i="4" l="1"/>
  <c r="L82" i="4"/>
  <c r="L83" i="4" l="1"/>
  <c r="D83" i="4"/>
  <c r="D84" i="4" l="1"/>
  <c r="L84" i="4"/>
  <c r="L85" i="4" l="1"/>
  <c r="D85" i="4"/>
  <c r="D86" i="4" l="1"/>
  <c r="L86" i="4"/>
  <c r="L87" i="4" l="1"/>
  <c r="D87" i="4"/>
  <c r="D88" i="4" l="1"/>
  <c r="L88" i="4"/>
  <c r="L89" i="4" l="1"/>
  <c r="D89" i="4"/>
  <c r="D90" i="4" l="1"/>
  <c r="L90" i="4"/>
  <c r="D91" i="4" l="1"/>
  <c r="L91" i="4"/>
  <c r="D92" i="4" l="1"/>
  <c r="L92" i="4"/>
  <c r="D93" i="4" l="1"/>
  <c r="L93" i="4"/>
  <c r="D94" i="4" l="1"/>
  <c r="L94" i="4"/>
  <c r="D95" i="4" l="1"/>
  <c r="L95" i="4"/>
  <c r="L96" i="4" l="1"/>
  <c r="D96" i="4"/>
  <c r="D97" i="4" l="1"/>
  <c r="L97" i="4"/>
  <c r="D98" i="4" l="1"/>
  <c r="L98" i="4"/>
  <c r="D99" i="4" l="1"/>
  <c r="L99" i="4"/>
  <c r="D100" i="4" l="1"/>
  <c r="L100" i="4"/>
  <c r="D101" i="4" l="1"/>
  <c r="L101" i="4"/>
  <c r="D102" i="4" l="1"/>
  <c r="L102" i="4"/>
  <c r="D103" i="4" l="1"/>
  <c r="L103" i="4"/>
  <c r="D104" i="4" l="1"/>
  <c r="L104" i="4"/>
  <c r="D105" i="4" l="1"/>
  <c r="L105" i="4"/>
  <c r="D106" i="4" l="1"/>
  <c r="L106" i="4"/>
  <c r="D107" i="4" l="1"/>
  <c r="L107" i="4"/>
  <c r="D108" i="4" l="1"/>
  <c r="L108" i="4"/>
  <c r="D109" i="4" l="1"/>
  <c r="L109" i="4"/>
  <c r="D110" i="4" l="1"/>
  <c r="L110" i="4"/>
  <c r="D111" i="4" l="1"/>
  <c r="L111" i="4"/>
  <c r="D112" i="4" l="1"/>
  <c r="L112" i="4"/>
  <c r="D113" i="4" l="1"/>
  <c r="L113" i="4"/>
  <c r="D114" i="4" l="1"/>
  <c r="L114" i="4"/>
  <c r="D115" i="4" l="1"/>
  <c r="L115" i="4"/>
  <c r="D116" i="4" l="1"/>
  <c r="L116" i="4"/>
  <c r="D117" i="4" l="1"/>
  <c r="L117" i="4"/>
  <c r="D118" i="4" l="1"/>
  <c r="L118" i="4"/>
  <c r="D119" i="4" l="1"/>
  <c r="L119" i="4"/>
  <c r="D120" i="4" l="1"/>
  <c r="L120" i="4"/>
  <c r="D121" i="4" l="1"/>
  <c r="L121" i="4"/>
  <c r="D122" i="4" l="1"/>
  <c r="L122" i="4"/>
  <c r="L123" i="4" l="1"/>
  <c r="D124" i="4"/>
  <c r="D125" i="4" l="1"/>
  <c r="I125" i="4" s="1"/>
  <c r="I124" i="4"/>
</calcChain>
</file>

<file path=xl/comments1.xml><?xml version="1.0" encoding="utf-8"?>
<comments xmlns="http://schemas.openxmlformats.org/spreadsheetml/2006/main">
  <authors>
    <author>gzhkw6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tlk:</t>
        </r>
        <r>
          <rPr>
            <sz val="9"/>
            <color indexed="81"/>
            <rFont val="Tahoma"/>
            <charset val="1"/>
          </rPr>
          <t xml:space="preserve">
2016 amortization based on estimate, revised with 2016 Tax Return in 2017, revised amort for remaining life.</t>
        </r>
      </text>
    </comment>
  </commentList>
</comments>
</file>

<file path=xl/comments2.xml><?xml version="1.0" encoding="utf-8"?>
<comments xmlns="http://schemas.openxmlformats.org/spreadsheetml/2006/main">
  <authors>
    <author>Munson</author>
  </authors>
  <commentList>
    <comment ref="F24" authorId="0" shapeId="0">
      <text>
        <r>
          <rPr>
            <b/>
            <sz val="10"/>
            <color indexed="81"/>
            <rFont val="Tahoma"/>
            <family val="2"/>
          </rPr>
          <t>Munson:</t>
        </r>
        <r>
          <rPr>
            <sz val="10"/>
            <color indexed="81"/>
            <rFont val="Tahoma"/>
            <family val="2"/>
          </rPr>
          <t xml:space="preserve">
We recorded this entry when we did the true-up to Power tax</t>
        </r>
      </text>
    </comment>
  </commentList>
</comments>
</file>

<file path=xl/sharedStrings.xml><?xml version="1.0" encoding="utf-8"?>
<sst xmlns="http://schemas.openxmlformats.org/spreadsheetml/2006/main" count="178" uniqueCount="100">
  <si>
    <t>Noxon #1</t>
  </si>
  <si>
    <t>Noxon #3</t>
  </si>
  <si>
    <t>Noxon #2</t>
  </si>
  <si>
    <t>Project Costs per Tax Return</t>
  </si>
  <si>
    <t>ITC Rate</t>
  </si>
  <si>
    <t>ITC Claimed on Tax Return</t>
  </si>
  <si>
    <t>Amortization:</t>
  </si>
  <si>
    <t>Total</t>
  </si>
  <si>
    <t>Restating Adjustment:</t>
  </si>
  <si>
    <t>Test Period ITC Amortization</t>
  </si>
  <si>
    <t>Adjustment</t>
  </si>
  <si>
    <t>System</t>
  </si>
  <si>
    <t>WA</t>
  </si>
  <si>
    <t>ID</t>
  </si>
  <si>
    <t>AVISTA UTILITIES</t>
  </si>
  <si>
    <t>ITC AMORTIZATION</t>
  </si>
  <si>
    <t>Restating  ITC Amortization</t>
  </si>
  <si>
    <t>Noxon #4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</si>
  <si>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</si>
  <si>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</si>
  <si>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</si>
  <si>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</si>
  <si>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</si>
  <si>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</si>
  <si>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</si>
  <si>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</si>
  <si>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</si>
  <si>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</si>
  <si>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</si>
  <si>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</si>
  <si>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</si>
  <si>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Amortization</t>
  </si>
  <si>
    <t>Variance - Will Adjust in final year.</t>
  </si>
  <si>
    <t>Example per SFAS 109</t>
  </si>
  <si>
    <t>Opening</t>
  </si>
  <si>
    <t>Investment in plant</t>
  </si>
  <si>
    <t>Reduction due to ITC</t>
  </si>
  <si>
    <t>Book Basis</t>
  </si>
  <si>
    <t>Adjustment for tax basis</t>
  </si>
  <si>
    <t>GAAP Books</t>
  </si>
  <si>
    <t>Basis for Tax</t>
  </si>
  <si>
    <t>DR</t>
  </si>
  <si>
    <t>CR</t>
  </si>
  <si>
    <t>Year 1</t>
  </si>
  <si>
    <t>Timing Difference</t>
  </si>
  <si>
    <t>Construct property</t>
  </si>
  <si>
    <t>Plant</t>
  </si>
  <si>
    <t>Effective Rate Rate</t>
  </si>
  <si>
    <t>Cash</t>
  </si>
  <si>
    <t>Deferred Tax</t>
  </si>
  <si>
    <t>Record ITC benefit</t>
  </si>
  <si>
    <t>FERC</t>
  </si>
  <si>
    <t>1/(1-Rate)</t>
  </si>
  <si>
    <t>Federal Taxes Payable</t>
  </si>
  <si>
    <t xml:space="preserve">      Federal Income Taxes</t>
  </si>
  <si>
    <t>DFIT Income Taxes</t>
  </si>
  <si>
    <t>Accumulated Deferred ITC</t>
  </si>
  <si>
    <t>Test:</t>
  </si>
  <si>
    <t>DFITA on Accumulated ITC</t>
  </si>
  <si>
    <t>Tax Expense</t>
  </si>
  <si>
    <t>Gross Up</t>
  </si>
  <si>
    <t>DFITA on Regulatory Liability</t>
  </si>
  <si>
    <t>Regulatory Liability</t>
  </si>
  <si>
    <t>Tax Rate</t>
  </si>
  <si>
    <t>Deferred Tax / Regulatory Item</t>
  </si>
  <si>
    <t>INITIAL</t>
  </si>
  <si>
    <t>Tax Basis</t>
  </si>
  <si>
    <t>Accumulated ITC</t>
  </si>
  <si>
    <t>Basis</t>
  </si>
  <si>
    <t>delta</t>
  </si>
  <si>
    <t>Reg Liability</t>
  </si>
  <si>
    <t>Amortization, Yr 1 - 1/2 year</t>
  </si>
  <si>
    <t>Entry for Tax Component, monthly amortization</t>
  </si>
  <si>
    <t>DTA</t>
  </si>
  <si>
    <t xml:space="preserve">DTA </t>
  </si>
  <si>
    <t>Amortization Schedule - ITC</t>
  </si>
  <si>
    <t>Regulatory Liability, Nine Mile ITC</t>
  </si>
  <si>
    <t>DFIT -Nine Mile Reg Liability</t>
  </si>
  <si>
    <t>DFIT- Nine Mile Accum ITC</t>
  </si>
  <si>
    <t>Tax Expense Deferred</t>
  </si>
  <si>
    <t>Tax Expense, ITC</t>
  </si>
  <si>
    <t>Opening Balance</t>
  </si>
  <si>
    <t>Accrued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</si>
  <si>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</si>
  <si>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</si>
  <si>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</si>
  <si>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</si>
  <si>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</si>
  <si>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</si>
  <si>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</si>
  <si>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</si>
  <si>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</si>
  <si>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</si>
  <si>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</si>
  <si>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Nine Mile</t>
  </si>
  <si>
    <t>revised to 65 year life</t>
  </si>
  <si>
    <t>Revised Amort for Remaining years</t>
  </si>
  <si>
    <t>2017 Auditors or Return to Accrual Adjustment</t>
  </si>
  <si>
    <t>2016 Adjusted ITC Balance</t>
  </si>
  <si>
    <t>1/1/19-12/31/19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</si>
</sst>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Times New Roman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u val="singleAccounting"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4">
    <xf numFmtId="0" fontId="0" fillId="0" borderId="0" xfId="0"/>
    <xf numFmtId="9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1" xfId="1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center"/>
    </xf>
    <xf numFmtId="164" fontId="9" fillId="0" borderId="0" xfId="3" applyNumberFormat="1" applyFont="1"/>
    <xf numFmtId="0" fontId="7" fillId="0" borderId="0" xfId="2" applyFont="1" applyAlignment="1">
      <alignment horizontal="centerContinuous"/>
    </xf>
    <xf numFmtId="0" fontId="6" fillId="0" borderId="0" xfId="2" applyFont="1" applyAlignment="1">
      <alignment horizontal="center"/>
    </xf>
    <xf numFmtId="0" fontId="10" fillId="0" borderId="0" xfId="2" applyFont="1"/>
    <xf numFmtId="9" fontId="6" fillId="0" borderId="0" xfId="4" applyFont="1"/>
    <xf numFmtId="0" fontId="6" fillId="0" borderId="0" xfId="2" applyFont="1" applyAlignment="1">
      <alignment horizontal="left" indent="2"/>
    </xf>
    <xf numFmtId="164" fontId="6" fillId="0" borderId="0" xfId="2" applyNumberFormat="1" applyFont="1"/>
    <xf numFmtId="0" fontId="10" fillId="0" borderId="4" xfId="2" applyFont="1" applyBorder="1"/>
    <xf numFmtId="0" fontId="6" fillId="0" borderId="5" xfId="2" applyFont="1" applyBorder="1"/>
    <xf numFmtId="164" fontId="6" fillId="0" borderId="5" xfId="3" applyNumberFormat="1" applyFont="1" applyBorder="1"/>
    <xf numFmtId="164" fontId="6" fillId="0" borderId="6" xfId="3" applyNumberFormat="1" applyFont="1" applyBorder="1"/>
    <xf numFmtId="165" fontId="11" fillId="0" borderId="0" xfId="3" applyNumberFormat="1" applyFont="1"/>
    <xf numFmtId="0" fontId="6" fillId="0" borderId="7" xfId="2" applyFont="1" applyBorder="1"/>
    <xf numFmtId="0" fontId="6" fillId="0" borderId="0" xfId="2" applyFont="1" applyBorder="1"/>
    <xf numFmtId="0" fontId="6" fillId="0" borderId="0" xfId="3" applyNumberFormat="1" applyFont="1" applyBorder="1"/>
    <xf numFmtId="164" fontId="6" fillId="0" borderId="0" xfId="3" applyNumberFormat="1" applyFont="1" applyBorder="1"/>
    <xf numFmtId="164" fontId="6" fillId="0" borderId="8" xfId="3" applyNumberFormat="1" applyFont="1" applyBorder="1"/>
    <xf numFmtId="0" fontId="7" fillId="0" borderId="0" xfId="2" applyFont="1"/>
    <xf numFmtId="0" fontId="6" fillId="0" borderId="0" xfId="2" applyFont="1" applyBorder="1" applyAlignment="1">
      <alignment horizontal="left" indent="2"/>
    </xf>
    <xf numFmtId="164" fontId="11" fillId="0" borderId="0" xfId="3" applyNumberFormat="1" applyFont="1"/>
    <xf numFmtId="0" fontId="10" fillId="0" borderId="7" xfId="2" applyFont="1" applyBorder="1"/>
    <xf numFmtId="10" fontId="11" fillId="0" borderId="0" xfId="4" applyNumberFormat="1" applyFont="1"/>
    <xf numFmtId="0" fontId="6" fillId="0" borderId="9" xfId="2" applyFont="1" applyBorder="1"/>
    <xf numFmtId="0" fontId="6" fillId="0" borderId="1" xfId="2" applyFont="1" applyBorder="1"/>
    <xf numFmtId="0" fontId="6" fillId="0" borderId="1" xfId="3" applyNumberFormat="1" applyFont="1" applyBorder="1"/>
    <xf numFmtId="164" fontId="6" fillId="0" borderId="1" xfId="3" applyNumberFormat="1" applyFont="1" applyBorder="1"/>
    <xf numFmtId="164" fontId="6" fillId="0" borderId="10" xfId="3" applyNumberFormat="1" applyFont="1" applyBorder="1"/>
    <xf numFmtId="0" fontId="6" fillId="0" borderId="6" xfId="2" applyFont="1" applyBorder="1"/>
    <xf numFmtId="164" fontId="6" fillId="0" borderId="0" xfId="2" applyNumberFormat="1" applyFont="1" applyBorder="1"/>
    <xf numFmtId="0" fontId="6" fillId="0" borderId="8" xfId="2" applyFont="1" applyBorder="1"/>
    <xf numFmtId="164" fontId="12" fillId="0" borderId="0" xfId="3" applyNumberFormat="1" applyFont="1"/>
    <xf numFmtId="164" fontId="6" fillId="0" borderId="1" xfId="2" applyNumberFormat="1" applyFont="1" applyBorder="1"/>
    <xf numFmtId="0" fontId="6" fillId="0" borderId="10" xfId="2" applyFont="1" applyBorder="1"/>
    <xf numFmtId="0" fontId="6" fillId="0" borderId="0" xfId="2" applyFont="1" applyAlignment="1">
      <alignment wrapText="1"/>
    </xf>
    <xf numFmtId="0" fontId="6" fillId="0" borderId="0" xfId="2" applyFont="1" applyAlignment="1">
      <alignment horizontal="center" wrapText="1"/>
    </xf>
    <xf numFmtId="164" fontId="12" fillId="0" borderId="0" xfId="2" applyNumberFormat="1" applyFont="1"/>
    <xf numFmtId="164" fontId="7" fillId="0" borderId="0" xfId="3" applyNumberFormat="1" applyFont="1"/>
    <xf numFmtId="0" fontId="6" fillId="0" borderId="0" xfId="2" applyNumberFormat="1" applyFont="1" applyAlignment="1">
      <alignment horizontal="center"/>
    </xf>
    <xf numFmtId="43" fontId="6" fillId="0" borderId="0" xfId="2" applyNumberFormat="1" applyFont="1"/>
    <xf numFmtId="43" fontId="6" fillId="0" borderId="2" xfId="3" applyFont="1" applyBorder="1"/>
    <xf numFmtId="43" fontId="6" fillId="0" borderId="0" xfId="3" applyFont="1"/>
    <xf numFmtId="43" fontId="0" fillId="0" borderId="0" xfId="1" applyNumberFormat="1" applyFont="1"/>
    <xf numFmtId="164" fontId="0" fillId="0" borderId="0" xfId="0" applyNumberFormat="1" applyFill="1"/>
    <xf numFmtId="0" fontId="0" fillId="0" borderId="0" xfId="0" applyAlignment="1">
      <alignment horizontal="center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0" y="0"/>
          <a:ext cx="697992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Additional Facts</a:t>
          </a:r>
        </a:p>
        <a:p>
          <a:r>
            <a:rPr lang="en-US" sz="1600"/>
            <a:t>Grant</a:t>
          </a:r>
          <a:r>
            <a:rPr lang="en-US" sz="1600" baseline="0"/>
            <a:t> / ITC accounted for as deferred revenue</a:t>
          </a:r>
        </a:p>
        <a:p>
          <a:r>
            <a:rPr lang="en-US" sz="1600" baseline="0"/>
            <a:t>Immedidiate recongition of deferred tax related to basis difference</a:t>
          </a:r>
        </a:p>
        <a:p>
          <a:r>
            <a:rPr lang="en-US" sz="1600" baseline="0"/>
            <a:t>Regulated utility subject to ASC 980 / FASB 71</a:t>
          </a:r>
          <a:endParaRPr lang="en-US" sz="1600"/>
        </a:p>
      </xdr:txBody>
    </xdr:sp>
    <xdr:clientData/>
  </xdr:twoCellAnchor>
  <xdr:twoCellAnchor>
    <xdr:from>
      <xdr:col>6</xdr:col>
      <xdr:colOff>38100</xdr:colOff>
      <xdr:row>14</xdr:row>
      <xdr:rowOff>177800</xdr:rowOff>
    </xdr:from>
    <xdr:to>
      <xdr:col>7</xdr:col>
      <xdr:colOff>50800</xdr:colOff>
      <xdr:row>22</xdr:row>
      <xdr:rowOff>177800</xdr:rowOff>
    </xdr:to>
    <xdr:cxnSp macro="">
      <xdr:nvCxnSpPr>
        <xdr:cNvPr id="3" name="Straight Arrow Connector 2"/>
        <xdr:cNvCxnSpPr/>
      </xdr:nvCxnSpPr>
      <xdr:spPr>
        <a:xfrm rot="5400000">
          <a:off x="5736590" y="3288030"/>
          <a:ext cx="1584960" cy="1003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topLeftCell="A23" zoomScaleNormal="100" workbookViewId="0">
      <selection activeCell="E109" sqref="E109"/>
    </sheetView>
  </sheetViews>
  <sheetFormatPr defaultRowHeight="15" x14ac:dyDescent="0.25"/>
  <cols>
    <col min="1" max="1" width="26.28515625" bestFit="1" customWidth="1"/>
    <col min="2" max="2" width="16.85546875" bestFit="1" customWidth="1"/>
    <col min="3" max="3" width="14.42578125" bestFit="1" customWidth="1"/>
    <col min="4" max="5" width="13.42578125" bestFit="1" customWidth="1"/>
    <col min="6" max="7" width="13.42578125" customWidth="1"/>
    <col min="8" max="8" width="13.85546875" customWidth="1"/>
    <col min="9" max="9" width="14.28515625" customWidth="1"/>
  </cols>
  <sheetData>
    <row r="1" spans="1:8" x14ac:dyDescent="0.25">
      <c r="A1" t="s">
        <v>14</v>
      </c>
    </row>
    <row r="2" spans="1:8" x14ac:dyDescent="0.25">
      <c r="A2" t="s">
        <v>15</v>
      </c>
    </row>
    <row r="4" spans="1:8" x14ac:dyDescent="0.25">
      <c r="C4" s="4">
        <v>2009</v>
      </c>
      <c r="D4" s="4">
        <v>2010</v>
      </c>
      <c r="E4" s="4">
        <v>2011</v>
      </c>
      <c r="F4" s="4">
        <v>2012</v>
      </c>
      <c r="G4" s="4">
        <v>2016</v>
      </c>
      <c r="H4" s="4"/>
    </row>
    <row r="5" spans="1:8" x14ac:dyDescent="0.25">
      <c r="C5" s="5" t="s">
        <v>0</v>
      </c>
      <c r="D5" s="5" t="s">
        <v>1</v>
      </c>
      <c r="E5" s="5" t="s">
        <v>2</v>
      </c>
      <c r="F5" s="5" t="s">
        <v>17</v>
      </c>
      <c r="G5" s="5" t="s">
        <v>94</v>
      </c>
      <c r="H5" s="5" t="s">
        <v>7</v>
      </c>
    </row>
    <row r="6" spans="1:8" x14ac:dyDescent="0.25">
      <c r="A6" t="s">
        <v>3</v>
      </c>
      <c r="C6" s="6">
        <v>17700420</v>
      </c>
      <c r="D6" s="6">
        <v>8298500</v>
      </c>
      <c r="E6" s="6">
        <v>9371870</v>
      </c>
      <c r="F6" s="6">
        <v>7750954.8799999999</v>
      </c>
      <c r="G6" s="6">
        <f>64728195</f>
        <v>64728195</v>
      </c>
      <c r="H6" s="2"/>
    </row>
    <row r="7" spans="1:8" x14ac:dyDescent="0.25">
      <c r="A7" t="s">
        <v>4</v>
      </c>
      <c r="C7" s="1">
        <v>0.3</v>
      </c>
      <c r="D7" s="1">
        <f>C7</f>
        <v>0.3</v>
      </c>
      <c r="E7" s="1">
        <f>C7</f>
        <v>0.3</v>
      </c>
      <c r="F7" s="1">
        <v>0.3</v>
      </c>
      <c r="G7" s="1">
        <v>0.3</v>
      </c>
    </row>
    <row r="8" spans="1:8" x14ac:dyDescent="0.25">
      <c r="A8" t="s">
        <v>5</v>
      </c>
      <c r="C8" s="6">
        <f>-C6*C7</f>
        <v>-5310126</v>
      </c>
      <c r="D8" s="6">
        <f>-D6*D7</f>
        <v>-2489550</v>
      </c>
      <c r="E8" s="6">
        <f>-E6*E7</f>
        <v>-2811561</v>
      </c>
      <c r="F8" s="6">
        <f>F6*-F7</f>
        <v>-2325286.4639999997</v>
      </c>
      <c r="G8" s="6">
        <f>G6*-G7</f>
        <v>-19418458.5</v>
      </c>
      <c r="H8" s="7">
        <f>SUM(C8:G8)</f>
        <v>-32354981.964000002</v>
      </c>
    </row>
    <row r="9" spans="1:8" x14ac:dyDescent="0.25">
      <c r="A9" t="s">
        <v>97</v>
      </c>
      <c r="C9" s="6">
        <f>C10+SUM(C12:C30)-C8</f>
        <v>-96736</v>
      </c>
      <c r="D9" s="6">
        <f>D10+SUM(D12:D30)-D8</f>
        <v>-18</v>
      </c>
      <c r="E9" s="6">
        <f t="shared" ref="E9:G9" si="0">E10+SUM(E12:E30)-E8</f>
        <v>41265</v>
      </c>
      <c r="F9" s="6">
        <f t="shared" si="0"/>
        <v>36586.463999999687</v>
      </c>
      <c r="G9" s="6">
        <f t="shared" si="0"/>
        <v>834643.5</v>
      </c>
      <c r="H9" s="7"/>
    </row>
    <row r="10" spans="1:8" x14ac:dyDescent="0.25">
      <c r="A10" t="s">
        <v>98</v>
      </c>
      <c r="C10" s="7">
        <v>-4767340</v>
      </c>
      <c r="D10" s="7">
        <v>-2231025</v>
      </c>
      <c r="E10" s="7">
        <v>-2524998</v>
      </c>
      <c r="F10" s="7">
        <v>-2124421</v>
      </c>
      <c r="G10" s="7">
        <v>-18285069</v>
      </c>
      <c r="H10" s="7">
        <f>SUM(C10:G10)</f>
        <v>-29932853</v>
      </c>
    </row>
    <row r="11" spans="1:8" x14ac:dyDescent="0.25">
      <c r="A11" t="s">
        <v>6</v>
      </c>
    </row>
    <row r="12" spans="1:8" x14ac:dyDescent="0.25">
      <c r="A12">
        <v>2009</v>
      </c>
      <c r="C12" s="6">
        <f>ROUND($C$8/60*0.5,0)</f>
        <v>-44251</v>
      </c>
      <c r="D12" s="6"/>
      <c r="E12" s="6"/>
      <c r="F12" s="14"/>
      <c r="G12" s="14"/>
      <c r="H12" s="6">
        <f>SUM(C12:F12)</f>
        <v>-44251</v>
      </c>
    </row>
    <row r="13" spans="1:8" x14ac:dyDescent="0.25">
      <c r="A13">
        <v>2010</v>
      </c>
      <c r="C13" s="6">
        <f t="shared" ref="C13:C15" si="1">ROUND($C$8/60,0)</f>
        <v>-88502</v>
      </c>
      <c r="D13" s="6">
        <f>ROUND($D$8/60*0.5,0)</f>
        <v>-20746</v>
      </c>
      <c r="E13" s="6"/>
      <c r="F13" s="14"/>
      <c r="G13" s="14"/>
      <c r="H13" s="6">
        <f t="shared" ref="H13:H16" si="2">SUM(C13:F13)</f>
        <v>-109248</v>
      </c>
    </row>
    <row r="14" spans="1:8" x14ac:dyDescent="0.25">
      <c r="A14">
        <v>2011</v>
      </c>
      <c r="C14" s="6">
        <f t="shared" si="1"/>
        <v>-88502</v>
      </c>
      <c r="D14" s="6">
        <f>ROUND($D$8/60,0)-1</f>
        <v>-41494</v>
      </c>
      <c r="E14" s="6">
        <f>(ROUND($E$8/60*0.5,0))-1</f>
        <v>-23431</v>
      </c>
      <c r="F14" s="14"/>
      <c r="G14" s="14"/>
      <c r="H14" s="6">
        <f t="shared" si="2"/>
        <v>-153427</v>
      </c>
    </row>
    <row r="15" spans="1:8" x14ac:dyDescent="0.25">
      <c r="A15">
        <v>2012</v>
      </c>
      <c r="C15" s="6">
        <f t="shared" si="1"/>
        <v>-88502</v>
      </c>
      <c r="D15" s="6">
        <f t="shared" ref="D15" si="3">ROUND($D$8/60,0)</f>
        <v>-41493</v>
      </c>
      <c r="E15" s="6">
        <f t="shared" ref="E15" si="4">(ROUND($E$8/60,0))</f>
        <v>-46859</v>
      </c>
      <c r="F15" s="6">
        <f>(ROUND($F$8/60*0.5,0))</f>
        <v>-19377</v>
      </c>
      <c r="G15" s="6"/>
      <c r="H15" s="6">
        <f t="shared" si="2"/>
        <v>-196231</v>
      </c>
    </row>
    <row r="16" spans="1:8" x14ac:dyDescent="0.25">
      <c r="A16">
        <v>2013</v>
      </c>
      <c r="B16" t="s">
        <v>19</v>
      </c>
      <c r="C16" s="6">
        <f>ROUND($C$8/60/12,0)</f>
        <v>-7375</v>
      </c>
      <c r="D16" s="6">
        <f>ROUND($D$8/60/12,0)</f>
        <v>-3458</v>
      </c>
      <c r="E16" s="6">
        <f>(ROUND($E$8/60/12,0))</f>
        <v>-3905</v>
      </c>
      <c r="F16" s="6">
        <f>(ROUND($F$8/60/12,0))</f>
        <v>-3230</v>
      </c>
      <c r="G16" s="6"/>
      <c r="H16" s="6">
        <f t="shared" si="2"/>
        <v>-17968</v>
      </c>
    </row>
    <row r="17" spans="1:9" x14ac:dyDescent="0.25">
      <c r="B17" t="s">
        <v>20</v>
      </c>
      <c r="C17" s="6">
        <f t="shared" ref="C17:C26" si="5">ROUND($C$8/60/12,0)</f>
        <v>-7375</v>
      </c>
      <c r="D17" s="6">
        <f t="shared" ref="D17:D26" si="6">ROUND($D$8/60/12,0)</f>
        <v>-3458</v>
      </c>
      <c r="E17" s="6">
        <f t="shared" ref="E17:E26" si="7">(ROUND($E$8/60/12,0))</f>
        <v>-3905</v>
      </c>
      <c r="F17" s="6">
        <f t="shared" ref="F17:F26" si="8">(ROUND($F$8/60/12,0))</f>
        <v>-3230</v>
      </c>
      <c r="G17" s="6"/>
      <c r="H17" s="6">
        <f t="shared" ref="H17:H27" si="9">SUM(C17:F17)</f>
        <v>-17968</v>
      </c>
    </row>
    <row r="18" spans="1:9" x14ac:dyDescent="0.25">
      <c r="B18" t="s">
        <v>21</v>
      </c>
      <c r="C18" s="6">
        <f t="shared" si="5"/>
        <v>-7375</v>
      </c>
      <c r="D18" s="6">
        <f t="shared" si="6"/>
        <v>-3458</v>
      </c>
      <c r="E18" s="6">
        <f t="shared" si="7"/>
        <v>-3905</v>
      </c>
      <c r="F18" s="6">
        <f t="shared" si="8"/>
        <v>-3230</v>
      </c>
      <c r="G18" s="6"/>
      <c r="H18" s="6">
        <f t="shared" si="9"/>
        <v>-17968</v>
      </c>
    </row>
    <row r="19" spans="1:9" x14ac:dyDescent="0.25">
      <c r="B19" t="s">
        <v>22</v>
      </c>
      <c r="C19" s="6">
        <f t="shared" si="5"/>
        <v>-7375</v>
      </c>
      <c r="D19" s="6">
        <f t="shared" si="6"/>
        <v>-3458</v>
      </c>
      <c r="E19" s="6">
        <f t="shared" si="7"/>
        <v>-3905</v>
      </c>
      <c r="F19" s="6">
        <f t="shared" si="8"/>
        <v>-3230</v>
      </c>
      <c r="G19" s="6"/>
      <c r="H19" s="6">
        <f t="shared" si="9"/>
        <v>-17968</v>
      </c>
    </row>
    <row r="20" spans="1:9" x14ac:dyDescent="0.25">
      <c r="B20" t="s">
        <v>23</v>
      </c>
      <c r="C20" s="6">
        <f t="shared" si="5"/>
        <v>-7375</v>
      </c>
      <c r="D20" s="6">
        <f t="shared" si="6"/>
        <v>-3458</v>
      </c>
      <c r="E20" s="6">
        <f t="shared" si="7"/>
        <v>-3905</v>
      </c>
      <c r="F20" s="6">
        <f t="shared" si="8"/>
        <v>-3230</v>
      </c>
      <c r="G20" s="6"/>
      <c r="H20" s="6">
        <f t="shared" si="9"/>
        <v>-17968</v>
      </c>
    </row>
    <row r="21" spans="1:9" x14ac:dyDescent="0.25">
      <c r="B21" t="s">
        <v>24</v>
      </c>
      <c r="C21" s="6">
        <f t="shared" si="5"/>
        <v>-7375</v>
      </c>
      <c r="D21" s="6">
        <f t="shared" si="6"/>
        <v>-3458</v>
      </c>
      <c r="E21" s="6">
        <f t="shared" si="7"/>
        <v>-3905</v>
      </c>
      <c r="F21" s="6">
        <f t="shared" si="8"/>
        <v>-3230</v>
      </c>
      <c r="G21" s="6"/>
      <c r="H21" s="6">
        <f t="shared" si="9"/>
        <v>-17968</v>
      </c>
    </row>
    <row r="22" spans="1:9" x14ac:dyDescent="0.25">
      <c r="B22" t="s">
        <v>25</v>
      </c>
      <c r="C22" s="6">
        <f t="shared" si="5"/>
        <v>-7375</v>
      </c>
      <c r="D22" s="6">
        <f t="shared" si="6"/>
        <v>-3458</v>
      </c>
      <c r="E22" s="6">
        <f t="shared" si="7"/>
        <v>-3905</v>
      </c>
      <c r="F22" s="6">
        <f t="shared" si="8"/>
        <v>-3230</v>
      </c>
      <c r="G22" s="6"/>
      <c r="H22" s="6">
        <f t="shared" si="9"/>
        <v>-17968</v>
      </c>
    </row>
    <row r="23" spans="1:9" x14ac:dyDescent="0.25">
      <c r="B23" t="s">
        <v>26</v>
      </c>
      <c r="C23" s="6">
        <f t="shared" si="5"/>
        <v>-7375</v>
      </c>
      <c r="D23" s="6">
        <f t="shared" si="6"/>
        <v>-3458</v>
      </c>
      <c r="E23" s="6">
        <f t="shared" si="7"/>
        <v>-3905</v>
      </c>
      <c r="F23" s="6">
        <f t="shared" si="8"/>
        <v>-3230</v>
      </c>
      <c r="G23" s="6"/>
      <c r="H23" s="6">
        <f t="shared" si="9"/>
        <v>-17968</v>
      </c>
    </row>
    <row r="24" spans="1:9" x14ac:dyDescent="0.25">
      <c r="B24" t="s">
        <v>27</v>
      </c>
      <c r="C24" s="6">
        <f t="shared" si="5"/>
        <v>-7375</v>
      </c>
      <c r="D24" s="6">
        <f t="shared" si="6"/>
        <v>-3458</v>
      </c>
      <c r="E24" s="6">
        <f t="shared" si="7"/>
        <v>-3905</v>
      </c>
      <c r="F24" s="6">
        <f t="shared" si="8"/>
        <v>-3230</v>
      </c>
      <c r="G24" s="6"/>
      <c r="H24" s="6">
        <f t="shared" si="9"/>
        <v>-17968</v>
      </c>
    </row>
    <row r="25" spans="1:9" x14ac:dyDescent="0.25">
      <c r="B25" t="s">
        <v>28</v>
      </c>
      <c r="C25" s="6">
        <f t="shared" si="5"/>
        <v>-7375</v>
      </c>
      <c r="D25" s="6">
        <f t="shared" si="6"/>
        <v>-3458</v>
      </c>
      <c r="E25" s="6">
        <f t="shared" si="7"/>
        <v>-3905</v>
      </c>
      <c r="F25" s="6">
        <f t="shared" si="8"/>
        <v>-3230</v>
      </c>
      <c r="G25" s="6"/>
      <c r="H25" s="6">
        <f t="shared" si="9"/>
        <v>-17968</v>
      </c>
    </row>
    <row r="26" spans="1:9" x14ac:dyDescent="0.25">
      <c r="B26" t="s">
        <v>29</v>
      </c>
      <c r="C26" s="6">
        <f t="shared" si="5"/>
        <v>-7375</v>
      </c>
      <c r="D26" s="6">
        <f t="shared" si="6"/>
        <v>-3458</v>
      </c>
      <c r="E26" s="6">
        <f t="shared" si="7"/>
        <v>-3905</v>
      </c>
      <c r="F26" s="6">
        <f t="shared" si="8"/>
        <v>-3230</v>
      </c>
      <c r="G26" s="6"/>
      <c r="H26" s="6">
        <f t="shared" si="9"/>
        <v>-17968</v>
      </c>
    </row>
    <row r="27" spans="1:9" x14ac:dyDescent="0.25">
      <c r="B27" t="s">
        <v>30</v>
      </c>
      <c r="C27" s="6">
        <f>ROUND(($C$8-$C$12-$C$13-$C$14-$C$15-$C$16-$C$17-$C$18-$C$19-$C$20-$C$21-$C$22-$C$23-$C$24-$C$25-$C$26)/61/12,0)</f>
        <v>-6720</v>
      </c>
      <c r="D27" s="6">
        <f>ROUND(($D$8-$D$12-$D$13-$D$14-$D$15-$D$16-$D$17-$D$18-$D$19-$D$20-$D$21-$D$22-$D$23-$D$24-$D$25-$D$26)/62/12,0)</f>
        <v>-3156</v>
      </c>
      <c r="E27" s="6">
        <f>ROUND(($E$8-$E$12-$E$13-$E$14-$E$15-$E$16-$E$17-$E$18-$E$19-$E$20-$E$21-$E$22-$E$23-$E$24-$E$25-$E$26)/63/12,0)</f>
        <v>-3569</v>
      </c>
      <c r="F27" s="6">
        <f>ROUND(($F$8-$F$12-$F$13-$F$14-$F$15-$F$16-$F$17-$F$18-$F$19-$F$20-$F$21-$F$22-$F$23-$F$24-$F$25-$F$26)/64/12,0)</f>
        <v>-2956</v>
      </c>
      <c r="G27" s="6"/>
      <c r="H27" s="6">
        <f t="shared" si="9"/>
        <v>-16401</v>
      </c>
      <c r="I27" s="63" t="s">
        <v>95</v>
      </c>
    </row>
    <row r="28" spans="1:9" x14ac:dyDescent="0.25">
      <c r="A28">
        <v>2014</v>
      </c>
      <c r="C28" s="6">
        <f>$C$27*12</f>
        <v>-80640</v>
      </c>
      <c r="D28" s="6">
        <f>$D$27*12</f>
        <v>-37872</v>
      </c>
      <c r="E28" s="6">
        <f>$E$27*12</f>
        <v>-42828</v>
      </c>
      <c r="F28" s="6">
        <f>$F$27*12</f>
        <v>-35472</v>
      </c>
      <c r="G28" s="6"/>
      <c r="H28" s="6">
        <f t="shared" ref="H28" si="10">SUM(C28:F28)</f>
        <v>-196812</v>
      </c>
      <c r="I28" s="63"/>
    </row>
    <row r="29" spans="1:9" x14ac:dyDescent="0.25">
      <c r="A29">
        <v>2015</v>
      </c>
      <c r="C29" s="6">
        <f>$C$27*12</f>
        <v>-80640</v>
      </c>
      <c r="D29" s="6">
        <f>$D$27*12</f>
        <v>-37872</v>
      </c>
      <c r="E29" s="6">
        <f>$E$27*12</f>
        <v>-42828</v>
      </c>
      <c r="F29" s="6">
        <f>$F$27*12</f>
        <v>-35472</v>
      </c>
      <c r="G29" s="6"/>
      <c r="H29" s="6">
        <f t="shared" ref="H29" si="11">SUM(C29:F29)</f>
        <v>-196812</v>
      </c>
    </row>
    <row r="30" spans="1:9" x14ac:dyDescent="0.25">
      <c r="A30">
        <v>2016</v>
      </c>
      <c r="C30" s="6">
        <f>$C$27*12</f>
        <v>-80640</v>
      </c>
      <c r="D30" s="6">
        <f>$D$27*12</f>
        <v>-37872</v>
      </c>
      <c r="E30" s="6">
        <f>$E$27*12</f>
        <v>-42828</v>
      </c>
      <c r="F30" s="6">
        <f>$F$27*12</f>
        <v>-35472</v>
      </c>
      <c r="G30" s="6">
        <f>ROUND($G$8/65,0)</f>
        <v>-298746</v>
      </c>
      <c r="H30" s="6">
        <f>SUM(C30:G30)</f>
        <v>-495558</v>
      </c>
    </row>
    <row r="31" spans="1:9" x14ac:dyDescent="0.25">
      <c r="A31">
        <v>2017</v>
      </c>
      <c r="C31" s="6">
        <f>ROUND($C$10/58,0)-3</f>
        <v>-82199</v>
      </c>
      <c r="D31" s="6">
        <f>ROUND($D$10/59,0)+2</f>
        <v>-37812</v>
      </c>
      <c r="E31" s="6">
        <f>ROUND($E$10/60,0)-1</f>
        <v>-42084</v>
      </c>
      <c r="F31" s="6">
        <f>ROUND($F$10/61,0)+3</f>
        <v>-34824</v>
      </c>
      <c r="G31" s="6">
        <f>ROUND($G$8/65,0)/2-3</f>
        <v>-149376</v>
      </c>
      <c r="H31" s="6">
        <f t="shared" ref="H31:H94" si="12">SUM(C31:G31)</f>
        <v>-346295</v>
      </c>
    </row>
    <row r="32" spans="1:9" ht="14.45" customHeight="1" x14ac:dyDescent="0.25">
      <c r="A32">
        <v>2018</v>
      </c>
      <c r="C32" s="6">
        <f t="shared" ref="C32:C63" si="13">ROUND($C$10/58,0)-4</f>
        <v>-82200</v>
      </c>
      <c r="D32" s="6">
        <f t="shared" ref="D32:D89" si="14">ROUND($D$10/59,0)+2</f>
        <v>-37812</v>
      </c>
      <c r="E32" s="6">
        <f t="shared" ref="E32:E90" si="15">ROUND($E$10/60,0)-1</f>
        <v>-42084</v>
      </c>
      <c r="F32" s="6">
        <f t="shared" ref="F32:F91" si="16">ROUND($F$10/61,0)+3</f>
        <v>-34824</v>
      </c>
      <c r="G32" s="6">
        <f>ROUND(($G$10-$G$31)/63,0)+0</f>
        <v>-287868</v>
      </c>
      <c r="H32" s="6">
        <f t="shared" si="12"/>
        <v>-484788</v>
      </c>
      <c r="I32" s="63" t="s">
        <v>96</v>
      </c>
    </row>
    <row r="33" spans="1:9" x14ac:dyDescent="0.25">
      <c r="A33">
        <v>2019</v>
      </c>
      <c r="C33" s="6">
        <f t="shared" si="13"/>
        <v>-82200</v>
      </c>
      <c r="D33" s="6">
        <f t="shared" si="14"/>
        <v>-37812</v>
      </c>
      <c r="E33" s="6">
        <f t="shared" si="15"/>
        <v>-42084</v>
      </c>
      <c r="F33" s="6">
        <f t="shared" si="16"/>
        <v>-34824</v>
      </c>
      <c r="G33" s="6">
        <f t="shared" ref="G33:G94" si="17">ROUND(($G$10-$G$31)/63,0)+0</f>
        <v>-287868</v>
      </c>
      <c r="H33" s="6">
        <f t="shared" si="12"/>
        <v>-484788</v>
      </c>
      <c r="I33" s="63"/>
    </row>
    <row r="34" spans="1:9" ht="14.45" hidden="1" customHeight="1" x14ac:dyDescent="0.25">
      <c r="A34">
        <v>2020</v>
      </c>
      <c r="C34" s="6">
        <f t="shared" si="13"/>
        <v>-82200</v>
      </c>
      <c r="D34" s="6">
        <f t="shared" si="14"/>
        <v>-37812</v>
      </c>
      <c r="E34" s="6">
        <f t="shared" si="15"/>
        <v>-42084</v>
      </c>
      <c r="F34" s="6">
        <f t="shared" si="16"/>
        <v>-34824</v>
      </c>
      <c r="G34" s="6">
        <f t="shared" si="17"/>
        <v>-287868</v>
      </c>
      <c r="H34" s="6">
        <f t="shared" si="12"/>
        <v>-484788</v>
      </c>
      <c r="I34" s="63"/>
    </row>
    <row r="35" spans="1:9" ht="14.45" hidden="1" customHeight="1" x14ac:dyDescent="0.25">
      <c r="A35">
        <v>2021</v>
      </c>
      <c r="C35" s="6">
        <f t="shared" si="13"/>
        <v>-82200</v>
      </c>
      <c r="D35" s="6">
        <f t="shared" si="14"/>
        <v>-37812</v>
      </c>
      <c r="E35" s="6">
        <f t="shared" si="15"/>
        <v>-42084</v>
      </c>
      <c r="F35" s="6">
        <f t="shared" si="16"/>
        <v>-34824</v>
      </c>
      <c r="G35" s="6">
        <f t="shared" si="17"/>
        <v>-287868</v>
      </c>
      <c r="H35" s="6">
        <f t="shared" si="12"/>
        <v>-484788</v>
      </c>
      <c r="I35" s="63"/>
    </row>
    <row r="36" spans="1:9" ht="14.45" hidden="1" customHeight="1" x14ac:dyDescent="0.25">
      <c r="A36">
        <v>2022</v>
      </c>
      <c r="C36" s="6">
        <f t="shared" si="13"/>
        <v>-82200</v>
      </c>
      <c r="D36" s="6">
        <f t="shared" si="14"/>
        <v>-37812</v>
      </c>
      <c r="E36" s="6">
        <f t="shared" si="15"/>
        <v>-42084</v>
      </c>
      <c r="F36" s="6">
        <f t="shared" si="16"/>
        <v>-34824</v>
      </c>
      <c r="G36" s="6">
        <f t="shared" si="17"/>
        <v>-287868</v>
      </c>
      <c r="H36" s="6">
        <f t="shared" si="12"/>
        <v>-484788</v>
      </c>
      <c r="I36" s="63"/>
    </row>
    <row r="37" spans="1:9" ht="14.45" hidden="1" customHeight="1" x14ac:dyDescent="0.25">
      <c r="A37">
        <v>2023</v>
      </c>
      <c r="C37" s="6">
        <f t="shared" si="13"/>
        <v>-82200</v>
      </c>
      <c r="D37" s="6">
        <f t="shared" si="14"/>
        <v>-37812</v>
      </c>
      <c r="E37" s="6">
        <f t="shared" si="15"/>
        <v>-42084</v>
      </c>
      <c r="F37" s="6">
        <f t="shared" si="16"/>
        <v>-34824</v>
      </c>
      <c r="G37" s="6">
        <f t="shared" si="17"/>
        <v>-287868</v>
      </c>
      <c r="H37" s="6">
        <f t="shared" si="12"/>
        <v>-484788</v>
      </c>
      <c r="I37" s="63"/>
    </row>
    <row r="38" spans="1:9" ht="14.45" hidden="1" customHeight="1" x14ac:dyDescent="0.25">
      <c r="A38">
        <v>2024</v>
      </c>
      <c r="C38" s="6">
        <f t="shared" si="13"/>
        <v>-82200</v>
      </c>
      <c r="D38" s="6">
        <f t="shared" si="14"/>
        <v>-37812</v>
      </c>
      <c r="E38" s="6">
        <f t="shared" si="15"/>
        <v>-42084</v>
      </c>
      <c r="F38" s="6">
        <f t="shared" si="16"/>
        <v>-34824</v>
      </c>
      <c r="G38" s="6">
        <f t="shared" si="17"/>
        <v>-287868</v>
      </c>
      <c r="H38" s="6">
        <f t="shared" si="12"/>
        <v>-484788</v>
      </c>
      <c r="I38" s="63"/>
    </row>
    <row r="39" spans="1:9" ht="14.45" hidden="1" customHeight="1" x14ac:dyDescent="0.25">
      <c r="A39">
        <v>2025</v>
      </c>
      <c r="C39" s="6">
        <f t="shared" si="13"/>
        <v>-82200</v>
      </c>
      <c r="D39" s="6">
        <f t="shared" si="14"/>
        <v>-37812</v>
      </c>
      <c r="E39" s="6">
        <f t="shared" si="15"/>
        <v>-42084</v>
      </c>
      <c r="F39" s="6">
        <f t="shared" si="16"/>
        <v>-34824</v>
      </c>
      <c r="G39" s="6">
        <f t="shared" si="17"/>
        <v>-287868</v>
      </c>
      <c r="H39" s="6">
        <f t="shared" si="12"/>
        <v>-484788</v>
      </c>
      <c r="I39" s="63"/>
    </row>
    <row r="40" spans="1:9" ht="14.45" hidden="1" customHeight="1" x14ac:dyDescent="0.25">
      <c r="A40">
        <v>2026</v>
      </c>
      <c r="C40" s="6">
        <f t="shared" si="13"/>
        <v>-82200</v>
      </c>
      <c r="D40" s="6">
        <f t="shared" si="14"/>
        <v>-37812</v>
      </c>
      <c r="E40" s="6">
        <f t="shared" si="15"/>
        <v>-42084</v>
      </c>
      <c r="F40" s="6">
        <f t="shared" si="16"/>
        <v>-34824</v>
      </c>
      <c r="G40" s="6">
        <f t="shared" si="17"/>
        <v>-287868</v>
      </c>
      <c r="H40" s="6">
        <f t="shared" si="12"/>
        <v>-484788</v>
      </c>
      <c r="I40" s="63"/>
    </row>
    <row r="41" spans="1:9" ht="14.45" hidden="1" customHeight="1" x14ac:dyDescent="0.25">
      <c r="A41">
        <v>2027</v>
      </c>
      <c r="C41" s="6">
        <f t="shared" si="13"/>
        <v>-82200</v>
      </c>
      <c r="D41" s="6">
        <f t="shared" si="14"/>
        <v>-37812</v>
      </c>
      <c r="E41" s="6">
        <f t="shared" si="15"/>
        <v>-42084</v>
      </c>
      <c r="F41" s="6">
        <f t="shared" si="16"/>
        <v>-34824</v>
      </c>
      <c r="G41" s="6">
        <f t="shared" si="17"/>
        <v>-287868</v>
      </c>
      <c r="H41" s="6">
        <f t="shared" si="12"/>
        <v>-484788</v>
      </c>
      <c r="I41" s="63"/>
    </row>
    <row r="42" spans="1:9" ht="14.45" hidden="1" customHeight="1" x14ac:dyDescent="0.25">
      <c r="A42">
        <v>2028</v>
      </c>
      <c r="C42" s="6">
        <f t="shared" si="13"/>
        <v>-82200</v>
      </c>
      <c r="D42" s="6">
        <f t="shared" si="14"/>
        <v>-37812</v>
      </c>
      <c r="E42" s="6">
        <f t="shared" si="15"/>
        <v>-42084</v>
      </c>
      <c r="F42" s="6">
        <f t="shared" si="16"/>
        <v>-34824</v>
      </c>
      <c r="G42" s="6">
        <f t="shared" si="17"/>
        <v>-287868</v>
      </c>
      <c r="H42" s="6">
        <f t="shared" si="12"/>
        <v>-484788</v>
      </c>
      <c r="I42" s="63"/>
    </row>
    <row r="43" spans="1:9" ht="14.45" hidden="1" customHeight="1" x14ac:dyDescent="0.25">
      <c r="A43">
        <v>2029</v>
      </c>
      <c r="C43" s="6">
        <f t="shared" si="13"/>
        <v>-82200</v>
      </c>
      <c r="D43" s="6">
        <f t="shared" si="14"/>
        <v>-37812</v>
      </c>
      <c r="E43" s="6">
        <f t="shared" si="15"/>
        <v>-42084</v>
      </c>
      <c r="F43" s="6">
        <f t="shared" si="16"/>
        <v>-34824</v>
      </c>
      <c r="G43" s="6">
        <f t="shared" si="17"/>
        <v>-287868</v>
      </c>
      <c r="H43" s="6">
        <f t="shared" si="12"/>
        <v>-484788</v>
      </c>
      <c r="I43" s="63"/>
    </row>
    <row r="44" spans="1:9" ht="14.45" hidden="1" customHeight="1" x14ac:dyDescent="0.25">
      <c r="A44">
        <v>2030</v>
      </c>
      <c r="C44" s="6">
        <f t="shared" si="13"/>
        <v>-82200</v>
      </c>
      <c r="D44" s="6">
        <f t="shared" si="14"/>
        <v>-37812</v>
      </c>
      <c r="E44" s="6">
        <f t="shared" si="15"/>
        <v>-42084</v>
      </c>
      <c r="F44" s="6">
        <f t="shared" si="16"/>
        <v>-34824</v>
      </c>
      <c r="G44" s="6">
        <f t="shared" si="17"/>
        <v>-287868</v>
      </c>
      <c r="H44" s="6">
        <f t="shared" si="12"/>
        <v>-484788</v>
      </c>
      <c r="I44" s="63"/>
    </row>
    <row r="45" spans="1:9" ht="14.45" hidden="1" customHeight="1" x14ac:dyDescent="0.25">
      <c r="A45">
        <v>2031</v>
      </c>
      <c r="C45" s="6">
        <f t="shared" si="13"/>
        <v>-82200</v>
      </c>
      <c r="D45" s="6">
        <f t="shared" si="14"/>
        <v>-37812</v>
      </c>
      <c r="E45" s="6">
        <f t="shared" si="15"/>
        <v>-42084</v>
      </c>
      <c r="F45" s="6">
        <f t="shared" si="16"/>
        <v>-34824</v>
      </c>
      <c r="G45" s="6">
        <f t="shared" si="17"/>
        <v>-287868</v>
      </c>
      <c r="H45" s="6">
        <f t="shared" si="12"/>
        <v>-484788</v>
      </c>
      <c r="I45" s="63"/>
    </row>
    <row r="46" spans="1:9" ht="14.45" hidden="1" customHeight="1" x14ac:dyDescent="0.25">
      <c r="A46">
        <v>2032</v>
      </c>
      <c r="C46" s="6">
        <f t="shared" si="13"/>
        <v>-82200</v>
      </c>
      <c r="D46" s="6">
        <f t="shared" si="14"/>
        <v>-37812</v>
      </c>
      <c r="E46" s="6">
        <f t="shared" si="15"/>
        <v>-42084</v>
      </c>
      <c r="F46" s="6">
        <f t="shared" si="16"/>
        <v>-34824</v>
      </c>
      <c r="G46" s="6">
        <f t="shared" si="17"/>
        <v>-287868</v>
      </c>
      <c r="H46" s="6">
        <f t="shared" si="12"/>
        <v>-484788</v>
      </c>
      <c r="I46" s="63"/>
    </row>
    <row r="47" spans="1:9" ht="14.45" hidden="1" customHeight="1" x14ac:dyDescent="0.25">
      <c r="A47">
        <v>2033</v>
      </c>
      <c r="C47" s="6">
        <f t="shared" si="13"/>
        <v>-82200</v>
      </c>
      <c r="D47" s="6">
        <f t="shared" si="14"/>
        <v>-37812</v>
      </c>
      <c r="E47" s="6">
        <f t="shared" si="15"/>
        <v>-42084</v>
      </c>
      <c r="F47" s="6">
        <f t="shared" si="16"/>
        <v>-34824</v>
      </c>
      <c r="G47" s="6">
        <f t="shared" si="17"/>
        <v>-287868</v>
      </c>
      <c r="H47" s="6">
        <f t="shared" si="12"/>
        <v>-484788</v>
      </c>
      <c r="I47" s="63"/>
    </row>
    <row r="48" spans="1:9" ht="14.45" hidden="1" customHeight="1" x14ac:dyDescent="0.25">
      <c r="A48">
        <v>2034</v>
      </c>
      <c r="C48" s="6">
        <f t="shared" si="13"/>
        <v>-82200</v>
      </c>
      <c r="D48" s="6">
        <f t="shared" si="14"/>
        <v>-37812</v>
      </c>
      <c r="E48" s="6">
        <f t="shared" si="15"/>
        <v>-42084</v>
      </c>
      <c r="F48" s="6">
        <f t="shared" si="16"/>
        <v>-34824</v>
      </c>
      <c r="G48" s="6">
        <f t="shared" si="17"/>
        <v>-287868</v>
      </c>
      <c r="H48" s="6">
        <f t="shared" si="12"/>
        <v>-484788</v>
      </c>
      <c r="I48" s="63"/>
    </row>
    <row r="49" spans="1:9" ht="14.45" hidden="1" customHeight="1" x14ac:dyDescent="0.25">
      <c r="A49">
        <v>2035</v>
      </c>
      <c r="C49" s="6">
        <f t="shared" si="13"/>
        <v>-82200</v>
      </c>
      <c r="D49" s="6">
        <f t="shared" si="14"/>
        <v>-37812</v>
      </c>
      <c r="E49" s="6">
        <f t="shared" si="15"/>
        <v>-42084</v>
      </c>
      <c r="F49" s="6">
        <f t="shared" si="16"/>
        <v>-34824</v>
      </c>
      <c r="G49" s="6">
        <f t="shared" si="17"/>
        <v>-287868</v>
      </c>
      <c r="H49" s="6">
        <f t="shared" si="12"/>
        <v>-484788</v>
      </c>
      <c r="I49" s="63"/>
    </row>
    <row r="50" spans="1:9" ht="14.45" hidden="1" customHeight="1" x14ac:dyDescent="0.25">
      <c r="A50">
        <v>2036</v>
      </c>
      <c r="C50" s="6">
        <f t="shared" si="13"/>
        <v>-82200</v>
      </c>
      <c r="D50" s="6">
        <f t="shared" si="14"/>
        <v>-37812</v>
      </c>
      <c r="E50" s="6">
        <f t="shared" si="15"/>
        <v>-42084</v>
      </c>
      <c r="F50" s="6">
        <f t="shared" si="16"/>
        <v>-34824</v>
      </c>
      <c r="G50" s="6">
        <f t="shared" si="17"/>
        <v>-287868</v>
      </c>
      <c r="H50" s="6">
        <f t="shared" si="12"/>
        <v>-484788</v>
      </c>
      <c r="I50" s="63"/>
    </row>
    <row r="51" spans="1:9" ht="14.45" hidden="1" customHeight="1" x14ac:dyDescent="0.25">
      <c r="A51">
        <v>2037</v>
      </c>
      <c r="C51" s="6">
        <f t="shared" si="13"/>
        <v>-82200</v>
      </c>
      <c r="D51" s="6">
        <f t="shared" si="14"/>
        <v>-37812</v>
      </c>
      <c r="E51" s="6">
        <f t="shared" si="15"/>
        <v>-42084</v>
      </c>
      <c r="F51" s="6">
        <f t="shared" si="16"/>
        <v>-34824</v>
      </c>
      <c r="G51" s="6">
        <f t="shared" si="17"/>
        <v>-287868</v>
      </c>
      <c r="H51" s="6">
        <f t="shared" si="12"/>
        <v>-484788</v>
      </c>
      <c r="I51" s="63"/>
    </row>
    <row r="52" spans="1:9" ht="14.45" hidden="1" customHeight="1" x14ac:dyDescent="0.25">
      <c r="A52">
        <v>2038</v>
      </c>
      <c r="C52" s="6">
        <f t="shared" si="13"/>
        <v>-82200</v>
      </c>
      <c r="D52" s="6">
        <f t="shared" si="14"/>
        <v>-37812</v>
      </c>
      <c r="E52" s="6">
        <f t="shared" si="15"/>
        <v>-42084</v>
      </c>
      <c r="F52" s="6">
        <f t="shared" si="16"/>
        <v>-34824</v>
      </c>
      <c r="G52" s="6">
        <f t="shared" si="17"/>
        <v>-287868</v>
      </c>
      <c r="H52" s="6">
        <f t="shared" si="12"/>
        <v>-484788</v>
      </c>
      <c r="I52" s="63"/>
    </row>
    <row r="53" spans="1:9" ht="14.45" hidden="1" customHeight="1" x14ac:dyDescent="0.25">
      <c r="A53">
        <v>2039</v>
      </c>
      <c r="C53" s="6">
        <f t="shared" si="13"/>
        <v>-82200</v>
      </c>
      <c r="D53" s="6">
        <f t="shared" si="14"/>
        <v>-37812</v>
      </c>
      <c r="E53" s="6">
        <f t="shared" si="15"/>
        <v>-42084</v>
      </c>
      <c r="F53" s="6">
        <f t="shared" si="16"/>
        <v>-34824</v>
      </c>
      <c r="G53" s="6">
        <f t="shared" si="17"/>
        <v>-287868</v>
      </c>
      <c r="H53" s="6">
        <f t="shared" si="12"/>
        <v>-484788</v>
      </c>
      <c r="I53" s="63"/>
    </row>
    <row r="54" spans="1:9" ht="14.45" hidden="1" customHeight="1" x14ac:dyDescent="0.25">
      <c r="A54">
        <v>2040</v>
      </c>
      <c r="C54" s="6">
        <f t="shared" si="13"/>
        <v>-82200</v>
      </c>
      <c r="D54" s="6">
        <f t="shared" si="14"/>
        <v>-37812</v>
      </c>
      <c r="E54" s="6">
        <f t="shared" si="15"/>
        <v>-42084</v>
      </c>
      <c r="F54" s="6">
        <f t="shared" si="16"/>
        <v>-34824</v>
      </c>
      <c r="G54" s="6">
        <f t="shared" si="17"/>
        <v>-287868</v>
      </c>
      <c r="H54" s="6">
        <f t="shared" si="12"/>
        <v>-484788</v>
      </c>
      <c r="I54" s="63"/>
    </row>
    <row r="55" spans="1:9" ht="14.45" hidden="1" customHeight="1" x14ac:dyDescent="0.25">
      <c r="A55">
        <v>2041</v>
      </c>
      <c r="C55" s="6">
        <f t="shared" si="13"/>
        <v>-82200</v>
      </c>
      <c r="D55" s="6">
        <f t="shared" si="14"/>
        <v>-37812</v>
      </c>
      <c r="E55" s="6">
        <f t="shared" si="15"/>
        <v>-42084</v>
      </c>
      <c r="F55" s="6">
        <f t="shared" si="16"/>
        <v>-34824</v>
      </c>
      <c r="G55" s="6">
        <f t="shared" si="17"/>
        <v>-287868</v>
      </c>
      <c r="H55" s="6">
        <f t="shared" si="12"/>
        <v>-484788</v>
      </c>
      <c r="I55" s="63"/>
    </row>
    <row r="56" spans="1:9" ht="14.45" hidden="1" customHeight="1" x14ac:dyDescent="0.25">
      <c r="A56">
        <v>2042</v>
      </c>
      <c r="C56" s="6">
        <f t="shared" si="13"/>
        <v>-82200</v>
      </c>
      <c r="D56" s="6">
        <f t="shared" si="14"/>
        <v>-37812</v>
      </c>
      <c r="E56" s="6">
        <f t="shared" si="15"/>
        <v>-42084</v>
      </c>
      <c r="F56" s="6">
        <f t="shared" si="16"/>
        <v>-34824</v>
      </c>
      <c r="G56" s="6">
        <f t="shared" si="17"/>
        <v>-287868</v>
      </c>
      <c r="H56" s="6">
        <f t="shared" si="12"/>
        <v>-484788</v>
      </c>
      <c r="I56" s="63"/>
    </row>
    <row r="57" spans="1:9" ht="14.45" hidden="1" customHeight="1" x14ac:dyDescent="0.25">
      <c r="A57">
        <v>2043</v>
      </c>
      <c r="C57" s="6">
        <f t="shared" si="13"/>
        <v>-82200</v>
      </c>
      <c r="D57" s="6">
        <f t="shared" si="14"/>
        <v>-37812</v>
      </c>
      <c r="E57" s="6">
        <f t="shared" si="15"/>
        <v>-42084</v>
      </c>
      <c r="F57" s="6">
        <f t="shared" si="16"/>
        <v>-34824</v>
      </c>
      <c r="G57" s="6">
        <f t="shared" si="17"/>
        <v>-287868</v>
      </c>
      <c r="H57" s="6">
        <f t="shared" si="12"/>
        <v>-484788</v>
      </c>
      <c r="I57" s="63"/>
    </row>
    <row r="58" spans="1:9" ht="14.45" hidden="1" customHeight="1" x14ac:dyDescent="0.25">
      <c r="A58">
        <v>2044</v>
      </c>
      <c r="C58" s="6">
        <f t="shared" si="13"/>
        <v>-82200</v>
      </c>
      <c r="D58" s="6">
        <f t="shared" si="14"/>
        <v>-37812</v>
      </c>
      <c r="E58" s="6">
        <f t="shared" si="15"/>
        <v>-42084</v>
      </c>
      <c r="F58" s="6">
        <f t="shared" si="16"/>
        <v>-34824</v>
      </c>
      <c r="G58" s="6">
        <f t="shared" si="17"/>
        <v>-287868</v>
      </c>
      <c r="H58" s="6">
        <f t="shared" si="12"/>
        <v>-484788</v>
      </c>
      <c r="I58" s="63"/>
    </row>
    <row r="59" spans="1:9" ht="14.45" hidden="1" customHeight="1" x14ac:dyDescent="0.25">
      <c r="A59">
        <v>2045</v>
      </c>
      <c r="C59" s="6">
        <f t="shared" si="13"/>
        <v>-82200</v>
      </c>
      <c r="D59" s="6">
        <f t="shared" si="14"/>
        <v>-37812</v>
      </c>
      <c r="E59" s="6">
        <f t="shared" si="15"/>
        <v>-42084</v>
      </c>
      <c r="F59" s="6">
        <f t="shared" si="16"/>
        <v>-34824</v>
      </c>
      <c r="G59" s="6">
        <f t="shared" si="17"/>
        <v>-287868</v>
      </c>
      <c r="H59" s="6">
        <f t="shared" si="12"/>
        <v>-484788</v>
      </c>
      <c r="I59" s="63"/>
    </row>
    <row r="60" spans="1:9" ht="14.45" hidden="1" customHeight="1" x14ac:dyDescent="0.25">
      <c r="A60">
        <v>2046</v>
      </c>
      <c r="C60" s="6">
        <f t="shared" si="13"/>
        <v>-82200</v>
      </c>
      <c r="D60" s="6">
        <f t="shared" si="14"/>
        <v>-37812</v>
      </c>
      <c r="E60" s="6">
        <f t="shared" si="15"/>
        <v>-42084</v>
      </c>
      <c r="F60" s="6">
        <f t="shared" si="16"/>
        <v>-34824</v>
      </c>
      <c r="G60" s="6">
        <f t="shared" si="17"/>
        <v>-287868</v>
      </c>
      <c r="H60" s="6">
        <f t="shared" si="12"/>
        <v>-484788</v>
      </c>
      <c r="I60" s="63"/>
    </row>
    <row r="61" spans="1:9" ht="14.45" hidden="1" customHeight="1" x14ac:dyDescent="0.25">
      <c r="A61">
        <v>2047</v>
      </c>
      <c r="C61" s="6">
        <f t="shared" si="13"/>
        <v>-82200</v>
      </c>
      <c r="D61" s="6">
        <f t="shared" si="14"/>
        <v>-37812</v>
      </c>
      <c r="E61" s="6">
        <f t="shared" si="15"/>
        <v>-42084</v>
      </c>
      <c r="F61" s="6">
        <f t="shared" si="16"/>
        <v>-34824</v>
      </c>
      <c r="G61" s="6">
        <f t="shared" si="17"/>
        <v>-287868</v>
      </c>
      <c r="H61" s="6">
        <f t="shared" si="12"/>
        <v>-484788</v>
      </c>
      <c r="I61" s="63"/>
    </row>
    <row r="62" spans="1:9" ht="14.45" hidden="1" customHeight="1" x14ac:dyDescent="0.25">
      <c r="A62">
        <v>2048</v>
      </c>
      <c r="C62" s="6">
        <f t="shared" si="13"/>
        <v>-82200</v>
      </c>
      <c r="D62" s="6">
        <f t="shared" si="14"/>
        <v>-37812</v>
      </c>
      <c r="E62" s="6">
        <f t="shared" si="15"/>
        <v>-42084</v>
      </c>
      <c r="F62" s="6">
        <f t="shared" si="16"/>
        <v>-34824</v>
      </c>
      <c r="G62" s="6">
        <f t="shared" si="17"/>
        <v>-287868</v>
      </c>
      <c r="H62" s="6">
        <f t="shared" si="12"/>
        <v>-484788</v>
      </c>
      <c r="I62" s="63"/>
    </row>
    <row r="63" spans="1:9" ht="14.45" hidden="1" customHeight="1" x14ac:dyDescent="0.25">
      <c r="A63">
        <v>2049</v>
      </c>
      <c r="C63" s="6">
        <f t="shared" si="13"/>
        <v>-82200</v>
      </c>
      <c r="D63" s="6">
        <f t="shared" si="14"/>
        <v>-37812</v>
      </c>
      <c r="E63" s="6">
        <f t="shared" si="15"/>
        <v>-42084</v>
      </c>
      <c r="F63" s="6">
        <f t="shared" si="16"/>
        <v>-34824</v>
      </c>
      <c r="G63" s="6">
        <f t="shared" si="17"/>
        <v>-287868</v>
      </c>
      <c r="H63" s="6">
        <f t="shared" si="12"/>
        <v>-484788</v>
      </c>
      <c r="I63" s="63"/>
    </row>
    <row r="64" spans="1:9" ht="14.45" hidden="1" customHeight="1" x14ac:dyDescent="0.25">
      <c r="A64">
        <v>2050</v>
      </c>
      <c r="C64" s="6">
        <f t="shared" ref="C64:C88" si="18">ROUND($C$10/58,0)-4</f>
        <v>-82200</v>
      </c>
      <c r="D64" s="6">
        <f t="shared" si="14"/>
        <v>-37812</v>
      </c>
      <c r="E64" s="6">
        <f t="shared" si="15"/>
        <v>-42084</v>
      </c>
      <c r="F64" s="6">
        <f t="shared" si="16"/>
        <v>-34824</v>
      </c>
      <c r="G64" s="6">
        <f t="shared" si="17"/>
        <v>-287868</v>
      </c>
      <c r="H64" s="6">
        <f t="shared" si="12"/>
        <v>-484788</v>
      </c>
      <c r="I64" s="63"/>
    </row>
    <row r="65" spans="1:9" ht="14.45" hidden="1" customHeight="1" x14ac:dyDescent="0.25">
      <c r="A65">
        <v>2051</v>
      </c>
      <c r="C65" s="6">
        <f t="shared" si="18"/>
        <v>-82200</v>
      </c>
      <c r="D65" s="6">
        <f t="shared" si="14"/>
        <v>-37812</v>
      </c>
      <c r="E65" s="6">
        <f t="shared" si="15"/>
        <v>-42084</v>
      </c>
      <c r="F65" s="6">
        <f t="shared" si="16"/>
        <v>-34824</v>
      </c>
      <c r="G65" s="6">
        <f t="shared" si="17"/>
        <v>-287868</v>
      </c>
      <c r="H65" s="6">
        <f t="shared" si="12"/>
        <v>-484788</v>
      </c>
      <c r="I65" s="63"/>
    </row>
    <row r="66" spans="1:9" ht="14.45" hidden="1" customHeight="1" x14ac:dyDescent="0.25">
      <c r="A66">
        <v>2052</v>
      </c>
      <c r="C66" s="6">
        <f t="shared" si="18"/>
        <v>-82200</v>
      </c>
      <c r="D66" s="6">
        <f t="shared" si="14"/>
        <v>-37812</v>
      </c>
      <c r="E66" s="6">
        <f t="shared" si="15"/>
        <v>-42084</v>
      </c>
      <c r="F66" s="6">
        <f t="shared" si="16"/>
        <v>-34824</v>
      </c>
      <c r="G66" s="6">
        <f t="shared" si="17"/>
        <v>-287868</v>
      </c>
      <c r="H66" s="6">
        <f t="shared" si="12"/>
        <v>-484788</v>
      </c>
      <c r="I66" s="63"/>
    </row>
    <row r="67" spans="1:9" ht="14.45" hidden="1" customHeight="1" x14ac:dyDescent="0.25">
      <c r="A67">
        <v>2053</v>
      </c>
      <c r="C67" s="6">
        <f t="shared" si="18"/>
        <v>-82200</v>
      </c>
      <c r="D67" s="6">
        <f t="shared" si="14"/>
        <v>-37812</v>
      </c>
      <c r="E67" s="6">
        <f t="shared" si="15"/>
        <v>-42084</v>
      </c>
      <c r="F67" s="6">
        <f t="shared" si="16"/>
        <v>-34824</v>
      </c>
      <c r="G67" s="6">
        <f t="shared" si="17"/>
        <v>-287868</v>
      </c>
      <c r="H67" s="6">
        <f t="shared" si="12"/>
        <v>-484788</v>
      </c>
      <c r="I67" s="63"/>
    </row>
    <row r="68" spans="1:9" ht="14.45" hidden="1" customHeight="1" x14ac:dyDescent="0.25">
      <c r="A68">
        <v>2054</v>
      </c>
      <c r="C68" s="6">
        <f t="shared" si="18"/>
        <v>-82200</v>
      </c>
      <c r="D68" s="6">
        <f t="shared" si="14"/>
        <v>-37812</v>
      </c>
      <c r="E68" s="6">
        <f t="shared" si="15"/>
        <v>-42084</v>
      </c>
      <c r="F68" s="6">
        <f t="shared" si="16"/>
        <v>-34824</v>
      </c>
      <c r="G68" s="6">
        <f t="shared" si="17"/>
        <v>-287868</v>
      </c>
      <c r="H68" s="6">
        <f t="shared" si="12"/>
        <v>-484788</v>
      </c>
      <c r="I68" s="63"/>
    </row>
    <row r="69" spans="1:9" ht="14.45" hidden="1" customHeight="1" x14ac:dyDescent="0.25">
      <c r="A69">
        <v>2055</v>
      </c>
      <c r="C69" s="6">
        <f t="shared" si="18"/>
        <v>-82200</v>
      </c>
      <c r="D69" s="6">
        <f t="shared" si="14"/>
        <v>-37812</v>
      </c>
      <c r="E69" s="6">
        <f t="shared" si="15"/>
        <v>-42084</v>
      </c>
      <c r="F69" s="6">
        <f t="shared" si="16"/>
        <v>-34824</v>
      </c>
      <c r="G69" s="6">
        <f t="shared" si="17"/>
        <v>-287868</v>
      </c>
      <c r="H69" s="6">
        <f t="shared" si="12"/>
        <v>-484788</v>
      </c>
      <c r="I69" s="63"/>
    </row>
    <row r="70" spans="1:9" ht="14.45" hidden="1" customHeight="1" x14ac:dyDescent="0.25">
      <c r="A70">
        <v>2056</v>
      </c>
      <c r="C70" s="6">
        <f t="shared" si="18"/>
        <v>-82200</v>
      </c>
      <c r="D70" s="6">
        <f t="shared" si="14"/>
        <v>-37812</v>
      </c>
      <c r="E70" s="6">
        <f t="shared" si="15"/>
        <v>-42084</v>
      </c>
      <c r="F70" s="6">
        <f t="shared" si="16"/>
        <v>-34824</v>
      </c>
      <c r="G70" s="6">
        <f t="shared" si="17"/>
        <v>-287868</v>
      </c>
      <c r="H70" s="6">
        <f t="shared" si="12"/>
        <v>-484788</v>
      </c>
      <c r="I70" s="63"/>
    </row>
    <row r="71" spans="1:9" ht="14.45" hidden="1" customHeight="1" x14ac:dyDescent="0.25">
      <c r="A71">
        <v>2057</v>
      </c>
      <c r="C71" s="6">
        <f t="shared" si="18"/>
        <v>-82200</v>
      </c>
      <c r="D71" s="6">
        <f t="shared" si="14"/>
        <v>-37812</v>
      </c>
      <c r="E71" s="6">
        <f t="shared" si="15"/>
        <v>-42084</v>
      </c>
      <c r="F71" s="6">
        <f t="shared" si="16"/>
        <v>-34824</v>
      </c>
      <c r="G71" s="6">
        <f t="shared" si="17"/>
        <v>-287868</v>
      </c>
      <c r="H71" s="6">
        <f t="shared" si="12"/>
        <v>-484788</v>
      </c>
      <c r="I71" s="63"/>
    </row>
    <row r="72" spans="1:9" ht="14.45" hidden="1" customHeight="1" x14ac:dyDescent="0.25">
      <c r="A72">
        <v>2058</v>
      </c>
      <c r="C72" s="6">
        <f t="shared" si="18"/>
        <v>-82200</v>
      </c>
      <c r="D72" s="6">
        <f t="shared" si="14"/>
        <v>-37812</v>
      </c>
      <c r="E72" s="6">
        <f t="shared" si="15"/>
        <v>-42084</v>
      </c>
      <c r="F72" s="6">
        <f t="shared" si="16"/>
        <v>-34824</v>
      </c>
      <c r="G72" s="6">
        <f t="shared" si="17"/>
        <v>-287868</v>
      </c>
      <c r="H72" s="6">
        <f t="shared" si="12"/>
        <v>-484788</v>
      </c>
      <c r="I72" s="63"/>
    </row>
    <row r="73" spans="1:9" ht="14.45" hidden="1" customHeight="1" x14ac:dyDescent="0.25">
      <c r="A73">
        <v>2059</v>
      </c>
      <c r="C73" s="6">
        <f t="shared" si="18"/>
        <v>-82200</v>
      </c>
      <c r="D73" s="6">
        <f t="shared" si="14"/>
        <v>-37812</v>
      </c>
      <c r="E73" s="6">
        <f t="shared" si="15"/>
        <v>-42084</v>
      </c>
      <c r="F73" s="6">
        <f t="shared" si="16"/>
        <v>-34824</v>
      </c>
      <c r="G73" s="6">
        <f t="shared" si="17"/>
        <v>-287868</v>
      </c>
      <c r="H73" s="6">
        <f t="shared" si="12"/>
        <v>-484788</v>
      </c>
      <c r="I73" s="63"/>
    </row>
    <row r="74" spans="1:9" ht="14.45" hidden="1" customHeight="1" x14ac:dyDescent="0.25">
      <c r="A74">
        <v>2060</v>
      </c>
      <c r="C74" s="6">
        <f t="shared" si="18"/>
        <v>-82200</v>
      </c>
      <c r="D74" s="6">
        <f t="shared" si="14"/>
        <v>-37812</v>
      </c>
      <c r="E74" s="6">
        <f t="shared" si="15"/>
        <v>-42084</v>
      </c>
      <c r="F74" s="6">
        <f t="shared" si="16"/>
        <v>-34824</v>
      </c>
      <c r="G74" s="6">
        <f t="shared" si="17"/>
        <v>-287868</v>
      </c>
      <c r="H74" s="6">
        <f t="shared" si="12"/>
        <v>-484788</v>
      </c>
      <c r="I74" s="63"/>
    </row>
    <row r="75" spans="1:9" ht="14.45" hidden="1" customHeight="1" x14ac:dyDescent="0.25">
      <c r="A75">
        <v>2061</v>
      </c>
      <c r="C75" s="6">
        <f t="shared" si="18"/>
        <v>-82200</v>
      </c>
      <c r="D75" s="6">
        <f t="shared" si="14"/>
        <v>-37812</v>
      </c>
      <c r="E75" s="6">
        <f t="shared" si="15"/>
        <v>-42084</v>
      </c>
      <c r="F75" s="6">
        <f t="shared" si="16"/>
        <v>-34824</v>
      </c>
      <c r="G75" s="6">
        <f t="shared" si="17"/>
        <v>-287868</v>
      </c>
      <c r="H75" s="6">
        <f t="shared" si="12"/>
        <v>-484788</v>
      </c>
      <c r="I75" s="63"/>
    </row>
    <row r="76" spans="1:9" ht="14.45" hidden="1" customHeight="1" x14ac:dyDescent="0.25">
      <c r="A76">
        <v>2062</v>
      </c>
      <c r="C76" s="6">
        <f t="shared" si="18"/>
        <v>-82200</v>
      </c>
      <c r="D76" s="6">
        <f t="shared" si="14"/>
        <v>-37812</v>
      </c>
      <c r="E76" s="6">
        <f t="shared" si="15"/>
        <v>-42084</v>
      </c>
      <c r="F76" s="6">
        <f t="shared" si="16"/>
        <v>-34824</v>
      </c>
      <c r="G76" s="6">
        <f t="shared" si="17"/>
        <v>-287868</v>
      </c>
      <c r="H76" s="6">
        <f t="shared" si="12"/>
        <v>-484788</v>
      </c>
      <c r="I76" s="63"/>
    </row>
    <row r="77" spans="1:9" ht="14.45" hidden="1" customHeight="1" x14ac:dyDescent="0.25">
      <c r="A77">
        <v>2063</v>
      </c>
      <c r="C77" s="6">
        <f t="shared" si="18"/>
        <v>-82200</v>
      </c>
      <c r="D77" s="6">
        <f t="shared" si="14"/>
        <v>-37812</v>
      </c>
      <c r="E77" s="6">
        <f t="shared" si="15"/>
        <v>-42084</v>
      </c>
      <c r="F77" s="6">
        <f t="shared" si="16"/>
        <v>-34824</v>
      </c>
      <c r="G77" s="6">
        <f t="shared" si="17"/>
        <v>-287868</v>
      </c>
      <c r="H77" s="6">
        <f t="shared" si="12"/>
        <v>-484788</v>
      </c>
      <c r="I77" s="63"/>
    </row>
    <row r="78" spans="1:9" ht="14.45" hidden="1" customHeight="1" x14ac:dyDescent="0.25">
      <c r="A78">
        <v>2064</v>
      </c>
      <c r="C78" s="6">
        <f t="shared" si="18"/>
        <v>-82200</v>
      </c>
      <c r="D78" s="6">
        <f t="shared" si="14"/>
        <v>-37812</v>
      </c>
      <c r="E78" s="6">
        <f t="shared" si="15"/>
        <v>-42084</v>
      </c>
      <c r="F78" s="6">
        <f t="shared" si="16"/>
        <v>-34824</v>
      </c>
      <c r="G78" s="6">
        <f t="shared" si="17"/>
        <v>-287868</v>
      </c>
      <c r="H78" s="6">
        <f t="shared" si="12"/>
        <v>-484788</v>
      </c>
      <c r="I78" s="63"/>
    </row>
    <row r="79" spans="1:9" ht="14.45" hidden="1" customHeight="1" x14ac:dyDescent="0.25">
      <c r="A79">
        <v>2065</v>
      </c>
      <c r="C79" s="6">
        <f t="shared" si="18"/>
        <v>-82200</v>
      </c>
      <c r="D79" s="6">
        <f t="shared" si="14"/>
        <v>-37812</v>
      </c>
      <c r="E79" s="6">
        <f t="shared" si="15"/>
        <v>-42084</v>
      </c>
      <c r="F79" s="6">
        <f t="shared" si="16"/>
        <v>-34824</v>
      </c>
      <c r="G79" s="6">
        <f t="shared" si="17"/>
        <v>-287868</v>
      </c>
      <c r="H79" s="6">
        <f t="shared" si="12"/>
        <v>-484788</v>
      </c>
      <c r="I79" s="63"/>
    </row>
    <row r="80" spans="1:9" ht="14.45" hidden="1" customHeight="1" x14ac:dyDescent="0.25">
      <c r="A80">
        <v>2066</v>
      </c>
      <c r="C80" s="6">
        <f t="shared" si="18"/>
        <v>-82200</v>
      </c>
      <c r="D80" s="6">
        <f t="shared" si="14"/>
        <v>-37812</v>
      </c>
      <c r="E80" s="6">
        <f t="shared" si="15"/>
        <v>-42084</v>
      </c>
      <c r="F80" s="6">
        <f t="shared" si="16"/>
        <v>-34824</v>
      </c>
      <c r="G80" s="6">
        <f t="shared" si="17"/>
        <v>-287868</v>
      </c>
      <c r="H80" s="6">
        <f t="shared" si="12"/>
        <v>-484788</v>
      </c>
      <c r="I80" s="63"/>
    </row>
    <row r="81" spans="1:9" ht="14.45" hidden="1" customHeight="1" x14ac:dyDescent="0.25">
      <c r="A81">
        <v>2067</v>
      </c>
      <c r="C81" s="6">
        <f t="shared" si="18"/>
        <v>-82200</v>
      </c>
      <c r="D81" s="6">
        <f t="shared" si="14"/>
        <v>-37812</v>
      </c>
      <c r="E81" s="6">
        <f t="shared" si="15"/>
        <v>-42084</v>
      </c>
      <c r="F81" s="6">
        <f t="shared" si="16"/>
        <v>-34824</v>
      </c>
      <c r="G81" s="6">
        <f t="shared" si="17"/>
        <v>-287868</v>
      </c>
      <c r="H81" s="6">
        <f t="shared" si="12"/>
        <v>-484788</v>
      </c>
      <c r="I81" s="63"/>
    </row>
    <row r="82" spans="1:9" ht="14.45" hidden="1" customHeight="1" x14ac:dyDescent="0.25">
      <c r="A82">
        <v>2068</v>
      </c>
      <c r="C82" s="6">
        <f t="shared" si="18"/>
        <v>-82200</v>
      </c>
      <c r="D82" s="6">
        <f t="shared" si="14"/>
        <v>-37812</v>
      </c>
      <c r="E82" s="6">
        <f t="shared" si="15"/>
        <v>-42084</v>
      </c>
      <c r="F82" s="6">
        <f t="shared" si="16"/>
        <v>-34824</v>
      </c>
      <c r="G82" s="6">
        <f t="shared" si="17"/>
        <v>-287868</v>
      </c>
      <c r="H82" s="6">
        <f t="shared" si="12"/>
        <v>-484788</v>
      </c>
      <c r="I82" s="63"/>
    </row>
    <row r="83" spans="1:9" ht="14.45" hidden="1" customHeight="1" x14ac:dyDescent="0.25">
      <c r="A83">
        <v>2069</v>
      </c>
      <c r="C83" s="6">
        <f t="shared" si="18"/>
        <v>-82200</v>
      </c>
      <c r="D83" s="6">
        <f t="shared" si="14"/>
        <v>-37812</v>
      </c>
      <c r="E83" s="6">
        <f t="shared" si="15"/>
        <v>-42084</v>
      </c>
      <c r="F83" s="6">
        <f t="shared" si="16"/>
        <v>-34824</v>
      </c>
      <c r="G83" s="6">
        <f t="shared" si="17"/>
        <v>-287868</v>
      </c>
      <c r="H83" s="6">
        <f t="shared" si="12"/>
        <v>-484788</v>
      </c>
      <c r="I83" s="63"/>
    </row>
    <row r="84" spans="1:9" x14ac:dyDescent="0.25">
      <c r="A84">
        <v>2070</v>
      </c>
      <c r="C84" s="6">
        <f t="shared" si="18"/>
        <v>-82200</v>
      </c>
      <c r="D84" s="6">
        <f t="shared" si="14"/>
        <v>-37812</v>
      </c>
      <c r="E84" s="6">
        <f t="shared" si="15"/>
        <v>-42084</v>
      </c>
      <c r="F84" s="6">
        <f t="shared" si="16"/>
        <v>-34824</v>
      </c>
      <c r="G84" s="6">
        <f t="shared" si="17"/>
        <v>-287868</v>
      </c>
      <c r="H84" s="6">
        <f t="shared" si="12"/>
        <v>-484788</v>
      </c>
      <c r="I84" s="63"/>
    </row>
    <row r="85" spans="1:9" x14ac:dyDescent="0.25">
      <c r="A85">
        <v>2071</v>
      </c>
      <c r="C85" s="6">
        <f t="shared" si="18"/>
        <v>-82200</v>
      </c>
      <c r="D85" s="6">
        <f t="shared" si="14"/>
        <v>-37812</v>
      </c>
      <c r="E85" s="6">
        <f t="shared" si="15"/>
        <v>-42084</v>
      </c>
      <c r="F85" s="6">
        <f t="shared" si="16"/>
        <v>-34824</v>
      </c>
      <c r="G85" s="6">
        <f t="shared" si="17"/>
        <v>-287868</v>
      </c>
      <c r="H85" s="6">
        <f t="shared" si="12"/>
        <v>-484788</v>
      </c>
    </row>
    <row r="86" spans="1:9" x14ac:dyDescent="0.25">
      <c r="A86">
        <v>2072</v>
      </c>
      <c r="C86" s="6">
        <f t="shared" si="18"/>
        <v>-82200</v>
      </c>
      <c r="D86" s="6">
        <f t="shared" si="14"/>
        <v>-37812</v>
      </c>
      <c r="E86" s="6">
        <f t="shared" si="15"/>
        <v>-42084</v>
      </c>
      <c r="F86" s="6">
        <f t="shared" si="16"/>
        <v>-34824</v>
      </c>
      <c r="G86" s="6">
        <f t="shared" si="17"/>
        <v>-287868</v>
      </c>
      <c r="H86" s="6">
        <f t="shared" si="12"/>
        <v>-484788</v>
      </c>
    </row>
    <row r="87" spans="1:9" x14ac:dyDescent="0.25">
      <c r="A87">
        <v>2073</v>
      </c>
      <c r="C87" s="6">
        <f t="shared" si="18"/>
        <v>-82200</v>
      </c>
      <c r="D87" s="6">
        <f t="shared" si="14"/>
        <v>-37812</v>
      </c>
      <c r="E87" s="6">
        <f t="shared" si="15"/>
        <v>-42084</v>
      </c>
      <c r="F87" s="6">
        <f t="shared" si="16"/>
        <v>-34824</v>
      </c>
      <c r="G87" s="6">
        <f t="shared" si="17"/>
        <v>-287868</v>
      </c>
      <c r="H87" s="6">
        <f t="shared" si="12"/>
        <v>-484788</v>
      </c>
    </row>
    <row r="88" spans="1:9" x14ac:dyDescent="0.25">
      <c r="A88">
        <v>2074</v>
      </c>
      <c r="C88" s="6">
        <f t="shared" si="18"/>
        <v>-82200</v>
      </c>
      <c r="D88" s="6">
        <f t="shared" si="14"/>
        <v>-37812</v>
      </c>
      <c r="E88" s="6">
        <f t="shared" si="15"/>
        <v>-42084</v>
      </c>
      <c r="F88" s="6">
        <f t="shared" si="16"/>
        <v>-34824</v>
      </c>
      <c r="G88" s="6">
        <f t="shared" si="17"/>
        <v>-287868</v>
      </c>
      <c r="H88" s="6">
        <f t="shared" si="12"/>
        <v>-484788</v>
      </c>
    </row>
    <row r="89" spans="1:9" x14ac:dyDescent="0.25">
      <c r="A89">
        <v>2075</v>
      </c>
      <c r="C89" s="13"/>
      <c r="D89" s="6">
        <f t="shared" si="14"/>
        <v>-37812</v>
      </c>
      <c r="E89" s="6">
        <f t="shared" si="15"/>
        <v>-42084</v>
      </c>
      <c r="F89" s="6">
        <f t="shared" si="16"/>
        <v>-34824</v>
      </c>
      <c r="G89" s="6">
        <f t="shared" si="17"/>
        <v>-287868</v>
      </c>
      <c r="H89" s="6">
        <f t="shared" si="12"/>
        <v>-402588</v>
      </c>
    </row>
    <row r="90" spans="1:9" x14ac:dyDescent="0.25">
      <c r="A90">
        <v>2076</v>
      </c>
      <c r="C90" s="13"/>
      <c r="D90" s="13"/>
      <c r="E90" s="6">
        <f t="shared" si="15"/>
        <v>-42084</v>
      </c>
      <c r="F90" s="6">
        <f t="shared" si="16"/>
        <v>-34824</v>
      </c>
      <c r="G90" s="6">
        <f t="shared" si="17"/>
        <v>-287868</v>
      </c>
      <c r="H90" s="6">
        <f t="shared" si="12"/>
        <v>-364776</v>
      </c>
    </row>
    <row r="91" spans="1:9" x14ac:dyDescent="0.25">
      <c r="A91">
        <v>2077</v>
      </c>
      <c r="C91" s="13"/>
      <c r="D91" s="13"/>
      <c r="E91" s="13"/>
      <c r="F91" s="6">
        <f t="shared" si="16"/>
        <v>-34824</v>
      </c>
      <c r="G91" s="6">
        <f t="shared" si="17"/>
        <v>-287868</v>
      </c>
      <c r="H91" s="6">
        <f t="shared" si="12"/>
        <v>-322692</v>
      </c>
    </row>
    <row r="92" spans="1:9" x14ac:dyDescent="0.25">
      <c r="A92">
        <v>2078</v>
      </c>
      <c r="C92" s="13"/>
      <c r="D92" s="13"/>
      <c r="E92" s="6"/>
      <c r="F92" s="6"/>
      <c r="G92" s="6">
        <f t="shared" si="17"/>
        <v>-287868</v>
      </c>
      <c r="H92" s="6">
        <f t="shared" si="12"/>
        <v>-287868</v>
      </c>
    </row>
    <row r="93" spans="1:9" x14ac:dyDescent="0.25">
      <c r="A93">
        <v>2079</v>
      </c>
      <c r="C93" s="13"/>
      <c r="D93" s="13"/>
      <c r="E93" s="6"/>
      <c r="F93" s="6"/>
      <c r="G93" s="6">
        <f t="shared" si="17"/>
        <v>-287868</v>
      </c>
      <c r="H93" s="6">
        <f t="shared" si="12"/>
        <v>-287868</v>
      </c>
    </row>
    <row r="94" spans="1:9" x14ac:dyDescent="0.25">
      <c r="A94">
        <v>2080</v>
      </c>
      <c r="C94" s="13"/>
      <c r="D94" s="13"/>
      <c r="E94" s="6"/>
      <c r="F94" s="6"/>
      <c r="G94" s="6">
        <f t="shared" si="17"/>
        <v>-287868</v>
      </c>
      <c r="H94" s="6">
        <f t="shared" si="12"/>
        <v>-287868</v>
      </c>
    </row>
    <row r="95" spans="1:9" hidden="1" x14ac:dyDescent="0.25">
      <c r="A95">
        <v>2081</v>
      </c>
      <c r="C95" s="13"/>
      <c r="D95" s="13"/>
      <c r="E95" s="6"/>
      <c r="F95" s="6"/>
      <c r="G95" s="61"/>
      <c r="H95" s="6">
        <f t="shared" ref="H95:H98" si="19">SUM(C95:G95)</f>
        <v>0</v>
      </c>
    </row>
    <row r="96" spans="1:9" hidden="1" x14ac:dyDescent="0.25">
      <c r="A96">
        <v>2082</v>
      </c>
      <c r="C96" s="13"/>
      <c r="D96" s="13"/>
      <c r="E96" s="6"/>
      <c r="F96" s="6"/>
      <c r="G96" s="61"/>
      <c r="H96" s="6">
        <f t="shared" si="19"/>
        <v>0</v>
      </c>
    </row>
    <row r="97" spans="1:8" hidden="1" x14ac:dyDescent="0.25">
      <c r="A97">
        <v>2083</v>
      </c>
      <c r="C97" s="13"/>
      <c r="D97" s="13"/>
      <c r="E97" s="6"/>
      <c r="F97" s="6"/>
      <c r="G97" s="61"/>
      <c r="H97" s="6">
        <f t="shared" si="19"/>
        <v>0</v>
      </c>
    </row>
    <row r="98" spans="1:8" hidden="1" x14ac:dyDescent="0.25">
      <c r="A98">
        <v>2084</v>
      </c>
      <c r="C98" s="15"/>
      <c r="D98" s="15"/>
      <c r="E98" s="15"/>
      <c r="F98" s="15"/>
      <c r="G98" s="15"/>
      <c r="H98" s="15">
        <f t="shared" si="19"/>
        <v>0</v>
      </c>
    </row>
    <row r="99" spans="1:8" x14ac:dyDescent="0.25">
      <c r="C99" s="13"/>
      <c r="D99" s="13"/>
      <c r="E99" s="13"/>
      <c r="F99" s="13"/>
      <c r="G99" s="13"/>
      <c r="H99" s="6"/>
    </row>
    <row r="100" spans="1:8" x14ac:dyDescent="0.25">
      <c r="A100" t="s">
        <v>31</v>
      </c>
      <c r="C100" s="7">
        <f>SUM(C12:C98)</f>
        <v>-5407121</v>
      </c>
      <c r="D100" s="7">
        <f>SUM(D12:D98)</f>
        <v>-2489451</v>
      </c>
      <c r="E100" s="7">
        <f>SUM(E12:E98)</f>
        <v>-2770338</v>
      </c>
      <c r="F100" s="7">
        <f>SUM(F12:F98)</f>
        <v>-2288543</v>
      </c>
      <c r="G100" s="7">
        <f>SUM(G12:G98)</f>
        <v>-18583806</v>
      </c>
      <c r="H100" s="7">
        <f>SUM(C100:G100)</f>
        <v>-31539259</v>
      </c>
    </row>
    <row r="101" spans="1:8" x14ac:dyDescent="0.25">
      <c r="A101" t="s">
        <v>32</v>
      </c>
      <c r="C101" s="7">
        <f>C100-C8-C9</f>
        <v>-259</v>
      </c>
      <c r="D101" s="7">
        <f>D100-D8-D9</f>
        <v>117</v>
      </c>
      <c r="E101" s="7">
        <f t="shared" ref="E101:G101" si="20">E100-E8-E9</f>
        <v>-42</v>
      </c>
      <c r="F101" s="7">
        <f t="shared" si="20"/>
        <v>157</v>
      </c>
      <c r="G101" s="7">
        <f t="shared" si="20"/>
        <v>9</v>
      </c>
      <c r="H101" s="7">
        <f>H100-H8</f>
        <v>815722.96400000155</v>
      </c>
    </row>
    <row r="102" spans="1:8" x14ac:dyDescent="0.25">
      <c r="C102" s="4"/>
      <c r="D102" s="9">
        <v>0.65639999999999998</v>
      </c>
      <c r="E102" s="9">
        <f>1-D102</f>
        <v>0.34360000000000002</v>
      </c>
      <c r="F102" s="9"/>
      <c r="G102" s="9"/>
    </row>
    <row r="103" spans="1:8" x14ac:dyDescent="0.25">
      <c r="A103" s="3" t="s">
        <v>8</v>
      </c>
      <c r="C103" s="8" t="s">
        <v>11</v>
      </c>
      <c r="D103" s="8" t="s">
        <v>12</v>
      </c>
      <c r="E103" s="8" t="s">
        <v>13</v>
      </c>
      <c r="F103" s="8"/>
      <c r="G103" s="8"/>
    </row>
    <row r="104" spans="1:8" x14ac:dyDescent="0.25">
      <c r="A104" t="s">
        <v>16</v>
      </c>
      <c r="B104" t="s">
        <v>18</v>
      </c>
      <c r="C104" s="7">
        <f>H33</f>
        <v>-484788</v>
      </c>
      <c r="D104" s="7">
        <f>ROUND(C104*D102,0)</f>
        <v>-318215</v>
      </c>
      <c r="E104" s="7">
        <f>ROUND(C104*E102,0)</f>
        <v>-166573</v>
      </c>
      <c r="F104" s="7"/>
      <c r="G104" s="7"/>
    </row>
    <row r="105" spans="1:8" ht="15.75" thickBot="1" x14ac:dyDescent="0.3">
      <c r="A105" t="s">
        <v>9</v>
      </c>
      <c r="B105" t="s">
        <v>99</v>
      </c>
      <c r="C105" s="62">
        <f>D105+E105</f>
        <v>-484788</v>
      </c>
      <c r="D105" s="7">
        <v>-318215</v>
      </c>
      <c r="E105" s="7">
        <v>-166573</v>
      </c>
      <c r="F105" s="7"/>
      <c r="G105" s="7"/>
    </row>
    <row r="106" spans="1:8" ht="16.5" thickTop="1" thickBot="1" x14ac:dyDescent="0.3">
      <c r="A106" t="s">
        <v>10</v>
      </c>
      <c r="C106" s="10">
        <f>C104-C105</f>
        <v>0</v>
      </c>
      <c r="D106" s="11">
        <f t="shared" ref="D106:E106" si="21">D104-D105</f>
        <v>0</v>
      </c>
      <c r="E106" s="10">
        <f t="shared" si="21"/>
        <v>0</v>
      </c>
      <c r="F106" s="12"/>
      <c r="G106" s="12"/>
    </row>
  </sheetData>
  <mergeCells count="2">
    <mergeCell ref="I27:I28"/>
    <mergeCell ref="I32:I84"/>
  </mergeCells>
  <pageMargins left="0.7" right="0.43" top="0.75" bottom="0.75" header="0.3" footer="0.3"/>
  <pageSetup scale="67" orientation="portrait" r:id="rId1"/>
  <headerFoot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opLeftCell="A53" zoomScaleNormal="100" workbookViewId="0">
      <selection activeCell="C57" sqref="C57:C58"/>
    </sheetView>
  </sheetViews>
  <sheetFormatPr defaultColWidth="10" defaultRowHeight="15.75" outlineLevelRow="1" x14ac:dyDescent="0.25"/>
  <cols>
    <col min="1" max="2" width="10" style="16"/>
    <col min="3" max="3" width="17.7109375" style="16" customWidth="1"/>
    <col min="4" max="6" width="16.5703125" style="16" customWidth="1"/>
    <col min="7" max="7" width="14.42578125" style="16" bestFit="1" customWidth="1"/>
    <col min="8" max="8" width="30.28515625" style="16" customWidth="1"/>
    <col min="9" max="9" width="13.85546875" style="16" customWidth="1"/>
    <col min="10" max="10" width="14" style="16" customWidth="1"/>
    <col min="11" max="11" width="14.85546875" style="16" bestFit="1" customWidth="1"/>
    <col min="12" max="12" width="13" style="16" bestFit="1" customWidth="1"/>
    <col min="13" max="13" width="15.140625" style="16" bestFit="1" customWidth="1"/>
    <col min="14" max="14" width="15.42578125" style="16" customWidth="1"/>
    <col min="15" max="15" width="19.28515625" style="16" customWidth="1"/>
    <col min="16" max="16" width="14" style="16" bestFit="1" customWidth="1"/>
    <col min="17" max="16384" width="10" style="16"/>
  </cols>
  <sheetData>
    <row r="1" spans="1:11" x14ac:dyDescent="0.25">
      <c r="I1" s="17" t="s">
        <v>33</v>
      </c>
      <c r="J1" s="17"/>
    </row>
    <row r="4" spans="1:11" x14ac:dyDescent="0.25">
      <c r="I4" s="18"/>
      <c r="J4" s="18"/>
    </row>
    <row r="5" spans="1:11" x14ac:dyDescent="0.25">
      <c r="I5" s="19" t="s">
        <v>34</v>
      </c>
      <c r="J5" s="19"/>
    </row>
    <row r="6" spans="1:11" x14ac:dyDescent="0.25">
      <c r="H6" s="16" t="s">
        <v>35</v>
      </c>
      <c r="I6" s="18">
        <f>+E14</f>
        <v>64728195.450000003</v>
      </c>
      <c r="J6" s="18"/>
    </row>
    <row r="7" spans="1:11" ht="18" x14ac:dyDescent="0.4">
      <c r="H7" s="16" t="s">
        <v>36</v>
      </c>
      <c r="I7" s="20">
        <f>-+E18</f>
        <v>-19418458.635000002</v>
      </c>
      <c r="J7" s="20"/>
    </row>
    <row r="8" spans="1:11" x14ac:dyDescent="0.25">
      <c r="H8" s="16" t="s">
        <v>37</v>
      </c>
      <c r="I8" s="18">
        <f>+I7+I6</f>
        <v>45309736.814999998</v>
      </c>
      <c r="J8" s="18"/>
    </row>
    <row r="9" spans="1:11" ht="18" x14ac:dyDescent="0.4">
      <c r="H9" s="16" t="s">
        <v>38</v>
      </c>
      <c r="I9" s="20">
        <f>-I7/2</f>
        <v>9709229.3175000008</v>
      </c>
      <c r="J9" s="20"/>
    </row>
    <row r="10" spans="1:11" x14ac:dyDescent="0.25">
      <c r="D10" s="16">
        <v>0</v>
      </c>
      <c r="E10" s="21" t="s">
        <v>39</v>
      </c>
      <c r="F10" s="21"/>
      <c r="H10" s="16" t="s">
        <v>40</v>
      </c>
      <c r="I10" s="18">
        <f>+I8+I9</f>
        <v>55018966.1325</v>
      </c>
      <c r="J10" s="18"/>
    </row>
    <row r="11" spans="1:11" x14ac:dyDescent="0.25">
      <c r="E11" s="22" t="s">
        <v>41</v>
      </c>
      <c r="F11" s="22" t="s">
        <v>42</v>
      </c>
      <c r="I11" s="18"/>
      <c r="J11" s="18"/>
    </row>
    <row r="12" spans="1:11" x14ac:dyDescent="0.25">
      <c r="A12" s="16" t="s">
        <v>43</v>
      </c>
      <c r="H12" s="16" t="s">
        <v>44</v>
      </c>
      <c r="I12" s="18">
        <f>+I9</f>
        <v>9709229.3175000008</v>
      </c>
      <c r="J12" s="18"/>
    </row>
    <row r="13" spans="1:11" x14ac:dyDescent="0.25">
      <c r="A13" s="23" t="s">
        <v>45</v>
      </c>
      <c r="D13" s="18"/>
      <c r="E13" s="18"/>
      <c r="F13" s="18"/>
      <c r="G13" s="18"/>
    </row>
    <row r="14" spans="1:11" x14ac:dyDescent="0.25">
      <c r="B14" s="16" t="s">
        <v>46</v>
      </c>
      <c r="D14" s="18"/>
      <c r="E14" s="18">
        <v>64728195.450000003</v>
      </c>
      <c r="F14" s="18"/>
      <c r="G14" s="18"/>
      <c r="H14" s="16" t="s">
        <v>47</v>
      </c>
      <c r="I14" s="24">
        <v>0.35</v>
      </c>
      <c r="J14" s="24"/>
    </row>
    <row r="15" spans="1:11" x14ac:dyDescent="0.25">
      <c r="B15" s="25" t="s">
        <v>48</v>
      </c>
      <c r="D15" s="18"/>
      <c r="E15" s="18"/>
      <c r="F15" s="18">
        <v>64728195.450000003</v>
      </c>
      <c r="G15" s="18"/>
      <c r="H15" s="16" t="s">
        <v>49</v>
      </c>
      <c r="I15" s="18">
        <f>+I12*I14</f>
        <v>3398230.2611250002</v>
      </c>
      <c r="J15" s="18"/>
      <c r="K15" s="18">
        <v>3741327.11</v>
      </c>
    </row>
    <row r="16" spans="1:11" x14ac:dyDescent="0.25">
      <c r="D16" s="18"/>
      <c r="E16" s="18"/>
      <c r="F16" s="18"/>
      <c r="G16" s="18"/>
      <c r="I16" s="18"/>
      <c r="J16" s="18"/>
      <c r="K16" s="26">
        <f>F24</f>
        <v>3398230.2611250002</v>
      </c>
    </row>
    <row r="17" spans="1:11" x14ac:dyDescent="0.25">
      <c r="A17" s="27" t="s">
        <v>50</v>
      </c>
      <c r="B17" s="28"/>
      <c r="C17" s="28"/>
      <c r="D17" s="29" t="s">
        <v>51</v>
      </c>
      <c r="E17" s="29"/>
      <c r="F17" s="30"/>
      <c r="G17" s="18"/>
      <c r="H17" s="16" t="s">
        <v>52</v>
      </c>
      <c r="I17" s="31">
        <f>1/(1-I14)</f>
        <v>1.5384615384615383</v>
      </c>
      <c r="J17" s="31"/>
      <c r="K17" s="26">
        <f>K15-K16</f>
        <v>343096.84887499968</v>
      </c>
    </row>
    <row r="18" spans="1:11" x14ac:dyDescent="0.25">
      <c r="A18" s="32"/>
      <c r="B18" s="33" t="s">
        <v>53</v>
      </c>
      <c r="C18" s="33"/>
      <c r="D18" s="34">
        <v>236000</v>
      </c>
      <c r="E18" s="35">
        <v>19418458.635000002</v>
      </c>
      <c r="F18" s="36"/>
      <c r="G18" s="18"/>
      <c r="H18" s="37" t="s">
        <v>49</v>
      </c>
      <c r="I18" s="18">
        <f>+I17*I15</f>
        <v>5228046.5555769233</v>
      </c>
      <c r="J18" s="18"/>
    </row>
    <row r="19" spans="1:11" x14ac:dyDescent="0.25">
      <c r="A19" s="32"/>
      <c r="B19" s="33" t="s">
        <v>54</v>
      </c>
      <c r="C19" s="33"/>
      <c r="D19" s="34">
        <v>409000</v>
      </c>
      <c r="E19" s="35"/>
      <c r="F19" s="36">
        <f>E18</f>
        <v>19418458.635000002</v>
      </c>
      <c r="G19" s="18"/>
      <c r="H19" s="37"/>
      <c r="I19" s="18"/>
      <c r="J19" s="18"/>
    </row>
    <row r="20" spans="1:11" x14ac:dyDescent="0.25">
      <c r="A20" s="32"/>
      <c r="B20" s="33" t="s">
        <v>55</v>
      </c>
      <c r="C20" s="33"/>
      <c r="D20" s="34">
        <v>411400</v>
      </c>
      <c r="E20" s="35">
        <f>E18</f>
        <v>19418458.635000002</v>
      </c>
      <c r="F20" s="36"/>
      <c r="G20" s="18"/>
      <c r="H20" s="37"/>
      <c r="I20" s="18"/>
      <c r="J20" s="18"/>
    </row>
    <row r="21" spans="1:11" x14ac:dyDescent="0.25">
      <c r="A21" s="32"/>
      <c r="B21" s="38" t="s">
        <v>56</v>
      </c>
      <c r="C21" s="33"/>
      <c r="D21" s="34">
        <v>255000</v>
      </c>
      <c r="E21" s="35"/>
      <c r="F21" s="36">
        <f>+E18</f>
        <v>19418458.635000002</v>
      </c>
      <c r="G21" s="18"/>
      <c r="I21" s="39"/>
      <c r="J21" s="39"/>
    </row>
    <row r="22" spans="1:11" x14ac:dyDescent="0.25">
      <c r="A22" s="32"/>
      <c r="B22" s="33"/>
      <c r="C22" s="33"/>
      <c r="D22" s="35"/>
      <c r="E22" s="35"/>
      <c r="F22" s="36"/>
      <c r="G22" s="18"/>
      <c r="H22" s="16" t="s">
        <v>57</v>
      </c>
      <c r="I22" s="26"/>
      <c r="J22" s="26"/>
    </row>
    <row r="23" spans="1:11" x14ac:dyDescent="0.25">
      <c r="A23" s="32"/>
      <c r="B23" s="33" t="s">
        <v>58</v>
      </c>
      <c r="C23" s="33"/>
      <c r="D23" s="34">
        <v>190038</v>
      </c>
      <c r="E23" s="35">
        <f>+F21*0.35</f>
        <v>6796460.5222500004</v>
      </c>
      <c r="F23" s="36"/>
      <c r="G23" s="18"/>
      <c r="H23" s="16" t="s">
        <v>44</v>
      </c>
      <c r="I23" s="18">
        <f>+I12</f>
        <v>9709229.3175000008</v>
      </c>
      <c r="J23" s="18"/>
    </row>
    <row r="24" spans="1:11" x14ac:dyDescent="0.25">
      <c r="A24" s="32"/>
      <c r="B24" s="38" t="s">
        <v>59</v>
      </c>
      <c r="C24" s="33"/>
      <c r="D24" s="34">
        <v>410100</v>
      </c>
      <c r="E24" s="35"/>
      <c r="F24" s="36">
        <f>+I15</f>
        <v>3398230.2611250002</v>
      </c>
      <c r="G24" s="18"/>
      <c r="H24" s="16" t="s">
        <v>60</v>
      </c>
      <c r="I24" s="39">
        <f>+I18</f>
        <v>5228046.5555769233</v>
      </c>
      <c r="J24" s="39"/>
    </row>
    <row r="25" spans="1:11" x14ac:dyDescent="0.25">
      <c r="A25" s="40"/>
      <c r="B25" s="33" t="s">
        <v>61</v>
      </c>
      <c r="C25" s="33"/>
      <c r="D25" s="34">
        <v>190037</v>
      </c>
      <c r="E25" s="35">
        <f>+F26*0.35</f>
        <v>1829816.2944519226</v>
      </c>
      <c r="F25" s="36"/>
      <c r="G25" s="18"/>
      <c r="I25" s="18">
        <f>+I23+I24</f>
        <v>14937275.873076923</v>
      </c>
      <c r="J25" s="18"/>
    </row>
    <row r="26" spans="1:11" x14ac:dyDescent="0.25">
      <c r="A26" s="32"/>
      <c r="B26" s="38" t="s">
        <v>62</v>
      </c>
      <c r="C26" s="33"/>
      <c r="D26" s="34">
        <v>254037</v>
      </c>
      <c r="E26" s="35"/>
      <c r="F26" s="36">
        <f>+I27</f>
        <v>5228046.5555769224</v>
      </c>
      <c r="G26" s="18"/>
      <c r="H26" s="16" t="s">
        <v>63</v>
      </c>
      <c r="I26" s="41">
        <f>+I14</f>
        <v>0.35</v>
      </c>
      <c r="J26" s="41"/>
    </row>
    <row r="27" spans="1:11" x14ac:dyDescent="0.25">
      <c r="A27" s="42"/>
      <c r="B27" s="43"/>
      <c r="C27" s="43"/>
      <c r="D27" s="44"/>
      <c r="E27" s="45"/>
      <c r="F27" s="46"/>
      <c r="G27" s="18"/>
      <c r="H27" s="37" t="s">
        <v>64</v>
      </c>
      <c r="I27" s="18">
        <f>+I25*I26</f>
        <v>5228046.5555769224</v>
      </c>
      <c r="J27" s="18"/>
    </row>
    <row r="28" spans="1:11" x14ac:dyDescent="0.25">
      <c r="B28" s="23"/>
      <c r="D28" s="18"/>
      <c r="E28" s="18"/>
      <c r="F28" s="18"/>
      <c r="G28" s="18"/>
    </row>
    <row r="29" spans="1:11" x14ac:dyDescent="0.25">
      <c r="B29" s="37" t="s">
        <v>65</v>
      </c>
      <c r="D29" s="18"/>
      <c r="E29" s="18" t="s">
        <v>37</v>
      </c>
      <c r="F29" s="18" t="s">
        <v>66</v>
      </c>
    </row>
    <row r="30" spans="1:11" x14ac:dyDescent="0.25">
      <c r="B30" s="25"/>
      <c r="C30" s="16" t="s">
        <v>46</v>
      </c>
      <c r="E30" s="18">
        <f>+E14</f>
        <v>64728195.450000003</v>
      </c>
      <c r="F30" s="18">
        <f>+F15-E18/2</f>
        <v>55018966.1325</v>
      </c>
    </row>
    <row r="31" spans="1:11" x14ac:dyDescent="0.25">
      <c r="C31" s="16" t="s">
        <v>67</v>
      </c>
      <c r="E31" s="18">
        <f>-F21</f>
        <v>-19418458.635000002</v>
      </c>
      <c r="F31" s="18">
        <v>0</v>
      </c>
    </row>
    <row r="32" spans="1:11" ht="18" x14ac:dyDescent="0.4">
      <c r="C32" s="16" t="s">
        <v>62</v>
      </c>
      <c r="E32" s="20">
        <f>-F26</f>
        <v>-5228046.5555769224</v>
      </c>
      <c r="F32" s="20">
        <v>0</v>
      </c>
    </row>
    <row r="33" spans="1:15" x14ac:dyDescent="0.25">
      <c r="C33" s="16" t="s">
        <v>68</v>
      </c>
      <c r="E33" s="18">
        <f>+SUM(E30:E32)</f>
        <v>40081690.259423077</v>
      </c>
      <c r="F33" s="18">
        <f>+SUM(F30:F32)</f>
        <v>55018966.1325</v>
      </c>
      <c r="G33" s="26">
        <f>+F33-E33</f>
        <v>14937275.873076923</v>
      </c>
      <c r="H33" s="16" t="s">
        <v>69</v>
      </c>
    </row>
    <row r="34" spans="1:15" x14ac:dyDescent="0.25">
      <c r="G34" s="18">
        <f>+G33*0.35</f>
        <v>5228046.5555769224</v>
      </c>
      <c r="H34" s="16" t="s">
        <v>70</v>
      </c>
    </row>
    <row r="35" spans="1:15" x14ac:dyDescent="0.25">
      <c r="A35" s="37" t="s">
        <v>71</v>
      </c>
      <c r="E35" s="26"/>
    </row>
    <row r="36" spans="1:15" x14ac:dyDescent="0.25">
      <c r="D36" s="18"/>
      <c r="E36" s="18" t="s">
        <v>37</v>
      </c>
      <c r="F36" s="18" t="s">
        <v>66</v>
      </c>
    </row>
    <row r="37" spans="1:15" x14ac:dyDescent="0.25">
      <c r="C37" s="16" t="s">
        <v>46</v>
      </c>
      <c r="E37" s="18">
        <f>+E30-(E30/20)/2</f>
        <v>63109990.563750006</v>
      </c>
      <c r="F37" s="18">
        <f>+F30-(F30/20)/2</f>
        <v>53643491.979187503</v>
      </c>
    </row>
    <row r="38" spans="1:15" x14ac:dyDescent="0.25">
      <c r="C38" s="16" t="s">
        <v>67</v>
      </c>
      <c r="E38" s="18">
        <f>+E31-(E31/20)/2</f>
        <v>-18932997.169125002</v>
      </c>
      <c r="F38" s="18">
        <f t="shared" ref="F38:F39" si="0">+F31-F31/30</f>
        <v>0</v>
      </c>
    </row>
    <row r="39" spans="1:15" ht="18" x14ac:dyDescent="0.4">
      <c r="C39" s="16" t="s">
        <v>62</v>
      </c>
      <c r="E39" s="20">
        <f>+E32-(E32/20)/2</f>
        <v>-5097345.3916874994</v>
      </c>
      <c r="F39" s="20">
        <f t="shared" si="0"/>
        <v>0</v>
      </c>
    </row>
    <row r="40" spans="1:15" x14ac:dyDescent="0.25">
      <c r="C40" s="16" t="s">
        <v>68</v>
      </c>
      <c r="E40" s="26">
        <f>+SUM(E37:E39)</f>
        <v>39079648.002937511</v>
      </c>
      <c r="F40" s="26">
        <f>+SUM(F37:F39)</f>
        <v>53643491.979187503</v>
      </c>
      <c r="G40" s="26">
        <f>+F40-E40</f>
        <v>14563843.976249993</v>
      </c>
      <c r="H40" s="16" t="s">
        <v>69</v>
      </c>
    </row>
    <row r="41" spans="1:15" x14ac:dyDescent="0.25">
      <c r="G41" s="18">
        <f>+G40*0.35</f>
        <v>5097345.3916874975</v>
      </c>
      <c r="H41" s="16" t="s">
        <v>70</v>
      </c>
      <c r="I41" s="26"/>
      <c r="J41" s="26"/>
    </row>
    <row r="42" spans="1:15" x14ac:dyDescent="0.25">
      <c r="A42" s="27" t="s">
        <v>72</v>
      </c>
      <c r="B42" s="28"/>
      <c r="C42" s="28"/>
      <c r="D42" s="28" t="s">
        <v>51</v>
      </c>
      <c r="E42" s="28" t="s">
        <v>41</v>
      </c>
      <c r="F42" s="28" t="s">
        <v>42</v>
      </c>
      <c r="G42" s="47"/>
    </row>
    <row r="43" spans="1:15" x14ac:dyDescent="0.25">
      <c r="A43" s="32"/>
      <c r="B43" s="33" t="s">
        <v>67</v>
      </c>
      <c r="C43" s="33"/>
      <c r="D43" s="33">
        <v>255000</v>
      </c>
      <c r="E43" s="48">
        <f>K59</f>
        <v>24895.45978846154</v>
      </c>
      <c r="F43" s="33"/>
      <c r="G43" s="49"/>
    </row>
    <row r="44" spans="1:15" x14ac:dyDescent="0.25">
      <c r="A44" s="32"/>
      <c r="B44" s="33" t="s">
        <v>62</v>
      </c>
      <c r="C44" s="33"/>
      <c r="D44" s="33">
        <v>254037</v>
      </c>
      <c r="E44" s="48">
        <f>L59</f>
        <v>6702.6237892011823</v>
      </c>
      <c r="F44" s="33"/>
      <c r="G44" s="49"/>
      <c r="N44" s="50"/>
      <c r="O44" s="50"/>
    </row>
    <row r="45" spans="1:15" x14ac:dyDescent="0.25">
      <c r="A45" s="32"/>
      <c r="B45" s="33" t="s">
        <v>59</v>
      </c>
      <c r="C45" s="33"/>
      <c r="D45" s="33">
        <v>411400</v>
      </c>
      <c r="E45" s="33"/>
      <c r="F45" s="48">
        <f>-P59</f>
        <v>24895.45978846154</v>
      </c>
      <c r="G45" s="49"/>
      <c r="N45" s="50"/>
      <c r="O45" s="50"/>
    </row>
    <row r="46" spans="1:15" x14ac:dyDescent="0.25">
      <c r="A46" s="32"/>
      <c r="B46" s="33" t="s">
        <v>73</v>
      </c>
      <c r="C46" s="33"/>
      <c r="D46" s="33">
        <v>190037</v>
      </c>
      <c r="E46" s="48"/>
      <c r="F46" s="48">
        <f>-M59</f>
        <v>2345.9183262204137</v>
      </c>
      <c r="G46" s="49"/>
      <c r="N46" s="50"/>
      <c r="O46" s="50"/>
    </row>
    <row r="47" spans="1:15" x14ac:dyDescent="0.25">
      <c r="A47" s="32"/>
      <c r="B47" s="33" t="s">
        <v>74</v>
      </c>
      <c r="C47" s="33"/>
      <c r="D47" s="33">
        <v>190038</v>
      </c>
      <c r="E47" s="48"/>
      <c r="F47" s="48">
        <f>-N59</f>
        <v>8713.4109259615379</v>
      </c>
      <c r="G47" s="49"/>
      <c r="N47" s="50"/>
      <c r="O47" s="50"/>
    </row>
    <row r="48" spans="1:15" x14ac:dyDescent="0.25">
      <c r="A48" s="42"/>
      <c r="B48" s="43" t="s">
        <v>59</v>
      </c>
      <c r="C48" s="43"/>
      <c r="D48" s="43">
        <v>410100</v>
      </c>
      <c r="E48" s="51">
        <f>O59</f>
        <v>4356.7054629807699</v>
      </c>
      <c r="F48" s="51"/>
      <c r="G48" s="52"/>
    </row>
    <row r="51" spans="1:17" x14ac:dyDescent="0.25">
      <c r="A51" s="21" t="s">
        <v>75</v>
      </c>
      <c r="B51" s="21"/>
      <c r="C51" s="21"/>
      <c r="D51" s="21"/>
      <c r="E51" s="21"/>
      <c r="F51" s="21"/>
      <c r="G51" s="21"/>
      <c r="H51" s="37"/>
      <c r="K51" s="21"/>
      <c r="L51" s="21"/>
      <c r="M51" s="21"/>
      <c r="N51" s="21"/>
      <c r="O51" s="21"/>
      <c r="P51" s="37"/>
    </row>
    <row r="52" spans="1:17" s="53" customFormat="1" ht="45.75" customHeight="1" x14ac:dyDescent="0.25">
      <c r="C52" s="54" t="s">
        <v>67</v>
      </c>
      <c r="D52" s="54" t="s">
        <v>76</v>
      </c>
      <c r="E52" s="54" t="s">
        <v>77</v>
      </c>
      <c r="F52" s="53" t="s">
        <v>78</v>
      </c>
      <c r="G52" s="53" t="s">
        <v>79</v>
      </c>
      <c r="H52" s="54" t="s">
        <v>80</v>
      </c>
      <c r="I52" s="54"/>
      <c r="J52" s="54"/>
      <c r="K52" s="54"/>
      <c r="L52" s="54"/>
      <c r="M52" s="54"/>
      <c r="P52" s="54"/>
    </row>
    <row r="53" spans="1:17" s="53" customFormat="1" x14ac:dyDescent="0.25">
      <c r="C53" s="54">
        <v>255000</v>
      </c>
      <c r="D53" s="54">
        <v>254037</v>
      </c>
      <c r="E53" s="54">
        <v>190037</v>
      </c>
      <c r="F53" s="54">
        <v>190038</v>
      </c>
      <c r="G53" s="54">
        <v>410100</v>
      </c>
      <c r="H53" s="54">
        <v>411400</v>
      </c>
      <c r="I53" s="54"/>
      <c r="J53" s="54"/>
      <c r="K53" s="54"/>
      <c r="L53" s="54"/>
      <c r="M53" s="54"/>
      <c r="N53" s="54"/>
      <c r="O53" s="54"/>
      <c r="P53" s="54"/>
    </row>
    <row r="54" spans="1:17" x14ac:dyDescent="0.25">
      <c r="A54" s="16" t="s">
        <v>81</v>
      </c>
      <c r="C54" s="18">
        <f>+E31</f>
        <v>-19418458.635000002</v>
      </c>
      <c r="D54" s="18">
        <f>+E32</f>
        <v>-5228046.5555769224</v>
      </c>
      <c r="E54" s="18">
        <f>+E25</f>
        <v>1829816.2944519226</v>
      </c>
      <c r="F54" s="26">
        <f>E23</f>
        <v>6796460.5222500004</v>
      </c>
      <c r="G54" s="26">
        <f t="shared" ref="G54" si="1">-SUM(D54:F54)</f>
        <v>-3398230.2611250007</v>
      </c>
      <c r="H54" s="26">
        <f t="shared" ref="H54" si="2">-C54</f>
        <v>19418458.635000002</v>
      </c>
      <c r="I54" s="26">
        <f>SUM(C54:H54)</f>
        <v>0</v>
      </c>
      <c r="J54" s="26"/>
      <c r="K54" s="26"/>
      <c r="L54" s="55"/>
      <c r="M54" s="55"/>
      <c r="N54" s="55"/>
      <c r="O54" s="55"/>
      <c r="P54" s="26"/>
    </row>
    <row r="55" spans="1:17" x14ac:dyDescent="0.25">
      <c r="A55" s="16">
        <v>2016</v>
      </c>
      <c r="B55" s="16" t="s">
        <v>82</v>
      </c>
      <c r="C55" s="18">
        <v>-16439305</v>
      </c>
      <c r="D55" s="18">
        <v>-4057139</v>
      </c>
      <c r="E55" s="18">
        <v>1419999</v>
      </c>
      <c r="F55" s="26">
        <v>5274279</v>
      </c>
      <c r="G55" s="26">
        <v>-2637139</v>
      </c>
      <c r="H55" s="18">
        <v>16439305</v>
      </c>
      <c r="I55" s="26">
        <f t="shared" ref="I55:I77" si="3">SUM(C55:H55)</f>
        <v>0</v>
      </c>
      <c r="J55" s="26"/>
      <c r="K55" s="26"/>
      <c r="L55" s="55"/>
      <c r="M55" s="55"/>
      <c r="N55" s="55"/>
      <c r="O55" s="55"/>
      <c r="P55" s="26"/>
    </row>
    <row r="56" spans="1:17" x14ac:dyDescent="0.25">
      <c r="A56" s="16">
        <v>2016</v>
      </c>
      <c r="B56" s="16" t="s">
        <v>83</v>
      </c>
      <c r="C56" s="56">
        <f>C54-C55</f>
        <v>-2979153.6350000016</v>
      </c>
      <c r="D56" s="56">
        <f t="shared" ref="D56:H56" si="4">D54-D55</f>
        <v>-1170907.5555769224</v>
      </c>
      <c r="E56" s="56">
        <f t="shared" si="4"/>
        <v>409817.29445192264</v>
      </c>
      <c r="F56" s="56">
        <f t="shared" si="4"/>
        <v>1522181.5222500004</v>
      </c>
      <c r="G56" s="56">
        <f t="shared" si="4"/>
        <v>-761091.26112500066</v>
      </c>
      <c r="H56" s="56">
        <f t="shared" si="4"/>
        <v>2979153.6350000016</v>
      </c>
      <c r="I56" s="26">
        <f t="shared" si="3"/>
        <v>0</v>
      </c>
      <c r="J56" s="26"/>
      <c r="K56" s="26"/>
      <c r="L56" s="55"/>
      <c r="M56" s="55"/>
      <c r="N56" s="55"/>
      <c r="O56" s="55"/>
      <c r="P56" s="26"/>
    </row>
    <row r="57" spans="1:17" x14ac:dyDescent="0.25">
      <c r="A57" s="16">
        <v>2016</v>
      </c>
      <c r="B57" s="16" t="s">
        <v>82</v>
      </c>
      <c r="C57" s="18">
        <v>231836</v>
      </c>
      <c r="D57" s="18">
        <v>62417.52</v>
      </c>
      <c r="E57" s="18">
        <v>-21846.6</v>
      </c>
      <c r="F57" s="26">
        <v>-70077.69</v>
      </c>
      <c r="G57" s="26">
        <v>10417.07</v>
      </c>
      <c r="H57" s="18">
        <v>-212746.3</v>
      </c>
      <c r="I57" s="26">
        <f t="shared" si="3"/>
        <v>0</v>
      </c>
      <c r="J57" s="26"/>
      <c r="K57" s="26"/>
      <c r="L57" s="55"/>
      <c r="M57" s="55"/>
      <c r="N57" s="55"/>
      <c r="O57" s="55"/>
      <c r="P57" s="26"/>
    </row>
    <row r="58" spans="1:17" x14ac:dyDescent="0.25">
      <c r="A58" s="16">
        <v>2016</v>
      </c>
      <c r="B58" s="16" t="s">
        <v>83</v>
      </c>
      <c r="C58" s="56">
        <v>66910</v>
      </c>
      <c r="D58" s="56">
        <v>18013</v>
      </c>
      <c r="E58" s="56">
        <v>-6304</v>
      </c>
      <c r="F58" s="56">
        <v>-34483</v>
      </c>
      <c r="G58" s="56">
        <v>41863</v>
      </c>
      <c r="H58" s="56">
        <v>-86000</v>
      </c>
      <c r="I58" s="26">
        <f t="shared" si="3"/>
        <v>-1</v>
      </c>
      <c r="J58" s="57">
        <v>2017</v>
      </c>
      <c r="K58" s="26"/>
      <c r="L58" s="55"/>
      <c r="M58" s="55"/>
      <c r="N58" s="55"/>
      <c r="O58" s="55"/>
      <c r="P58" s="26"/>
    </row>
    <row r="59" spans="1:17" x14ac:dyDescent="0.25">
      <c r="A59" s="16">
        <v>2017</v>
      </c>
      <c r="C59" s="18">
        <f t="shared" ref="C59:C122" si="5">-$C$54/65</f>
        <v>298745.51746153849</v>
      </c>
      <c r="D59" s="18">
        <f>-$D$54/65</f>
        <v>80431.485470414191</v>
      </c>
      <c r="E59" s="18">
        <f>-$E$54/65</f>
        <v>-28151.019914644963</v>
      </c>
      <c r="F59" s="18">
        <f>-$F$54/65</f>
        <v>-104560.93111153846</v>
      </c>
      <c r="G59" s="18">
        <f>-$G$54/65</f>
        <v>52280.465555769239</v>
      </c>
      <c r="H59" s="18">
        <f>-$H$54/65</f>
        <v>-298745.51746153849</v>
      </c>
      <c r="I59" s="26">
        <f t="shared" si="3"/>
        <v>0</v>
      </c>
      <c r="J59" s="26" t="s">
        <v>84</v>
      </c>
      <c r="K59" s="26">
        <f>C59/12</f>
        <v>24895.45978846154</v>
      </c>
      <c r="L59" s="26">
        <f t="shared" ref="L59:Q59" si="6">D59/12</f>
        <v>6702.6237892011823</v>
      </c>
      <c r="M59" s="26">
        <f t="shared" si="6"/>
        <v>-2345.9183262204137</v>
      </c>
      <c r="N59" s="26">
        <f t="shared" si="6"/>
        <v>-8713.4109259615379</v>
      </c>
      <c r="O59" s="26">
        <f t="shared" si="6"/>
        <v>4356.7054629807699</v>
      </c>
      <c r="P59" s="26">
        <f t="shared" si="6"/>
        <v>-24895.45978846154</v>
      </c>
      <c r="Q59" s="58">
        <f t="shared" si="6"/>
        <v>0</v>
      </c>
    </row>
    <row r="60" spans="1:17" x14ac:dyDescent="0.25">
      <c r="A60" s="16">
        <v>2018</v>
      </c>
      <c r="C60" s="18">
        <f t="shared" si="5"/>
        <v>298745.51746153849</v>
      </c>
      <c r="D60" s="18">
        <f t="shared" ref="D60:D122" si="7">+D59</f>
        <v>80431.485470414191</v>
      </c>
      <c r="E60" s="18">
        <f t="shared" ref="E60:E122" si="8">-$E$54/65</f>
        <v>-28151.019914644963</v>
      </c>
      <c r="F60" s="18">
        <f t="shared" ref="F60:F122" si="9">-$F$54/65</f>
        <v>-104560.93111153846</v>
      </c>
      <c r="G60" s="18">
        <f t="shared" ref="G60:G122" si="10">-$G$54/65</f>
        <v>52280.465555769239</v>
      </c>
      <c r="H60" s="18">
        <f t="shared" ref="H60:H122" si="11">-$H$54/65</f>
        <v>-298745.51746153849</v>
      </c>
      <c r="I60" s="26">
        <f t="shared" si="3"/>
        <v>0</v>
      </c>
      <c r="J60" s="26" t="s">
        <v>85</v>
      </c>
      <c r="K60" s="26">
        <f>C59/12</f>
        <v>24895.45978846154</v>
      </c>
      <c r="L60" s="26">
        <f t="shared" ref="L60:P75" si="12">D59/12</f>
        <v>6702.6237892011823</v>
      </c>
      <c r="M60" s="26">
        <f t="shared" si="12"/>
        <v>-2345.9183262204137</v>
      </c>
      <c r="N60" s="26">
        <f t="shared" si="12"/>
        <v>-8713.4109259615379</v>
      </c>
      <c r="O60" s="26">
        <f t="shared" si="12"/>
        <v>4356.7054629807699</v>
      </c>
      <c r="P60" s="26">
        <f t="shared" si="12"/>
        <v>-24895.45978846154</v>
      </c>
    </row>
    <row r="61" spans="1:17" x14ac:dyDescent="0.25">
      <c r="A61" s="16">
        <v>2019</v>
      </c>
      <c r="C61" s="18">
        <f t="shared" si="5"/>
        <v>298745.51746153849</v>
      </c>
      <c r="D61" s="18">
        <f t="shared" si="7"/>
        <v>80431.485470414191</v>
      </c>
      <c r="E61" s="18">
        <f t="shared" si="8"/>
        <v>-28151.019914644963</v>
      </c>
      <c r="F61" s="18">
        <f t="shared" si="9"/>
        <v>-104560.93111153846</v>
      </c>
      <c r="G61" s="18">
        <f t="shared" si="10"/>
        <v>52280.465555769239</v>
      </c>
      <c r="H61" s="18">
        <f t="shared" si="11"/>
        <v>-298745.51746153849</v>
      </c>
      <c r="I61" s="26">
        <f t="shared" si="3"/>
        <v>0</v>
      </c>
      <c r="J61" s="26" t="s">
        <v>86</v>
      </c>
      <c r="K61" s="26">
        <f t="shared" ref="K61:P76" si="13">C60/12</f>
        <v>24895.45978846154</v>
      </c>
      <c r="L61" s="26">
        <f t="shared" si="12"/>
        <v>6702.6237892011823</v>
      </c>
      <c r="M61" s="26">
        <f t="shared" si="12"/>
        <v>-2345.9183262204137</v>
      </c>
      <c r="N61" s="26">
        <f t="shared" si="12"/>
        <v>-8713.4109259615379</v>
      </c>
      <c r="O61" s="26">
        <f t="shared" si="12"/>
        <v>4356.7054629807699</v>
      </c>
      <c r="P61" s="26">
        <f t="shared" si="12"/>
        <v>-24895.45978846154</v>
      </c>
    </row>
    <row r="62" spans="1:17" x14ac:dyDescent="0.25">
      <c r="A62" s="16">
        <v>2020</v>
      </c>
      <c r="C62" s="18">
        <f t="shared" si="5"/>
        <v>298745.51746153849</v>
      </c>
      <c r="D62" s="18">
        <f t="shared" si="7"/>
        <v>80431.485470414191</v>
      </c>
      <c r="E62" s="18">
        <f t="shared" si="8"/>
        <v>-28151.019914644963</v>
      </c>
      <c r="F62" s="18">
        <f t="shared" si="9"/>
        <v>-104560.93111153846</v>
      </c>
      <c r="G62" s="18">
        <f t="shared" si="10"/>
        <v>52280.465555769239</v>
      </c>
      <c r="H62" s="18">
        <f t="shared" si="11"/>
        <v>-298745.51746153849</v>
      </c>
      <c r="I62" s="26">
        <f t="shared" si="3"/>
        <v>0</v>
      </c>
      <c r="J62" s="26" t="s">
        <v>87</v>
      </c>
      <c r="K62" s="26">
        <f t="shared" si="13"/>
        <v>24895.45978846154</v>
      </c>
      <c r="L62" s="26">
        <f t="shared" si="12"/>
        <v>6702.6237892011823</v>
      </c>
      <c r="M62" s="26">
        <f t="shared" si="12"/>
        <v>-2345.9183262204137</v>
      </c>
      <c r="N62" s="26">
        <f t="shared" si="12"/>
        <v>-8713.4109259615379</v>
      </c>
      <c r="O62" s="26">
        <f t="shared" si="12"/>
        <v>4356.7054629807699</v>
      </c>
      <c r="P62" s="26">
        <f t="shared" si="12"/>
        <v>-24895.45978846154</v>
      </c>
    </row>
    <row r="63" spans="1:17" x14ac:dyDescent="0.25">
      <c r="A63" s="16">
        <v>2021</v>
      </c>
      <c r="C63" s="18">
        <f t="shared" si="5"/>
        <v>298745.51746153849</v>
      </c>
      <c r="D63" s="18">
        <f t="shared" si="7"/>
        <v>80431.485470414191</v>
      </c>
      <c r="E63" s="18">
        <f t="shared" si="8"/>
        <v>-28151.019914644963</v>
      </c>
      <c r="F63" s="18">
        <f t="shared" si="9"/>
        <v>-104560.93111153846</v>
      </c>
      <c r="G63" s="18">
        <f t="shared" si="10"/>
        <v>52280.465555769239</v>
      </c>
      <c r="H63" s="18">
        <f t="shared" si="11"/>
        <v>-298745.51746153849</v>
      </c>
      <c r="I63" s="26">
        <f t="shared" si="3"/>
        <v>0</v>
      </c>
      <c r="J63" s="26" t="s">
        <v>23</v>
      </c>
      <c r="K63" s="26">
        <f t="shared" si="13"/>
        <v>24895.45978846154</v>
      </c>
      <c r="L63" s="26">
        <f t="shared" si="12"/>
        <v>6702.6237892011823</v>
      </c>
      <c r="M63" s="26">
        <f t="shared" si="12"/>
        <v>-2345.9183262204137</v>
      </c>
      <c r="N63" s="26">
        <f t="shared" si="12"/>
        <v>-8713.4109259615379</v>
      </c>
      <c r="O63" s="26">
        <f t="shared" si="12"/>
        <v>4356.7054629807699</v>
      </c>
      <c r="P63" s="26">
        <f t="shared" si="12"/>
        <v>-24895.45978846154</v>
      </c>
    </row>
    <row r="64" spans="1:17" x14ac:dyDescent="0.25">
      <c r="A64" s="16">
        <v>2022</v>
      </c>
      <c r="C64" s="18">
        <f t="shared" si="5"/>
        <v>298745.51746153849</v>
      </c>
      <c r="D64" s="18">
        <f t="shared" si="7"/>
        <v>80431.485470414191</v>
      </c>
      <c r="E64" s="18">
        <f t="shared" si="8"/>
        <v>-28151.019914644963</v>
      </c>
      <c r="F64" s="18">
        <f t="shared" si="9"/>
        <v>-104560.93111153846</v>
      </c>
      <c r="G64" s="18">
        <f t="shared" si="10"/>
        <v>52280.465555769239</v>
      </c>
      <c r="H64" s="18">
        <f t="shared" si="11"/>
        <v>-298745.51746153849</v>
      </c>
      <c r="I64" s="26">
        <f t="shared" si="3"/>
        <v>0</v>
      </c>
      <c r="J64" s="26" t="s">
        <v>88</v>
      </c>
      <c r="K64" s="26">
        <f t="shared" si="13"/>
        <v>24895.45978846154</v>
      </c>
      <c r="L64" s="26">
        <f t="shared" si="12"/>
        <v>6702.6237892011823</v>
      </c>
      <c r="M64" s="26">
        <f t="shared" si="12"/>
        <v>-2345.9183262204137</v>
      </c>
      <c r="N64" s="26">
        <f t="shared" si="12"/>
        <v>-8713.4109259615379</v>
      </c>
      <c r="O64" s="26">
        <f t="shared" si="12"/>
        <v>4356.7054629807699</v>
      </c>
      <c r="P64" s="26">
        <f t="shared" si="12"/>
        <v>-24895.45978846154</v>
      </c>
    </row>
    <row r="65" spans="1:16" x14ac:dyDescent="0.25">
      <c r="A65" s="16">
        <v>2023</v>
      </c>
      <c r="C65" s="18">
        <f t="shared" si="5"/>
        <v>298745.51746153849</v>
      </c>
      <c r="D65" s="18">
        <f t="shared" si="7"/>
        <v>80431.485470414191</v>
      </c>
      <c r="E65" s="18">
        <f t="shared" si="8"/>
        <v>-28151.019914644963</v>
      </c>
      <c r="F65" s="18">
        <f t="shared" si="9"/>
        <v>-104560.93111153846</v>
      </c>
      <c r="G65" s="18">
        <f t="shared" si="10"/>
        <v>52280.465555769239</v>
      </c>
      <c r="H65" s="18">
        <f t="shared" si="11"/>
        <v>-298745.51746153849</v>
      </c>
      <c r="I65" s="26">
        <f t="shared" si="3"/>
        <v>0</v>
      </c>
      <c r="J65" s="26" t="s">
        <v>89</v>
      </c>
      <c r="K65" s="26">
        <f t="shared" si="13"/>
        <v>24895.45978846154</v>
      </c>
      <c r="L65" s="26">
        <f t="shared" si="12"/>
        <v>6702.6237892011823</v>
      </c>
      <c r="M65" s="26">
        <f t="shared" si="12"/>
        <v>-2345.9183262204137</v>
      </c>
      <c r="N65" s="26">
        <f t="shared" si="12"/>
        <v>-8713.4109259615379</v>
      </c>
      <c r="O65" s="26">
        <f t="shared" si="12"/>
        <v>4356.7054629807699</v>
      </c>
      <c r="P65" s="26">
        <f t="shared" si="12"/>
        <v>-24895.45978846154</v>
      </c>
    </row>
    <row r="66" spans="1:16" x14ac:dyDescent="0.25">
      <c r="A66" s="16">
        <v>2024</v>
      </c>
      <c r="C66" s="18">
        <f t="shared" si="5"/>
        <v>298745.51746153849</v>
      </c>
      <c r="D66" s="18">
        <f t="shared" si="7"/>
        <v>80431.485470414191</v>
      </c>
      <c r="E66" s="18">
        <f t="shared" si="8"/>
        <v>-28151.019914644963</v>
      </c>
      <c r="F66" s="18">
        <f t="shared" si="9"/>
        <v>-104560.93111153846</v>
      </c>
      <c r="G66" s="18">
        <f t="shared" si="10"/>
        <v>52280.465555769239</v>
      </c>
      <c r="H66" s="18">
        <f t="shared" si="11"/>
        <v>-298745.51746153849</v>
      </c>
      <c r="I66" s="26">
        <f t="shared" si="3"/>
        <v>0</v>
      </c>
      <c r="J66" s="26" t="s">
        <v>90</v>
      </c>
      <c r="K66" s="26">
        <f t="shared" si="13"/>
        <v>24895.45978846154</v>
      </c>
      <c r="L66" s="26">
        <f t="shared" si="12"/>
        <v>6702.6237892011823</v>
      </c>
      <c r="M66" s="26">
        <f t="shared" si="12"/>
        <v>-2345.9183262204137</v>
      </c>
      <c r="N66" s="26">
        <f t="shared" si="12"/>
        <v>-8713.4109259615379</v>
      </c>
      <c r="O66" s="26">
        <f t="shared" si="12"/>
        <v>4356.7054629807699</v>
      </c>
      <c r="P66" s="26">
        <f t="shared" si="12"/>
        <v>-24895.45978846154</v>
      </c>
    </row>
    <row r="67" spans="1:16" x14ac:dyDescent="0.25">
      <c r="A67" s="16">
        <v>2025</v>
      </c>
      <c r="C67" s="18">
        <f t="shared" si="5"/>
        <v>298745.51746153849</v>
      </c>
      <c r="D67" s="18">
        <f t="shared" si="7"/>
        <v>80431.485470414191</v>
      </c>
      <c r="E67" s="18">
        <f t="shared" si="8"/>
        <v>-28151.019914644963</v>
      </c>
      <c r="F67" s="18">
        <f t="shared" si="9"/>
        <v>-104560.93111153846</v>
      </c>
      <c r="G67" s="18">
        <f t="shared" si="10"/>
        <v>52280.465555769239</v>
      </c>
      <c r="H67" s="18">
        <f t="shared" si="11"/>
        <v>-298745.51746153849</v>
      </c>
      <c r="I67" s="26">
        <f t="shared" si="3"/>
        <v>0</v>
      </c>
      <c r="J67" s="26" t="s">
        <v>91</v>
      </c>
      <c r="K67" s="26">
        <f t="shared" si="13"/>
        <v>24895.45978846154</v>
      </c>
      <c r="L67" s="26">
        <f t="shared" si="12"/>
        <v>6702.6237892011823</v>
      </c>
      <c r="M67" s="26">
        <f t="shared" si="12"/>
        <v>-2345.9183262204137</v>
      </c>
      <c r="N67" s="26">
        <f t="shared" si="12"/>
        <v>-8713.4109259615379</v>
      </c>
      <c r="O67" s="26">
        <f t="shared" si="12"/>
        <v>4356.7054629807699</v>
      </c>
      <c r="P67" s="26">
        <f t="shared" si="12"/>
        <v>-24895.45978846154</v>
      </c>
    </row>
    <row r="68" spans="1:16" x14ac:dyDescent="0.25">
      <c r="A68" s="16">
        <v>2026</v>
      </c>
      <c r="C68" s="18">
        <f t="shared" si="5"/>
        <v>298745.51746153849</v>
      </c>
      <c r="D68" s="18">
        <f t="shared" si="7"/>
        <v>80431.485470414191</v>
      </c>
      <c r="E68" s="18">
        <f t="shared" si="8"/>
        <v>-28151.019914644963</v>
      </c>
      <c r="F68" s="18">
        <f t="shared" si="9"/>
        <v>-104560.93111153846</v>
      </c>
      <c r="G68" s="18">
        <f t="shared" si="10"/>
        <v>52280.465555769239</v>
      </c>
      <c r="H68" s="18">
        <f t="shared" si="11"/>
        <v>-298745.51746153849</v>
      </c>
      <c r="I68" s="26">
        <f t="shared" si="3"/>
        <v>0</v>
      </c>
      <c r="J68" s="26" t="s">
        <v>92</v>
      </c>
      <c r="K68" s="26">
        <f t="shared" si="13"/>
        <v>24895.45978846154</v>
      </c>
      <c r="L68" s="26">
        <f t="shared" si="12"/>
        <v>6702.6237892011823</v>
      </c>
      <c r="M68" s="26">
        <f t="shared" si="12"/>
        <v>-2345.9183262204137</v>
      </c>
      <c r="N68" s="26">
        <f t="shared" si="12"/>
        <v>-8713.4109259615379</v>
      </c>
      <c r="O68" s="26">
        <f t="shared" si="12"/>
        <v>4356.7054629807699</v>
      </c>
      <c r="P68" s="26">
        <f t="shared" si="12"/>
        <v>-24895.45978846154</v>
      </c>
    </row>
    <row r="69" spans="1:16" x14ac:dyDescent="0.25">
      <c r="A69" s="16">
        <v>2027</v>
      </c>
      <c r="C69" s="18">
        <f t="shared" si="5"/>
        <v>298745.51746153849</v>
      </c>
      <c r="D69" s="18">
        <f t="shared" si="7"/>
        <v>80431.485470414191</v>
      </c>
      <c r="E69" s="18">
        <f t="shared" si="8"/>
        <v>-28151.019914644963</v>
      </c>
      <c r="F69" s="18">
        <f t="shared" si="9"/>
        <v>-104560.93111153846</v>
      </c>
      <c r="G69" s="18">
        <f t="shared" si="10"/>
        <v>52280.465555769239</v>
      </c>
      <c r="H69" s="18">
        <f t="shared" si="11"/>
        <v>-298745.51746153849</v>
      </c>
      <c r="I69" s="26">
        <f t="shared" si="3"/>
        <v>0</v>
      </c>
      <c r="J69" s="26" t="s">
        <v>93</v>
      </c>
      <c r="K69" s="26">
        <f t="shared" si="13"/>
        <v>24895.45978846154</v>
      </c>
      <c r="L69" s="26">
        <f t="shared" si="12"/>
        <v>6702.6237892011823</v>
      </c>
      <c r="M69" s="26">
        <f t="shared" si="12"/>
        <v>-2345.9183262204137</v>
      </c>
      <c r="N69" s="26">
        <f t="shared" si="12"/>
        <v>-8713.4109259615379</v>
      </c>
      <c r="O69" s="26">
        <f t="shared" si="12"/>
        <v>4356.7054629807699</v>
      </c>
      <c r="P69" s="26">
        <f t="shared" si="12"/>
        <v>-24895.45978846154</v>
      </c>
    </row>
    <row r="70" spans="1:16" hidden="1" outlineLevel="1" x14ac:dyDescent="0.25">
      <c r="A70" s="16">
        <v>2028</v>
      </c>
      <c r="C70" s="18">
        <f t="shared" si="5"/>
        <v>298745.51746153849</v>
      </c>
      <c r="D70" s="18">
        <f t="shared" si="7"/>
        <v>80431.485470414191</v>
      </c>
      <c r="E70" s="18">
        <f t="shared" si="8"/>
        <v>-28151.019914644963</v>
      </c>
      <c r="F70" s="18">
        <f t="shared" si="9"/>
        <v>-104560.93111153846</v>
      </c>
      <c r="G70" s="18">
        <f t="shared" si="10"/>
        <v>52280.465555769239</v>
      </c>
      <c r="H70" s="18">
        <f t="shared" si="11"/>
        <v>-298745.51746153849</v>
      </c>
      <c r="I70" s="26">
        <f t="shared" si="3"/>
        <v>0</v>
      </c>
      <c r="J70" s="26" t="s">
        <v>83</v>
      </c>
      <c r="K70" s="26">
        <f t="shared" si="13"/>
        <v>24895.45978846154</v>
      </c>
      <c r="L70" s="26">
        <f t="shared" si="12"/>
        <v>6702.6237892011823</v>
      </c>
      <c r="M70" s="26">
        <f t="shared" si="12"/>
        <v>-2345.9183262204137</v>
      </c>
      <c r="N70" s="26">
        <f t="shared" si="12"/>
        <v>-8713.4109259615379</v>
      </c>
      <c r="O70" s="26">
        <f t="shared" si="12"/>
        <v>4356.7054629807699</v>
      </c>
      <c r="P70" s="26">
        <f t="shared" si="12"/>
        <v>-24895.45978846154</v>
      </c>
    </row>
    <row r="71" spans="1:16" hidden="1" outlineLevel="1" x14ac:dyDescent="0.25">
      <c r="A71" s="16">
        <v>2029</v>
      </c>
      <c r="C71" s="18">
        <f t="shared" si="5"/>
        <v>298745.51746153849</v>
      </c>
      <c r="D71" s="18">
        <f t="shared" si="7"/>
        <v>80431.485470414191</v>
      </c>
      <c r="E71" s="18">
        <f t="shared" si="8"/>
        <v>-28151.019914644963</v>
      </c>
      <c r="F71" s="18">
        <f t="shared" si="9"/>
        <v>-104560.93111153846</v>
      </c>
      <c r="G71" s="18">
        <f t="shared" si="10"/>
        <v>52280.465555769239</v>
      </c>
      <c r="H71" s="18">
        <f t="shared" si="11"/>
        <v>-298745.51746153849</v>
      </c>
      <c r="I71" s="26">
        <f t="shared" si="3"/>
        <v>0</v>
      </c>
      <c r="J71" s="26" t="s">
        <v>84</v>
      </c>
      <c r="K71" s="26">
        <f t="shared" si="13"/>
        <v>24895.45978846154</v>
      </c>
      <c r="L71" s="26">
        <f t="shared" si="12"/>
        <v>6702.6237892011823</v>
      </c>
      <c r="M71" s="26">
        <f t="shared" si="12"/>
        <v>-2345.9183262204137</v>
      </c>
      <c r="N71" s="26">
        <f t="shared" si="12"/>
        <v>-8713.4109259615379</v>
      </c>
      <c r="O71" s="26">
        <f t="shared" si="12"/>
        <v>4356.7054629807699</v>
      </c>
      <c r="P71" s="26">
        <f t="shared" si="12"/>
        <v>-24895.45978846154</v>
      </c>
    </row>
    <row r="72" spans="1:16" hidden="1" outlineLevel="1" x14ac:dyDescent="0.25">
      <c r="A72" s="16">
        <v>2030</v>
      </c>
      <c r="C72" s="18">
        <f t="shared" si="5"/>
        <v>298745.51746153849</v>
      </c>
      <c r="D72" s="18">
        <f t="shared" si="7"/>
        <v>80431.485470414191</v>
      </c>
      <c r="E72" s="18">
        <f t="shared" si="8"/>
        <v>-28151.019914644963</v>
      </c>
      <c r="F72" s="18">
        <f t="shared" si="9"/>
        <v>-104560.93111153846</v>
      </c>
      <c r="G72" s="18">
        <f t="shared" si="10"/>
        <v>52280.465555769239</v>
      </c>
      <c r="H72" s="18">
        <f t="shared" si="11"/>
        <v>-298745.51746153849</v>
      </c>
      <c r="I72" s="26">
        <f t="shared" si="3"/>
        <v>0</v>
      </c>
      <c r="J72" s="26" t="s">
        <v>85</v>
      </c>
      <c r="K72" s="26">
        <f t="shared" si="13"/>
        <v>24895.45978846154</v>
      </c>
      <c r="L72" s="26">
        <f t="shared" si="12"/>
        <v>6702.6237892011823</v>
      </c>
      <c r="M72" s="26">
        <f t="shared" si="12"/>
        <v>-2345.9183262204137</v>
      </c>
      <c r="N72" s="26">
        <f t="shared" si="12"/>
        <v>-8713.4109259615379</v>
      </c>
      <c r="O72" s="26">
        <f t="shared" si="12"/>
        <v>4356.7054629807699</v>
      </c>
      <c r="P72" s="26">
        <f t="shared" si="12"/>
        <v>-24895.45978846154</v>
      </c>
    </row>
    <row r="73" spans="1:16" hidden="1" outlineLevel="1" x14ac:dyDescent="0.25">
      <c r="A73" s="16">
        <v>2031</v>
      </c>
      <c r="C73" s="18">
        <f t="shared" si="5"/>
        <v>298745.51746153849</v>
      </c>
      <c r="D73" s="18">
        <f t="shared" si="7"/>
        <v>80431.485470414191</v>
      </c>
      <c r="E73" s="18">
        <f t="shared" si="8"/>
        <v>-28151.019914644963</v>
      </c>
      <c r="F73" s="18">
        <f t="shared" si="9"/>
        <v>-104560.93111153846</v>
      </c>
      <c r="G73" s="18">
        <f t="shared" si="10"/>
        <v>52280.465555769239</v>
      </c>
      <c r="H73" s="18">
        <f t="shared" si="11"/>
        <v>-298745.51746153849</v>
      </c>
      <c r="I73" s="26">
        <f t="shared" si="3"/>
        <v>0</v>
      </c>
      <c r="J73" s="26" t="s">
        <v>86</v>
      </c>
      <c r="K73" s="26">
        <f t="shared" si="13"/>
        <v>24895.45978846154</v>
      </c>
      <c r="L73" s="26">
        <f t="shared" si="12"/>
        <v>6702.6237892011823</v>
      </c>
      <c r="M73" s="26">
        <f t="shared" si="12"/>
        <v>-2345.9183262204137</v>
      </c>
      <c r="N73" s="26">
        <f t="shared" si="12"/>
        <v>-8713.4109259615379</v>
      </c>
      <c r="O73" s="26">
        <f t="shared" si="12"/>
        <v>4356.7054629807699</v>
      </c>
      <c r="P73" s="26">
        <f t="shared" si="12"/>
        <v>-24895.45978846154</v>
      </c>
    </row>
    <row r="74" spans="1:16" hidden="1" outlineLevel="1" x14ac:dyDescent="0.25">
      <c r="A74" s="16">
        <v>2032</v>
      </c>
      <c r="C74" s="18">
        <f t="shared" si="5"/>
        <v>298745.51746153849</v>
      </c>
      <c r="D74" s="18">
        <f t="shared" si="7"/>
        <v>80431.485470414191</v>
      </c>
      <c r="E74" s="18">
        <f t="shared" si="8"/>
        <v>-28151.019914644963</v>
      </c>
      <c r="F74" s="18">
        <f t="shared" si="9"/>
        <v>-104560.93111153846</v>
      </c>
      <c r="G74" s="18">
        <f t="shared" si="10"/>
        <v>52280.465555769239</v>
      </c>
      <c r="H74" s="18">
        <f t="shared" si="11"/>
        <v>-298745.51746153849</v>
      </c>
      <c r="I74" s="26">
        <f t="shared" si="3"/>
        <v>0</v>
      </c>
      <c r="J74" s="26" t="s">
        <v>87</v>
      </c>
      <c r="K74" s="26">
        <f t="shared" si="13"/>
        <v>24895.45978846154</v>
      </c>
      <c r="L74" s="26">
        <f t="shared" si="12"/>
        <v>6702.6237892011823</v>
      </c>
      <c r="M74" s="26">
        <f t="shared" si="12"/>
        <v>-2345.9183262204137</v>
      </c>
      <c r="N74" s="26">
        <f t="shared" si="12"/>
        <v>-8713.4109259615379</v>
      </c>
      <c r="O74" s="26">
        <f t="shared" si="12"/>
        <v>4356.7054629807699</v>
      </c>
      <c r="P74" s="26">
        <f t="shared" si="12"/>
        <v>-24895.45978846154</v>
      </c>
    </row>
    <row r="75" spans="1:16" hidden="1" outlineLevel="1" x14ac:dyDescent="0.25">
      <c r="A75" s="16">
        <v>2033</v>
      </c>
      <c r="C75" s="18">
        <f t="shared" si="5"/>
        <v>298745.51746153849</v>
      </c>
      <c r="D75" s="18">
        <f t="shared" si="7"/>
        <v>80431.485470414191</v>
      </c>
      <c r="E75" s="18">
        <f t="shared" si="8"/>
        <v>-28151.019914644963</v>
      </c>
      <c r="F75" s="18">
        <f t="shared" si="9"/>
        <v>-104560.93111153846</v>
      </c>
      <c r="G75" s="18">
        <f t="shared" si="10"/>
        <v>52280.465555769239</v>
      </c>
      <c r="H75" s="18">
        <f t="shared" si="11"/>
        <v>-298745.51746153849</v>
      </c>
      <c r="I75" s="26">
        <f t="shared" si="3"/>
        <v>0</v>
      </c>
      <c r="J75" s="26" t="s">
        <v>23</v>
      </c>
      <c r="K75" s="26">
        <f t="shared" si="13"/>
        <v>24895.45978846154</v>
      </c>
      <c r="L75" s="26">
        <f t="shared" si="12"/>
        <v>6702.6237892011823</v>
      </c>
      <c r="M75" s="26">
        <f t="shared" si="12"/>
        <v>-2345.9183262204137</v>
      </c>
      <c r="N75" s="26">
        <f t="shared" si="12"/>
        <v>-8713.4109259615379</v>
      </c>
      <c r="O75" s="26">
        <f t="shared" si="12"/>
        <v>4356.7054629807699</v>
      </c>
      <c r="P75" s="26">
        <f t="shared" si="12"/>
        <v>-24895.45978846154</v>
      </c>
    </row>
    <row r="76" spans="1:16" hidden="1" outlineLevel="1" x14ac:dyDescent="0.25">
      <c r="A76" s="16">
        <v>2034</v>
      </c>
      <c r="C76" s="18">
        <f t="shared" si="5"/>
        <v>298745.51746153849</v>
      </c>
      <c r="D76" s="18">
        <f t="shared" si="7"/>
        <v>80431.485470414191</v>
      </c>
      <c r="E76" s="18">
        <f t="shared" si="8"/>
        <v>-28151.019914644963</v>
      </c>
      <c r="F76" s="18">
        <f t="shared" si="9"/>
        <v>-104560.93111153846</v>
      </c>
      <c r="G76" s="18">
        <f t="shared" si="10"/>
        <v>52280.465555769239</v>
      </c>
      <c r="H76" s="18">
        <f t="shared" si="11"/>
        <v>-298745.51746153849</v>
      </c>
      <c r="I76" s="26">
        <f t="shared" si="3"/>
        <v>0</v>
      </c>
      <c r="J76" s="26" t="s">
        <v>88</v>
      </c>
      <c r="K76" s="26">
        <f t="shared" si="13"/>
        <v>24895.45978846154</v>
      </c>
      <c r="L76" s="26">
        <f t="shared" si="13"/>
        <v>6702.6237892011823</v>
      </c>
      <c r="M76" s="26">
        <f t="shared" si="13"/>
        <v>-2345.9183262204137</v>
      </c>
      <c r="N76" s="26">
        <f t="shared" si="13"/>
        <v>-8713.4109259615379</v>
      </c>
      <c r="O76" s="26">
        <f t="shared" si="13"/>
        <v>4356.7054629807699</v>
      </c>
      <c r="P76" s="26">
        <f t="shared" si="13"/>
        <v>-24895.45978846154</v>
      </c>
    </row>
    <row r="77" spans="1:16" hidden="1" outlineLevel="1" x14ac:dyDescent="0.25">
      <c r="A77" s="16">
        <v>2035</v>
      </c>
      <c r="C77" s="18">
        <f t="shared" si="5"/>
        <v>298745.51746153849</v>
      </c>
      <c r="D77" s="18">
        <f t="shared" si="7"/>
        <v>80431.485470414191</v>
      </c>
      <c r="E77" s="18">
        <f t="shared" si="8"/>
        <v>-28151.019914644963</v>
      </c>
      <c r="F77" s="18">
        <f t="shared" si="9"/>
        <v>-104560.93111153846</v>
      </c>
      <c r="G77" s="18">
        <f t="shared" si="10"/>
        <v>52280.465555769239</v>
      </c>
      <c r="H77" s="18">
        <f t="shared" si="11"/>
        <v>-298745.51746153849</v>
      </c>
      <c r="I77" s="26">
        <f t="shared" si="3"/>
        <v>0</v>
      </c>
      <c r="J77" s="26" t="s">
        <v>89</v>
      </c>
      <c r="K77" s="26">
        <f t="shared" ref="K77:P119" si="14">C76/12</f>
        <v>24895.45978846154</v>
      </c>
      <c r="L77" s="26">
        <f t="shared" si="14"/>
        <v>6702.6237892011823</v>
      </c>
      <c r="M77" s="26">
        <f t="shared" si="14"/>
        <v>-2345.9183262204137</v>
      </c>
      <c r="N77" s="26">
        <f t="shared" si="14"/>
        <v>-8713.4109259615379</v>
      </c>
      <c r="O77" s="26">
        <f t="shared" si="14"/>
        <v>4356.7054629807699</v>
      </c>
      <c r="P77" s="26">
        <f t="shared" si="14"/>
        <v>-24895.45978846154</v>
      </c>
    </row>
    <row r="78" spans="1:16" hidden="1" outlineLevel="1" x14ac:dyDescent="0.25">
      <c r="A78" s="16">
        <v>2036</v>
      </c>
      <c r="C78" s="18">
        <f t="shared" si="5"/>
        <v>298745.51746153849</v>
      </c>
      <c r="D78" s="18">
        <f t="shared" si="7"/>
        <v>80431.485470414191</v>
      </c>
      <c r="E78" s="18">
        <f t="shared" si="8"/>
        <v>-28151.019914644963</v>
      </c>
      <c r="F78" s="18">
        <f t="shared" si="9"/>
        <v>-104560.93111153846</v>
      </c>
      <c r="G78" s="18">
        <f t="shared" si="10"/>
        <v>52280.465555769239</v>
      </c>
      <c r="H78" s="18">
        <f t="shared" si="11"/>
        <v>-298745.51746153849</v>
      </c>
      <c r="I78" s="26"/>
      <c r="J78" s="26" t="s">
        <v>90</v>
      </c>
      <c r="K78" s="26">
        <f t="shared" si="14"/>
        <v>24895.45978846154</v>
      </c>
      <c r="L78" s="26">
        <f t="shared" si="14"/>
        <v>6702.6237892011823</v>
      </c>
      <c r="M78" s="26">
        <f t="shared" si="14"/>
        <v>-2345.9183262204137</v>
      </c>
      <c r="N78" s="26">
        <f t="shared" si="14"/>
        <v>-8713.4109259615379</v>
      </c>
      <c r="O78" s="26">
        <f t="shared" si="14"/>
        <v>4356.7054629807699</v>
      </c>
      <c r="P78" s="26">
        <f t="shared" si="14"/>
        <v>-24895.45978846154</v>
      </c>
    </row>
    <row r="79" spans="1:16" hidden="1" outlineLevel="1" x14ac:dyDescent="0.25">
      <c r="A79" s="16">
        <v>2037</v>
      </c>
      <c r="C79" s="18">
        <f t="shared" si="5"/>
        <v>298745.51746153849</v>
      </c>
      <c r="D79" s="18">
        <f t="shared" si="7"/>
        <v>80431.485470414191</v>
      </c>
      <c r="E79" s="18">
        <f t="shared" si="8"/>
        <v>-28151.019914644963</v>
      </c>
      <c r="F79" s="18">
        <f t="shared" si="9"/>
        <v>-104560.93111153846</v>
      </c>
      <c r="G79" s="18">
        <f t="shared" si="10"/>
        <v>52280.465555769239</v>
      </c>
      <c r="H79" s="18">
        <f t="shared" si="11"/>
        <v>-298745.51746153849</v>
      </c>
      <c r="I79" s="26"/>
      <c r="J79" s="26" t="s">
        <v>91</v>
      </c>
      <c r="K79" s="26">
        <f t="shared" si="14"/>
        <v>24895.45978846154</v>
      </c>
      <c r="L79" s="26">
        <f t="shared" si="14"/>
        <v>6702.6237892011823</v>
      </c>
      <c r="M79" s="26">
        <f t="shared" si="14"/>
        <v>-2345.9183262204137</v>
      </c>
      <c r="N79" s="26">
        <f t="shared" si="14"/>
        <v>-8713.4109259615379</v>
      </c>
      <c r="O79" s="26">
        <f t="shared" si="14"/>
        <v>4356.7054629807699</v>
      </c>
      <c r="P79" s="26">
        <f t="shared" si="14"/>
        <v>-24895.45978846154</v>
      </c>
    </row>
    <row r="80" spans="1:16" hidden="1" outlineLevel="1" x14ac:dyDescent="0.25">
      <c r="A80" s="16">
        <v>2038</v>
      </c>
      <c r="C80" s="18">
        <f t="shared" si="5"/>
        <v>298745.51746153849</v>
      </c>
      <c r="D80" s="18">
        <f t="shared" si="7"/>
        <v>80431.485470414191</v>
      </c>
      <c r="E80" s="18">
        <f t="shared" si="8"/>
        <v>-28151.019914644963</v>
      </c>
      <c r="F80" s="18">
        <f t="shared" si="9"/>
        <v>-104560.93111153846</v>
      </c>
      <c r="G80" s="18">
        <f t="shared" si="10"/>
        <v>52280.465555769239</v>
      </c>
      <c r="H80" s="18">
        <f t="shared" si="11"/>
        <v>-298745.51746153849</v>
      </c>
      <c r="I80" s="26"/>
      <c r="J80" s="26" t="s">
        <v>92</v>
      </c>
      <c r="K80" s="26">
        <f t="shared" si="14"/>
        <v>24895.45978846154</v>
      </c>
      <c r="L80" s="26">
        <f t="shared" si="14"/>
        <v>6702.6237892011823</v>
      </c>
      <c r="M80" s="26">
        <f t="shared" si="14"/>
        <v>-2345.9183262204137</v>
      </c>
      <c r="N80" s="26">
        <f t="shared" si="14"/>
        <v>-8713.4109259615379</v>
      </c>
      <c r="O80" s="26">
        <f t="shared" si="14"/>
        <v>4356.7054629807699</v>
      </c>
      <c r="P80" s="26">
        <f t="shared" si="14"/>
        <v>-24895.45978846154</v>
      </c>
    </row>
    <row r="81" spans="1:16" hidden="1" outlineLevel="1" x14ac:dyDescent="0.25">
      <c r="A81" s="16">
        <v>2039</v>
      </c>
      <c r="C81" s="18">
        <f t="shared" si="5"/>
        <v>298745.51746153849</v>
      </c>
      <c r="D81" s="18">
        <f t="shared" si="7"/>
        <v>80431.485470414191</v>
      </c>
      <c r="E81" s="18">
        <f t="shared" si="8"/>
        <v>-28151.019914644963</v>
      </c>
      <c r="F81" s="18">
        <f t="shared" si="9"/>
        <v>-104560.93111153846</v>
      </c>
      <c r="G81" s="18">
        <f t="shared" si="10"/>
        <v>52280.465555769239</v>
      </c>
      <c r="H81" s="18">
        <f t="shared" si="11"/>
        <v>-298745.51746153849</v>
      </c>
      <c r="I81" s="26"/>
      <c r="J81" s="26" t="s">
        <v>93</v>
      </c>
      <c r="K81" s="26">
        <f t="shared" si="14"/>
        <v>24895.45978846154</v>
      </c>
      <c r="L81" s="26">
        <f t="shared" si="14"/>
        <v>6702.6237892011823</v>
      </c>
      <c r="M81" s="26">
        <f t="shared" si="14"/>
        <v>-2345.9183262204137</v>
      </c>
      <c r="N81" s="26">
        <f t="shared" si="14"/>
        <v>-8713.4109259615379</v>
      </c>
      <c r="O81" s="26">
        <f t="shared" si="14"/>
        <v>4356.7054629807699</v>
      </c>
      <c r="P81" s="26">
        <f t="shared" si="14"/>
        <v>-24895.45978846154</v>
      </c>
    </row>
    <row r="82" spans="1:16" hidden="1" outlineLevel="1" x14ac:dyDescent="0.25">
      <c r="A82" s="16">
        <v>2040</v>
      </c>
      <c r="C82" s="18">
        <f t="shared" si="5"/>
        <v>298745.51746153849</v>
      </c>
      <c r="D82" s="18">
        <f t="shared" si="7"/>
        <v>80431.485470414191</v>
      </c>
      <c r="E82" s="18">
        <f t="shared" si="8"/>
        <v>-28151.019914644963</v>
      </c>
      <c r="F82" s="18">
        <f t="shared" si="9"/>
        <v>-104560.93111153846</v>
      </c>
      <c r="G82" s="18">
        <f t="shared" si="10"/>
        <v>52280.465555769239</v>
      </c>
      <c r="H82" s="18">
        <f t="shared" si="11"/>
        <v>-298745.51746153849</v>
      </c>
      <c r="I82" s="26"/>
      <c r="J82" s="26" t="s">
        <v>83</v>
      </c>
      <c r="K82" s="26">
        <f t="shared" si="14"/>
        <v>24895.45978846154</v>
      </c>
      <c r="L82" s="26">
        <f t="shared" si="14"/>
        <v>6702.6237892011823</v>
      </c>
      <c r="M82" s="26">
        <f t="shared" si="14"/>
        <v>-2345.9183262204137</v>
      </c>
      <c r="N82" s="26">
        <f t="shared" si="14"/>
        <v>-8713.4109259615379</v>
      </c>
      <c r="O82" s="26">
        <f t="shared" si="14"/>
        <v>4356.7054629807699</v>
      </c>
      <c r="P82" s="26">
        <f t="shared" si="14"/>
        <v>-24895.45978846154</v>
      </c>
    </row>
    <row r="83" spans="1:16" hidden="1" outlineLevel="1" x14ac:dyDescent="0.25">
      <c r="A83" s="16">
        <v>2041</v>
      </c>
      <c r="C83" s="18">
        <f t="shared" si="5"/>
        <v>298745.51746153849</v>
      </c>
      <c r="D83" s="18">
        <f t="shared" si="7"/>
        <v>80431.485470414191</v>
      </c>
      <c r="E83" s="18">
        <f t="shared" si="8"/>
        <v>-28151.019914644963</v>
      </c>
      <c r="F83" s="18">
        <f t="shared" si="9"/>
        <v>-104560.93111153846</v>
      </c>
      <c r="G83" s="18">
        <f t="shared" si="10"/>
        <v>52280.465555769239</v>
      </c>
      <c r="H83" s="18">
        <f t="shared" si="11"/>
        <v>-298745.51746153849</v>
      </c>
      <c r="I83" s="26"/>
      <c r="J83" s="26" t="s">
        <v>84</v>
      </c>
      <c r="K83" s="26">
        <f t="shared" si="14"/>
        <v>24895.45978846154</v>
      </c>
      <c r="L83" s="26">
        <f t="shared" si="14"/>
        <v>6702.6237892011823</v>
      </c>
      <c r="M83" s="26">
        <f t="shared" si="14"/>
        <v>-2345.9183262204137</v>
      </c>
      <c r="N83" s="26">
        <f t="shared" si="14"/>
        <v>-8713.4109259615379</v>
      </c>
      <c r="O83" s="26">
        <f t="shared" si="14"/>
        <v>4356.7054629807699</v>
      </c>
      <c r="P83" s="26">
        <f t="shared" si="14"/>
        <v>-24895.45978846154</v>
      </c>
    </row>
    <row r="84" spans="1:16" hidden="1" outlineLevel="1" x14ac:dyDescent="0.25">
      <c r="A84" s="16">
        <v>2042</v>
      </c>
      <c r="C84" s="18">
        <f t="shared" si="5"/>
        <v>298745.51746153849</v>
      </c>
      <c r="D84" s="18">
        <f t="shared" si="7"/>
        <v>80431.485470414191</v>
      </c>
      <c r="E84" s="18">
        <f t="shared" si="8"/>
        <v>-28151.019914644963</v>
      </c>
      <c r="F84" s="18">
        <f t="shared" si="9"/>
        <v>-104560.93111153846</v>
      </c>
      <c r="G84" s="18">
        <f t="shared" si="10"/>
        <v>52280.465555769239</v>
      </c>
      <c r="H84" s="18">
        <f t="shared" si="11"/>
        <v>-298745.51746153849</v>
      </c>
      <c r="I84" s="26"/>
      <c r="J84" s="26" t="s">
        <v>85</v>
      </c>
      <c r="K84" s="26">
        <f t="shared" si="14"/>
        <v>24895.45978846154</v>
      </c>
      <c r="L84" s="26">
        <f t="shared" si="14"/>
        <v>6702.6237892011823</v>
      </c>
      <c r="M84" s="26">
        <f t="shared" si="14"/>
        <v>-2345.9183262204137</v>
      </c>
      <c r="N84" s="26">
        <f t="shared" si="14"/>
        <v>-8713.4109259615379</v>
      </c>
      <c r="O84" s="26">
        <f t="shared" si="14"/>
        <v>4356.7054629807699</v>
      </c>
      <c r="P84" s="26">
        <f t="shared" si="14"/>
        <v>-24895.45978846154</v>
      </c>
    </row>
    <row r="85" spans="1:16" hidden="1" outlineLevel="1" x14ac:dyDescent="0.25">
      <c r="A85" s="16">
        <v>2043</v>
      </c>
      <c r="C85" s="18">
        <f t="shared" si="5"/>
        <v>298745.51746153849</v>
      </c>
      <c r="D85" s="18">
        <f t="shared" si="7"/>
        <v>80431.485470414191</v>
      </c>
      <c r="E85" s="18">
        <f t="shared" si="8"/>
        <v>-28151.019914644963</v>
      </c>
      <c r="F85" s="18">
        <f t="shared" si="9"/>
        <v>-104560.93111153846</v>
      </c>
      <c r="G85" s="18">
        <f t="shared" si="10"/>
        <v>52280.465555769239</v>
      </c>
      <c r="H85" s="18">
        <f t="shared" si="11"/>
        <v>-298745.51746153849</v>
      </c>
      <c r="I85" s="26"/>
      <c r="J85" s="26" t="s">
        <v>86</v>
      </c>
      <c r="K85" s="26">
        <f t="shared" si="14"/>
        <v>24895.45978846154</v>
      </c>
      <c r="L85" s="26">
        <f t="shared" si="14"/>
        <v>6702.6237892011823</v>
      </c>
      <c r="M85" s="26">
        <f t="shared" si="14"/>
        <v>-2345.9183262204137</v>
      </c>
      <c r="N85" s="26">
        <f t="shared" si="14"/>
        <v>-8713.4109259615379</v>
      </c>
      <c r="O85" s="26">
        <f t="shared" si="14"/>
        <v>4356.7054629807699</v>
      </c>
      <c r="P85" s="26">
        <f t="shared" si="14"/>
        <v>-24895.45978846154</v>
      </c>
    </row>
    <row r="86" spans="1:16" hidden="1" outlineLevel="1" x14ac:dyDescent="0.25">
      <c r="A86" s="16">
        <v>2044</v>
      </c>
      <c r="C86" s="18">
        <f t="shared" si="5"/>
        <v>298745.51746153849</v>
      </c>
      <c r="D86" s="18">
        <f t="shared" si="7"/>
        <v>80431.485470414191</v>
      </c>
      <c r="E86" s="18">
        <f t="shared" si="8"/>
        <v>-28151.019914644963</v>
      </c>
      <c r="F86" s="18">
        <f t="shared" si="9"/>
        <v>-104560.93111153846</v>
      </c>
      <c r="G86" s="18">
        <f t="shared" si="10"/>
        <v>52280.465555769239</v>
      </c>
      <c r="H86" s="18">
        <f t="shared" si="11"/>
        <v>-298745.51746153849</v>
      </c>
      <c r="I86" s="26"/>
      <c r="J86" s="26" t="s">
        <v>87</v>
      </c>
      <c r="K86" s="26">
        <f t="shared" si="14"/>
        <v>24895.45978846154</v>
      </c>
      <c r="L86" s="26">
        <f t="shared" si="14"/>
        <v>6702.6237892011823</v>
      </c>
      <c r="M86" s="26">
        <f t="shared" si="14"/>
        <v>-2345.9183262204137</v>
      </c>
      <c r="N86" s="26">
        <f t="shared" si="14"/>
        <v>-8713.4109259615379</v>
      </c>
      <c r="O86" s="26">
        <f t="shared" si="14"/>
        <v>4356.7054629807699</v>
      </c>
      <c r="P86" s="26">
        <f t="shared" si="14"/>
        <v>-24895.45978846154</v>
      </c>
    </row>
    <row r="87" spans="1:16" hidden="1" outlineLevel="1" x14ac:dyDescent="0.25">
      <c r="A87" s="16">
        <v>2045</v>
      </c>
      <c r="C87" s="18">
        <f t="shared" si="5"/>
        <v>298745.51746153849</v>
      </c>
      <c r="D87" s="18">
        <f t="shared" si="7"/>
        <v>80431.485470414191</v>
      </c>
      <c r="E87" s="18">
        <f t="shared" si="8"/>
        <v>-28151.019914644963</v>
      </c>
      <c r="F87" s="18">
        <f t="shared" si="9"/>
        <v>-104560.93111153846</v>
      </c>
      <c r="G87" s="18">
        <f t="shared" si="10"/>
        <v>52280.465555769239</v>
      </c>
      <c r="H87" s="18">
        <f t="shared" si="11"/>
        <v>-298745.51746153849</v>
      </c>
      <c r="I87" s="26"/>
      <c r="J87" s="26" t="s">
        <v>23</v>
      </c>
      <c r="K87" s="26">
        <f t="shared" si="14"/>
        <v>24895.45978846154</v>
      </c>
      <c r="L87" s="26">
        <f t="shared" si="14"/>
        <v>6702.6237892011823</v>
      </c>
      <c r="M87" s="26">
        <f t="shared" si="14"/>
        <v>-2345.9183262204137</v>
      </c>
      <c r="N87" s="26">
        <f t="shared" si="14"/>
        <v>-8713.4109259615379</v>
      </c>
      <c r="O87" s="26">
        <f t="shared" si="14"/>
        <v>4356.7054629807699</v>
      </c>
      <c r="P87" s="26">
        <f t="shared" si="14"/>
        <v>-24895.45978846154</v>
      </c>
    </row>
    <row r="88" spans="1:16" hidden="1" outlineLevel="1" x14ac:dyDescent="0.25">
      <c r="A88" s="16">
        <v>2046</v>
      </c>
      <c r="C88" s="18">
        <f t="shared" si="5"/>
        <v>298745.51746153849</v>
      </c>
      <c r="D88" s="18">
        <f t="shared" si="7"/>
        <v>80431.485470414191</v>
      </c>
      <c r="E88" s="18">
        <f t="shared" si="8"/>
        <v>-28151.019914644963</v>
      </c>
      <c r="F88" s="18">
        <f t="shared" si="9"/>
        <v>-104560.93111153846</v>
      </c>
      <c r="G88" s="18">
        <f t="shared" si="10"/>
        <v>52280.465555769239</v>
      </c>
      <c r="H88" s="18">
        <f t="shared" si="11"/>
        <v>-298745.51746153849</v>
      </c>
      <c r="I88" s="26"/>
      <c r="J88" s="26" t="s">
        <v>88</v>
      </c>
      <c r="K88" s="26">
        <f t="shared" si="14"/>
        <v>24895.45978846154</v>
      </c>
      <c r="L88" s="26">
        <f t="shared" si="14"/>
        <v>6702.6237892011823</v>
      </c>
      <c r="M88" s="26">
        <f t="shared" si="14"/>
        <v>-2345.9183262204137</v>
      </c>
      <c r="N88" s="26">
        <f t="shared" si="14"/>
        <v>-8713.4109259615379</v>
      </c>
      <c r="O88" s="26">
        <f t="shared" si="14"/>
        <v>4356.7054629807699</v>
      </c>
      <c r="P88" s="26">
        <f t="shared" si="14"/>
        <v>-24895.45978846154</v>
      </c>
    </row>
    <row r="89" spans="1:16" hidden="1" outlineLevel="1" x14ac:dyDescent="0.25">
      <c r="A89" s="16">
        <v>2047</v>
      </c>
      <c r="C89" s="18">
        <f t="shared" si="5"/>
        <v>298745.51746153849</v>
      </c>
      <c r="D89" s="18">
        <f t="shared" si="7"/>
        <v>80431.485470414191</v>
      </c>
      <c r="E89" s="18">
        <f t="shared" si="8"/>
        <v>-28151.019914644963</v>
      </c>
      <c r="F89" s="18">
        <f t="shared" si="9"/>
        <v>-104560.93111153846</v>
      </c>
      <c r="G89" s="18">
        <f t="shared" si="10"/>
        <v>52280.465555769239</v>
      </c>
      <c r="H89" s="18">
        <f t="shared" si="11"/>
        <v>-298745.51746153849</v>
      </c>
      <c r="I89" s="26"/>
      <c r="J89" s="26" t="s">
        <v>89</v>
      </c>
      <c r="K89" s="26">
        <f t="shared" si="14"/>
        <v>24895.45978846154</v>
      </c>
      <c r="L89" s="26">
        <f t="shared" si="14"/>
        <v>6702.6237892011823</v>
      </c>
      <c r="M89" s="26">
        <f t="shared" si="14"/>
        <v>-2345.9183262204137</v>
      </c>
      <c r="N89" s="26">
        <f t="shared" si="14"/>
        <v>-8713.4109259615379</v>
      </c>
      <c r="O89" s="26">
        <f t="shared" si="14"/>
        <v>4356.7054629807699</v>
      </c>
      <c r="P89" s="26">
        <f t="shared" si="14"/>
        <v>-24895.45978846154</v>
      </c>
    </row>
    <row r="90" spans="1:16" hidden="1" outlineLevel="1" x14ac:dyDescent="0.25">
      <c r="A90" s="16">
        <v>2048</v>
      </c>
      <c r="C90" s="18">
        <f t="shared" si="5"/>
        <v>298745.51746153849</v>
      </c>
      <c r="D90" s="18">
        <f t="shared" si="7"/>
        <v>80431.485470414191</v>
      </c>
      <c r="E90" s="18">
        <f t="shared" si="8"/>
        <v>-28151.019914644963</v>
      </c>
      <c r="F90" s="18">
        <f t="shared" si="9"/>
        <v>-104560.93111153846</v>
      </c>
      <c r="G90" s="18">
        <f t="shared" si="10"/>
        <v>52280.465555769239</v>
      </c>
      <c r="H90" s="18">
        <f t="shared" si="11"/>
        <v>-298745.51746153849</v>
      </c>
      <c r="I90" s="26"/>
      <c r="J90" s="26" t="s">
        <v>90</v>
      </c>
      <c r="K90" s="26">
        <f t="shared" si="14"/>
        <v>24895.45978846154</v>
      </c>
      <c r="L90" s="26">
        <f t="shared" si="14"/>
        <v>6702.6237892011823</v>
      </c>
      <c r="M90" s="26">
        <f t="shared" si="14"/>
        <v>-2345.9183262204137</v>
      </c>
      <c r="N90" s="26">
        <f t="shared" si="14"/>
        <v>-8713.4109259615379</v>
      </c>
      <c r="O90" s="26">
        <f t="shared" si="14"/>
        <v>4356.7054629807699</v>
      </c>
      <c r="P90" s="26">
        <f t="shared" si="14"/>
        <v>-24895.45978846154</v>
      </c>
    </row>
    <row r="91" spans="1:16" hidden="1" outlineLevel="1" x14ac:dyDescent="0.25">
      <c r="A91" s="16">
        <v>2049</v>
      </c>
      <c r="C91" s="18">
        <f t="shared" si="5"/>
        <v>298745.51746153849</v>
      </c>
      <c r="D91" s="18">
        <f t="shared" si="7"/>
        <v>80431.485470414191</v>
      </c>
      <c r="E91" s="18">
        <f t="shared" si="8"/>
        <v>-28151.019914644963</v>
      </c>
      <c r="F91" s="18">
        <f t="shared" si="9"/>
        <v>-104560.93111153846</v>
      </c>
      <c r="G91" s="18">
        <f t="shared" si="10"/>
        <v>52280.465555769239</v>
      </c>
      <c r="H91" s="18">
        <f t="shared" si="11"/>
        <v>-298745.51746153849</v>
      </c>
      <c r="I91" s="26"/>
      <c r="J91" s="26" t="s">
        <v>91</v>
      </c>
      <c r="K91" s="26">
        <f t="shared" si="14"/>
        <v>24895.45978846154</v>
      </c>
      <c r="L91" s="26">
        <f t="shared" si="14"/>
        <v>6702.6237892011823</v>
      </c>
      <c r="M91" s="26">
        <f t="shared" si="14"/>
        <v>-2345.9183262204137</v>
      </c>
      <c r="N91" s="26">
        <f t="shared" si="14"/>
        <v>-8713.4109259615379</v>
      </c>
      <c r="O91" s="26">
        <f t="shared" si="14"/>
        <v>4356.7054629807699</v>
      </c>
      <c r="P91" s="26">
        <f t="shared" si="14"/>
        <v>-24895.45978846154</v>
      </c>
    </row>
    <row r="92" spans="1:16" hidden="1" outlineLevel="1" x14ac:dyDescent="0.25">
      <c r="A92" s="16">
        <v>2050</v>
      </c>
      <c r="C92" s="18">
        <f t="shared" si="5"/>
        <v>298745.51746153849</v>
      </c>
      <c r="D92" s="18">
        <f t="shared" si="7"/>
        <v>80431.485470414191</v>
      </c>
      <c r="E92" s="18">
        <f t="shared" si="8"/>
        <v>-28151.019914644963</v>
      </c>
      <c r="F92" s="18">
        <f t="shared" si="9"/>
        <v>-104560.93111153846</v>
      </c>
      <c r="G92" s="18">
        <f t="shared" si="10"/>
        <v>52280.465555769239</v>
      </c>
      <c r="H92" s="18">
        <f t="shared" si="11"/>
        <v>-298745.51746153849</v>
      </c>
      <c r="I92" s="26"/>
      <c r="J92" s="26" t="s">
        <v>92</v>
      </c>
      <c r="K92" s="26">
        <f t="shared" si="14"/>
        <v>24895.45978846154</v>
      </c>
      <c r="L92" s="26">
        <f t="shared" si="14"/>
        <v>6702.6237892011823</v>
      </c>
      <c r="M92" s="26">
        <f t="shared" si="14"/>
        <v>-2345.9183262204137</v>
      </c>
      <c r="N92" s="26">
        <f t="shared" si="14"/>
        <v>-8713.4109259615379</v>
      </c>
      <c r="O92" s="26">
        <f t="shared" si="14"/>
        <v>4356.7054629807699</v>
      </c>
      <c r="P92" s="26">
        <f t="shared" si="14"/>
        <v>-24895.45978846154</v>
      </c>
    </row>
    <row r="93" spans="1:16" hidden="1" outlineLevel="1" x14ac:dyDescent="0.25">
      <c r="A93" s="16">
        <v>2051</v>
      </c>
      <c r="C93" s="18">
        <f t="shared" si="5"/>
        <v>298745.51746153849</v>
      </c>
      <c r="D93" s="18">
        <f t="shared" si="7"/>
        <v>80431.485470414191</v>
      </c>
      <c r="E93" s="18">
        <f t="shared" si="8"/>
        <v>-28151.019914644963</v>
      </c>
      <c r="F93" s="18">
        <f t="shared" si="9"/>
        <v>-104560.93111153846</v>
      </c>
      <c r="G93" s="18">
        <f t="shared" si="10"/>
        <v>52280.465555769239</v>
      </c>
      <c r="H93" s="18">
        <f t="shared" si="11"/>
        <v>-298745.51746153849</v>
      </c>
      <c r="I93" s="26"/>
      <c r="J93" s="26" t="s">
        <v>93</v>
      </c>
      <c r="K93" s="26">
        <f t="shared" si="14"/>
        <v>24895.45978846154</v>
      </c>
      <c r="L93" s="26">
        <f t="shared" si="14"/>
        <v>6702.6237892011823</v>
      </c>
      <c r="M93" s="26">
        <f t="shared" si="14"/>
        <v>-2345.9183262204137</v>
      </c>
      <c r="N93" s="26">
        <f t="shared" si="14"/>
        <v>-8713.4109259615379</v>
      </c>
      <c r="O93" s="26">
        <f t="shared" si="14"/>
        <v>4356.7054629807699</v>
      </c>
      <c r="P93" s="26">
        <f t="shared" si="14"/>
        <v>-24895.45978846154</v>
      </c>
    </row>
    <row r="94" spans="1:16" hidden="1" outlineLevel="1" x14ac:dyDescent="0.25">
      <c r="A94" s="16">
        <v>2052</v>
      </c>
      <c r="C94" s="18">
        <f t="shared" si="5"/>
        <v>298745.51746153849</v>
      </c>
      <c r="D94" s="18">
        <f t="shared" si="7"/>
        <v>80431.485470414191</v>
      </c>
      <c r="E94" s="18">
        <f t="shared" si="8"/>
        <v>-28151.019914644963</v>
      </c>
      <c r="F94" s="18">
        <f t="shared" si="9"/>
        <v>-104560.93111153846</v>
      </c>
      <c r="G94" s="18">
        <f t="shared" si="10"/>
        <v>52280.465555769239</v>
      </c>
      <c r="H94" s="18">
        <f t="shared" si="11"/>
        <v>-298745.51746153849</v>
      </c>
      <c r="I94" s="26"/>
      <c r="J94" s="26" t="s">
        <v>83</v>
      </c>
      <c r="K94" s="26">
        <f t="shared" si="14"/>
        <v>24895.45978846154</v>
      </c>
      <c r="L94" s="26">
        <f t="shared" si="14"/>
        <v>6702.6237892011823</v>
      </c>
      <c r="M94" s="26">
        <f t="shared" si="14"/>
        <v>-2345.9183262204137</v>
      </c>
      <c r="N94" s="26">
        <f t="shared" si="14"/>
        <v>-8713.4109259615379</v>
      </c>
      <c r="O94" s="26">
        <f t="shared" si="14"/>
        <v>4356.7054629807699</v>
      </c>
      <c r="P94" s="26">
        <f t="shared" si="14"/>
        <v>-24895.45978846154</v>
      </c>
    </row>
    <row r="95" spans="1:16" hidden="1" outlineLevel="1" x14ac:dyDescent="0.25">
      <c r="A95" s="16">
        <v>2053</v>
      </c>
      <c r="C95" s="18">
        <f t="shared" si="5"/>
        <v>298745.51746153849</v>
      </c>
      <c r="D95" s="18">
        <f t="shared" si="7"/>
        <v>80431.485470414191</v>
      </c>
      <c r="E95" s="18">
        <f t="shared" si="8"/>
        <v>-28151.019914644963</v>
      </c>
      <c r="F95" s="18">
        <f t="shared" si="9"/>
        <v>-104560.93111153846</v>
      </c>
      <c r="G95" s="18">
        <f t="shared" si="10"/>
        <v>52280.465555769239</v>
      </c>
      <c r="H95" s="18">
        <f t="shared" si="11"/>
        <v>-298745.51746153849</v>
      </c>
      <c r="I95" s="26"/>
      <c r="J95" s="26" t="s">
        <v>84</v>
      </c>
      <c r="K95" s="26">
        <f t="shared" si="14"/>
        <v>24895.45978846154</v>
      </c>
      <c r="L95" s="26">
        <f t="shared" si="14"/>
        <v>6702.6237892011823</v>
      </c>
      <c r="M95" s="26">
        <f t="shared" si="14"/>
        <v>-2345.9183262204137</v>
      </c>
      <c r="N95" s="26">
        <f t="shared" si="14"/>
        <v>-8713.4109259615379</v>
      </c>
      <c r="O95" s="26">
        <f t="shared" si="14"/>
        <v>4356.7054629807699</v>
      </c>
      <c r="P95" s="26">
        <f t="shared" si="14"/>
        <v>-24895.45978846154</v>
      </c>
    </row>
    <row r="96" spans="1:16" hidden="1" outlineLevel="1" x14ac:dyDescent="0.25">
      <c r="A96" s="16">
        <v>2054</v>
      </c>
      <c r="C96" s="18">
        <f t="shared" si="5"/>
        <v>298745.51746153849</v>
      </c>
      <c r="D96" s="18">
        <f t="shared" si="7"/>
        <v>80431.485470414191</v>
      </c>
      <c r="E96" s="18">
        <f t="shared" si="8"/>
        <v>-28151.019914644963</v>
      </c>
      <c r="F96" s="18">
        <f t="shared" si="9"/>
        <v>-104560.93111153846</v>
      </c>
      <c r="G96" s="18">
        <f t="shared" si="10"/>
        <v>52280.465555769239</v>
      </c>
      <c r="H96" s="18">
        <f t="shared" si="11"/>
        <v>-298745.51746153849</v>
      </c>
      <c r="I96" s="26"/>
      <c r="J96" s="26" t="s">
        <v>85</v>
      </c>
      <c r="K96" s="26">
        <f t="shared" si="14"/>
        <v>24895.45978846154</v>
      </c>
      <c r="L96" s="26">
        <f t="shared" si="14"/>
        <v>6702.6237892011823</v>
      </c>
      <c r="M96" s="26">
        <f t="shared" si="14"/>
        <v>-2345.9183262204137</v>
      </c>
      <c r="N96" s="26">
        <f t="shared" si="14"/>
        <v>-8713.4109259615379</v>
      </c>
      <c r="O96" s="26">
        <f t="shared" si="14"/>
        <v>4356.7054629807699</v>
      </c>
      <c r="P96" s="26">
        <f t="shared" si="14"/>
        <v>-24895.45978846154</v>
      </c>
    </row>
    <row r="97" spans="1:16" hidden="1" outlineLevel="1" x14ac:dyDescent="0.25">
      <c r="A97" s="16">
        <v>2055</v>
      </c>
      <c r="C97" s="18">
        <f t="shared" si="5"/>
        <v>298745.51746153849</v>
      </c>
      <c r="D97" s="18">
        <f t="shared" si="7"/>
        <v>80431.485470414191</v>
      </c>
      <c r="E97" s="18">
        <f t="shared" si="8"/>
        <v>-28151.019914644963</v>
      </c>
      <c r="F97" s="18">
        <f t="shared" si="9"/>
        <v>-104560.93111153846</v>
      </c>
      <c r="G97" s="18">
        <f t="shared" si="10"/>
        <v>52280.465555769239</v>
      </c>
      <c r="H97" s="18">
        <f t="shared" si="11"/>
        <v>-298745.51746153849</v>
      </c>
      <c r="I97" s="26"/>
      <c r="J97" s="26" t="s">
        <v>86</v>
      </c>
      <c r="K97" s="26">
        <f t="shared" si="14"/>
        <v>24895.45978846154</v>
      </c>
      <c r="L97" s="26">
        <f t="shared" si="14"/>
        <v>6702.6237892011823</v>
      </c>
      <c r="M97" s="26">
        <f t="shared" si="14"/>
        <v>-2345.9183262204137</v>
      </c>
      <c r="N97" s="26">
        <f t="shared" si="14"/>
        <v>-8713.4109259615379</v>
      </c>
      <c r="O97" s="26">
        <f t="shared" si="14"/>
        <v>4356.7054629807699</v>
      </c>
      <c r="P97" s="26">
        <f t="shared" si="14"/>
        <v>-24895.45978846154</v>
      </c>
    </row>
    <row r="98" spans="1:16" hidden="1" outlineLevel="1" x14ac:dyDescent="0.25">
      <c r="A98" s="16">
        <v>2056</v>
      </c>
      <c r="C98" s="18">
        <f t="shared" si="5"/>
        <v>298745.51746153849</v>
      </c>
      <c r="D98" s="18">
        <f t="shared" si="7"/>
        <v>80431.485470414191</v>
      </c>
      <c r="E98" s="18">
        <f t="shared" si="8"/>
        <v>-28151.019914644963</v>
      </c>
      <c r="F98" s="18">
        <f t="shared" si="9"/>
        <v>-104560.93111153846</v>
      </c>
      <c r="G98" s="18">
        <f t="shared" si="10"/>
        <v>52280.465555769239</v>
      </c>
      <c r="H98" s="18">
        <f t="shared" si="11"/>
        <v>-298745.51746153849</v>
      </c>
      <c r="I98" s="26"/>
      <c r="J98" s="26" t="s">
        <v>87</v>
      </c>
      <c r="K98" s="26">
        <f t="shared" si="14"/>
        <v>24895.45978846154</v>
      </c>
      <c r="L98" s="26">
        <f t="shared" si="14"/>
        <v>6702.6237892011823</v>
      </c>
      <c r="M98" s="26">
        <f t="shared" si="14"/>
        <v>-2345.9183262204137</v>
      </c>
      <c r="N98" s="26">
        <f t="shared" si="14"/>
        <v>-8713.4109259615379</v>
      </c>
      <c r="O98" s="26">
        <f t="shared" si="14"/>
        <v>4356.7054629807699</v>
      </c>
      <c r="P98" s="26">
        <f t="shared" si="14"/>
        <v>-24895.45978846154</v>
      </c>
    </row>
    <row r="99" spans="1:16" hidden="1" outlineLevel="1" x14ac:dyDescent="0.25">
      <c r="A99" s="16">
        <v>2057</v>
      </c>
      <c r="C99" s="18">
        <f t="shared" si="5"/>
        <v>298745.51746153849</v>
      </c>
      <c r="D99" s="18">
        <f t="shared" si="7"/>
        <v>80431.485470414191</v>
      </c>
      <c r="E99" s="18">
        <f t="shared" si="8"/>
        <v>-28151.019914644963</v>
      </c>
      <c r="F99" s="18">
        <f t="shared" si="9"/>
        <v>-104560.93111153846</v>
      </c>
      <c r="G99" s="18">
        <f t="shared" si="10"/>
        <v>52280.465555769239</v>
      </c>
      <c r="H99" s="18">
        <f t="shared" si="11"/>
        <v>-298745.51746153849</v>
      </c>
      <c r="I99" s="26"/>
      <c r="J99" s="26" t="s">
        <v>23</v>
      </c>
      <c r="K99" s="26">
        <f t="shared" si="14"/>
        <v>24895.45978846154</v>
      </c>
      <c r="L99" s="26">
        <f t="shared" si="14"/>
        <v>6702.6237892011823</v>
      </c>
      <c r="M99" s="26">
        <f t="shared" si="14"/>
        <v>-2345.9183262204137</v>
      </c>
      <c r="N99" s="26">
        <f t="shared" si="14"/>
        <v>-8713.4109259615379</v>
      </c>
      <c r="O99" s="26">
        <f t="shared" si="14"/>
        <v>4356.7054629807699</v>
      </c>
      <c r="P99" s="26">
        <f t="shared" si="14"/>
        <v>-24895.45978846154</v>
      </c>
    </row>
    <row r="100" spans="1:16" hidden="1" outlineLevel="1" x14ac:dyDescent="0.25">
      <c r="A100" s="16">
        <v>2058</v>
      </c>
      <c r="C100" s="18">
        <f t="shared" si="5"/>
        <v>298745.51746153849</v>
      </c>
      <c r="D100" s="18">
        <f t="shared" si="7"/>
        <v>80431.485470414191</v>
      </c>
      <c r="E100" s="18">
        <f t="shared" si="8"/>
        <v>-28151.019914644963</v>
      </c>
      <c r="F100" s="18">
        <f t="shared" si="9"/>
        <v>-104560.93111153846</v>
      </c>
      <c r="G100" s="18">
        <f t="shared" si="10"/>
        <v>52280.465555769239</v>
      </c>
      <c r="H100" s="18">
        <f t="shared" si="11"/>
        <v>-298745.51746153849</v>
      </c>
      <c r="I100" s="26"/>
      <c r="J100" s="26" t="s">
        <v>88</v>
      </c>
      <c r="K100" s="26">
        <f t="shared" si="14"/>
        <v>24895.45978846154</v>
      </c>
      <c r="L100" s="26">
        <f t="shared" si="14"/>
        <v>6702.6237892011823</v>
      </c>
      <c r="M100" s="26">
        <f t="shared" si="14"/>
        <v>-2345.9183262204137</v>
      </c>
      <c r="N100" s="26">
        <f t="shared" si="14"/>
        <v>-8713.4109259615379</v>
      </c>
      <c r="O100" s="26">
        <f t="shared" si="14"/>
        <v>4356.7054629807699</v>
      </c>
      <c r="P100" s="26">
        <f t="shared" si="14"/>
        <v>-24895.45978846154</v>
      </c>
    </row>
    <row r="101" spans="1:16" hidden="1" outlineLevel="1" x14ac:dyDescent="0.25">
      <c r="A101" s="16">
        <v>2059</v>
      </c>
      <c r="C101" s="18">
        <f t="shared" si="5"/>
        <v>298745.51746153849</v>
      </c>
      <c r="D101" s="18">
        <f t="shared" si="7"/>
        <v>80431.485470414191</v>
      </c>
      <c r="E101" s="18">
        <f t="shared" si="8"/>
        <v>-28151.019914644963</v>
      </c>
      <c r="F101" s="18">
        <f t="shared" si="9"/>
        <v>-104560.93111153846</v>
      </c>
      <c r="G101" s="18">
        <f t="shared" si="10"/>
        <v>52280.465555769239</v>
      </c>
      <c r="H101" s="18">
        <f t="shared" si="11"/>
        <v>-298745.51746153849</v>
      </c>
      <c r="I101" s="26"/>
      <c r="J101" s="26" t="s">
        <v>89</v>
      </c>
      <c r="K101" s="26">
        <f t="shared" si="14"/>
        <v>24895.45978846154</v>
      </c>
      <c r="L101" s="26">
        <f t="shared" si="14"/>
        <v>6702.6237892011823</v>
      </c>
      <c r="M101" s="26">
        <f t="shared" si="14"/>
        <v>-2345.9183262204137</v>
      </c>
      <c r="N101" s="26">
        <f t="shared" si="14"/>
        <v>-8713.4109259615379</v>
      </c>
      <c r="O101" s="26">
        <f t="shared" si="14"/>
        <v>4356.7054629807699</v>
      </c>
      <c r="P101" s="26">
        <f t="shared" si="14"/>
        <v>-24895.45978846154</v>
      </c>
    </row>
    <row r="102" spans="1:16" hidden="1" outlineLevel="1" x14ac:dyDescent="0.25">
      <c r="A102" s="16">
        <v>2060</v>
      </c>
      <c r="C102" s="18">
        <f t="shared" si="5"/>
        <v>298745.51746153849</v>
      </c>
      <c r="D102" s="18">
        <f t="shared" si="7"/>
        <v>80431.485470414191</v>
      </c>
      <c r="E102" s="18">
        <f t="shared" si="8"/>
        <v>-28151.019914644963</v>
      </c>
      <c r="F102" s="18">
        <f t="shared" si="9"/>
        <v>-104560.93111153846</v>
      </c>
      <c r="G102" s="18">
        <f t="shared" si="10"/>
        <v>52280.465555769239</v>
      </c>
      <c r="H102" s="18">
        <f t="shared" si="11"/>
        <v>-298745.51746153849</v>
      </c>
      <c r="I102" s="26"/>
      <c r="J102" s="26" t="s">
        <v>90</v>
      </c>
      <c r="K102" s="26">
        <f t="shared" si="14"/>
        <v>24895.45978846154</v>
      </c>
      <c r="L102" s="26">
        <f t="shared" si="14"/>
        <v>6702.6237892011823</v>
      </c>
      <c r="M102" s="26">
        <f t="shared" si="14"/>
        <v>-2345.9183262204137</v>
      </c>
      <c r="N102" s="26">
        <f t="shared" si="14"/>
        <v>-8713.4109259615379</v>
      </c>
      <c r="O102" s="26">
        <f t="shared" si="14"/>
        <v>4356.7054629807699</v>
      </c>
      <c r="P102" s="26">
        <f t="shared" si="14"/>
        <v>-24895.45978846154</v>
      </c>
    </row>
    <row r="103" spans="1:16" hidden="1" outlineLevel="1" x14ac:dyDescent="0.25">
      <c r="A103" s="16">
        <v>2061</v>
      </c>
      <c r="C103" s="18">
        <f t="shared" si="5"/>
        <v>298745.51746153849</v>
      </c>
      <c r="D103" s="18">
        <f t="shared" si="7"/>
        <v>80431.485470414191</v>
      </c>
      <c r="E103" s="18">
        <f t="shared" si="8"/>
        <v>-28151.019914644963</v>
      </c>
      <c r="F103" s="18">
        <f t="shared" si="9"/>
        <v>-104560.93111153846</v>
      </c>
      <c r="G103" s="18">
        <f t="shared" si="10"/>
        <v>52280.465555769239</v>
      </c>
      <c r="H103" s="18">
        <f t="shared" si="11"/>
        <v>-298745.51746153849</v>
      </c>
      <c r="I103" s="26"/>
      <c r="J103" s="26" t="s">
        <v>91</v>
      </c>
      <c r="K103" s="26">
        <f t="shared" si="14"/>
        <v>24895.45978846154</v>
      </c>
      <c r="L103" s="26">
        <f t="shared" si="14"/>
        <v>6702.6237892011823</v>
      </c>
      <c r="M103" s="26">
        <f t="shared" si="14"/>
        <v>-2345.9183262204137</v>
      </c>
      <c r="N103" s="26">
        <f t="shared" si="14"/>
        <v>-8713.4109259615379</v>
      </c>
      <c r="O103" s="26">
        <f t="shared" si="14"/>
        <v>4356.7054629807699</v>
      </c>
      <c r="P103" s="26">
        <f t="shared" si="14"/>
        <v>-24895.45978846154</v>
      </c>
    </row>
    <row r="104" spans="1:16" hidden="1" outlineLevel="1" x14ac:dyDescent="0.25">
      <c r="A104" s="16">
        <v>2062</v>
      </c>
      <c r="C104" s="18">
        <f t="shared" si="5"/>
        <v>298745.51746153849</v>
      </c>
      <c r="D104" s="18">
        <f t="shared" si="7"/>
        <v>80431.485470414191</v>
      </c>
      <c r="E104" s="18">
        <f t="shared" si="8"/>
        <v>-28151.019914644963</v>
      </c>
      <c r="F104" s="18">
        <f t="shared" si="9"/>
        <v>-104560.93111153846</v>
      </c>
      <c r="G104" s="18">
        <f t="shared" si="10"/>
        <v>52280.465555769239</v>
      </c>
      <c r="H104" s="18">
        <f t="shared" si="11"/>
        <v>-298745.51746153849</v>
      </c>
      <c r="I104" s="26"/>
      <c r="J104" s="26" t="s">
        <v>92</v>
      </c>
      <c r="K104" s="26">
        <f t="shared" si="14"/>
        <v>24895.45978846154</v>
      </c>
      <c r="L104" s="26">
        <f t="shared" si="14"/>
        <v>6702.6237892011823</v>
      </c>
      <c r="M104" s="26">
        <f t="shared" si="14"/>
        <v>-2345.9183262204137</v>
      </c>
      <c r="N104" s="26">
        <f t="shared" si="14"/>
        <v>-8713.4109259615379</v>
      </c>
      <c r="O104" s="26">
        <f t="shared" si="14"/>
        <v>4356.7054629807699</v>
      </c>
      <c r="P104" s="26">
        <f t="shared" si="14"/>
        <v>-24895.45978846154</v>
      </c>
    </row>
    <row r="105" spans="1:16" hidden="1" outlineLevel="1" x14ac:dyDescent="0.25">
      <c r="A105" s="16">
        <v>2063</v>
      </c>
      <c r="C105" s="18">
        <f t="shared" si="5"/>
        <v>298745.51746153849</v>
      </c>
      <c r="D105" s="18">
        <f t="shared" si="7"/>
        <v>80431.485470414191</v>
      </c>
      <c r="E105" s="18">
        <f t="shared" si="8"/>
        <v>-28151.019914644963</v>
      </c>
      <c r="F105" s="18">
        <f t="shared" si="9"/>
        <v>-104560.93111153846</v>
      </c>
      <c r="G105" s="18">
        <f t="shared" si="10"/>
        <v>52280.465555769239</v>
      </c>
      <c r="H105" s="18">
        <f t="shared" si="11"/>
        <v>-298745.51746153849</v>
      </c>
      <c r="I105" s="26"/>
      <c r="J105" s="26" t="s">
        <v>93</v>
      </c>
      <c r="K105" s="26">
        <f t="shared" si="14"/>
        <v>24895.45978846154</v>
      </c>
      <c r="L105" s="26">
        <f t="shared" si="14"/>
        <v>6702.6237892011823</v>
      </c>
      <c r="M105" s="26">
        <f t="shared" si="14"/>
        <v>-2345.9183262204137</v>
      </c>
      <c r="N105" s="26">
        <f t="shared" si="14"/>
        <v>-8713.4109259615379</v>
      </c>
      <c r="O105" s="26">
        <f t="shared" si="14"/>
        <v>4356.7054629807699</v>
      </c>
      <c r="P105" s="26">
        <f t="shared" si="14"/>
        <v>-24895.45978846154</v>
      </c>
    </row>
    <row r="106" spans="1:16" hidden="1" outlineLevel="1" x14ac:dyDescent="0.25">
      <c r="A106" s="16">
        <v>2064</v>
      </c>
      <c r="C106" s="18">
        <f t="shared" si="5"/>
        <v>298745.51746153849</v>
      </c>
      <c r="D106" s="18">
        <f t="shared" si="7"/>
        <v>80431.485470414191</v>
      </c>
      <c r="E106" s="18">
        <f t="shared" si="8"/>
        <v>-28151.019914644963</v>
      </c>
      <c r="F106" s="18">
        <f t="shared" si="9"/>
        <v>-104560.93111153846</v>
      </c>
      <c r="G106" s="18">
        <f t="shared" si="10"/>
        <v>52280.465555769239</v>
      </c>
      <c r="H106" s="18">
        <f t="shared" si="11"/>
        <v>-298745.51746153849</v>
      </c>
      <c r="I106" s="26"/>
      <c r="J106" s="26" t="s">
        <v>83</v>
      </c>
      <c r="K106" s="26">
        <f t="shared" si="14"/>
        <v>24895.45978846154</v>
      </c>
      <c r="L106" s="26">
        <f t="shared" si="14"/>
        <v>6702.6237892011823</v>
      </c>
      <c r="M106" s="26">
        <f t="shared" si="14"/>
        <v>-2345.9183262204137</v>
      </c>
      <c r="N106" s="26">
        <f t="shared" si="14"/>
        <v>-8713.4109259615379</v>
      </c>
      <c r="O106" s="26">
        <f t="shared" si="14"/>
        <v>4356.7054629807699</v>
      </c>
      <c r="P106" s="26">
        <f t="shared" si="14"/>
        <v>-24895.45978846154</v>
      </c>
    </row>
    <row r="107" spans="1:16" hidden="1" outlineLevel="1" x14ac:dyDescent="0.25">
      <c r="A107" s="16">
        <v>2065</v>
      </c>
      <c r="C107" s="18">
        <f t="shared" si="5"/>
        <v>298745.51746153849</v>
      </c>
      <c r="D107" s="18">
        <f t="shared" si="7"/>
        <v>80431.485470414191</v>
      </c>
      <c r="E107" s="18">
        <f t="shared" si="8"/>
        <v>-28151.019914644963</v>
      </c>
      <c r="F107" s="18">
        <f t="shared" si="9"/>
        <v>-104560.93111153846</v>
      </c>
      <c r="G107" s="18">
        <f t="shared" si="10"/>
        <v>52280.465555769239</v>
      </c>
      <c r="H107" s="18">
        <f t="shared" si="11"/>
        <v>-298745.51746153849</v>
      </c>
      <c r="I107" s="26"/>
      <c r="J107" s="26" t="s">
        <v>84</v>
      </c>
      <c r="K107" s="26">
        <f t="shared" si="14"/>
        <v>24895.45978846154</v>
      </c>
      <c r="L107" s="26">
        <f t="shared" si="14"/>
        <v>6702.6237892011823</v>
      </c>
      <c r="M107" s="26">
        <f t="shared" si="14"/>
        <v>-2345.9183262204137</v>
      </c>
      <c r="N107" s="26">
        <f t="shared" si="14"/>
        <v>-8713.4109259615379</v>
      </c>
      <c r="O107" s="26">
        <f t="shared" si="14"/>
        <v>4356.7054629807699</v>
      </c>
      <c r="P107" s="26">
        <f t="shared" si="14"/>
        <v>-24895.45978846154</v>
      </c>
    </row>
    <row r="108" spans="1:16" hidden="1" outlineLevel="1" x14ac:dyDescent="0.25">
      <c r="A108" s="16">
        <v>2066</v>
      </c>
      <c r="C108" s="18">
        <f t="shared" si="5"/>
        <v>298745.51746153849</v>
      </c>
      <c r="D108" s="18">
        <f t="shared" si="7"/>
        <v>80431.485470414191</v>
      </c>
      <c r="E108" s="18">
        <f t="shared" si="8"/>
        <v>-28151.019914644963</v>
      </c>
      <c r="F108" s="18">
        <f t="shared" si="9"/>
        <v>-104560.93111153846</v>
      </c>
      <c r="G108" s="18">
        <f t="shared" si="10"/>
        <v>52280.465555769239</v>
      </c>
      <c r="H108" s="18">
        <f t="shared" si="11"/>
        <v>-298745.51746153849</v>
      </c>
      <c r="I108" s="26"/>
      <c r="J108" s="26" t="s">
        <v>85</v>
      </c>
      <c r="K108" s="26">
        <f t="shared" si="14"/>
        <v>24895.45978846154</v>
      </c>
      <c r="L108" s="26">
        <f t="shared" si="14"/>
        <v>6702.6237892011823</v>
      </c>
      <c r="M108" s="26">
        <f t="shared" si="14"/>
        <v>-2345.9183262204137</v>
      </c>
      <c r="N108" s="26">
        <f t="shared" si="14"/>
        <v>-8713.4109259615379</v>
      </c>
      <c r="O108" s="26">
        <f t="shared" si="14"/>
        <v>4356.7054629807699</v>
      </c>
      <c r="P108" s="26">
        <f t="shared" si="14"/>
        <v>-24895.45978846154</v>
      </c>
    </row>
    <row r="109" spans="1:16" hidden="1" outlineLevel="1" x14ac:dyDescent="0.25">
      <c r="A109" s="16">
        <v>2067</v>
      </c>
      <c r="C109" s="18">
        <f t="shared" si="5"/>
        <v>298745.51746153849</v>
      </c>
      <c r="D109" s="18">
        <f t="shared" si="7"/>
        <v>80431.485470414191</v>
      </c>
      <c r="E109" s="18">
        <f t="shared" si="8"/>
        <v>-28151.019914644963</v>
      </c>
      <c r="F109" s="18">
        <f t="shared" si="9"/>
        <v>-104560.93111153846</v>
      </c>
      <c r="G109" s="18">
        <f t="shared" si="10"/>
        <v>52280.465555769239</v>
      </c>
      <c r="H109" s="18">
        <f t="shared" si="11"/>
        <v>-298745.51746153849</v>
      </c>
      <c r="I109" s="26"/>
      <c r="J109" s="26" t="s">
        <v>86</v>
      </c>
      <c r="K109" s="26">
        <f t="shared" si="14"/>
        <v>24895.45978846154</v>
      </c>
      <c r="L109" s="26">
        <f t="shared" si="14"/>
        <v>6702.6237892011823</v>
      </c>
      <c r="M109" s="26">
        <f t="shared" si="14"/>
        <v>-2345.9183262204137</v>
      </c>
      <c r="N109" s="26">
        <f t="shared" si="14"/>
        <v>-8713.4109259615379</v>
      </c>
      <c r="O109" s="26">
        <f t="shared" si="14"/>
        <v>4356.7054629807699</v>
      </c>
      <c r="P109" s="26">
        <f t="shared" si="14"/>
        <v>-24895.45978846154</v>
      </c>
    </row>
    <row r="110" spans="1:16" hidden="1" outlineLevel="1" x14ac:dyDescent="0.25">
      <c r="A110" s="16">
        <v>2068</v>
      </c>
      <c r="C110" s="18">
        <f t="shared" si="5"/>
        <v>298745.51746153849</v>
      </c>
      <c r="D110" s="18">
        <f t="shared" si="7"/>
        <v>80431.485470414191</v>
      </c>
      <c r="E110" s="18">
        <f t="shared" si="8"/>
        <v>-28151.019914644963</v>
      </c>
      <c r="F110" s="18">
        <f t="shared" si="9"/>
        <v>-104560.93111153846</v>
      </c>
      <c r="G110" s="18">
        <f t="shared" si="10"/>
        <v>52280.465555769239</v>
      </c>
      <c r="H110" s="18">
        <f t="shared" si="11"/>
        <v>-298745.51746153849</v>
      </c>
      <c r="I110" s="26"/>
      <c r="J110" s="26" t="s">
        <v>87</v>
      </c>
      <c r="K110" s="26">
        <f t="shared" si="14"/>
        <v>24895.45978846154</v>
      </c>
      <c r="L110" s="26">
        <f t="shared" si="14"/>
        <v>6702.6237892011823</v>
      </c>
      <c r="M110" s="26">
        <f t="shared" si="14"/>
        <v>-2345.9183262204137</v>
      </c>
      <c r="N110" s="26">
        <f t="shared" si="14"/>
        <v>-8713.4109259615379</v>
      </c>
      <c r="O110" s="26">
        <f t="shared" si="14"/>
        <v>4356.7054629807699</v>
      </c>
      <c r="P110" s="26">
        <f t="shared" si="14"/>
        <v>-24895.45978846154</v>
      </c>
    </row>
    <row r="111" spans="1:16" hidden="1" outlineLevel="1" x14ac:dyDescent="0.25">
      <c r="A111" s="16">
        <v>2069</v>
      </c>
      <c r="C111" s="18">
        <f t="shared" si="5"/>
        <v>298745.51746153849</v>
      </c>
      <c r="D111" s="18">
        <f t="shared" si="7"/>
        <v>80431.485470414191</v>
      </c>
      <c r="E111" s="18">
        <f t="shared" si="8"/>
        <v>-28151.019914644963</v>
      </c>
      <c r="F111" s="18">
        <f t="shared" si="9"/>
        <v>-104560.93111153846</v>
      </c>
      <c r="G111" s="18">
        <f t="shared" si="10"/>
        <v>52280.465555769239</v>
      </c>
      <c r="H111" s="18">
        <f t="shared" si="11"/>
        <v>-298745.51746153849</v>
      </c>
      <c r="I111" s="26"/>
      <c r="J111" s="26" t="s">
        <v>23</v>
      </c>
      <c r="K111" s="26">
        <f t="shared" si="14"/>
        <v>24895.45978846154</v>
      </c>
      <c r="L111" s="26">
        <f t="shared" si="14"/>
        <v>6702.6237892011823</v>
      </c>
      <c r="M111" s="26">
        <f t="shared" si="14"/>
        <v>-2345.9183262204137</v>
      </c>
      <c r="N111" s="26">
        <f t="shared" si="14"/>
        <v>-8713.4109259615379</v>
      </c>
      <c r="O111" s="26">
        <f t="shared" si="14"/>
        <v>4356.7054629807699</v>
      </c>
      <c r="P111" s="26">
        <f t="shared" si="14"/>
        <v>-24895.45978846154</v>
      </c>
    </row>
    <row r="112" spans="1:16" hidden="1" outlineLevel="1" x14ac:dyDescent="0.25">
      <c r="A112" s="16">
        <v>2070</v>
      </c>
      <c r="C112" s="18">
        <f t="shared" si="5"/>
        <v>298745.51746153849</v>
      </c>
      <c r="D112" s="18">
        <f t="shared" si="7"/>
        <v>80431.485470414191</v>
      </c>
      <c r="E112" s="18">
        <f t="shared" si="8"/>
        <v>-28151.019914644963</v>
      </c>
      <c r="F112" s="18">
        <f t="shared" si="9"/>
        <v>-104560.93111153846</v>
      </c>
      <c r="G112" s="18">
        <f t="shared" si="10"/>
        <v>52280.465555769239</v>
      </c>
      <c r="H112" s="18">
        <f t="shared" si="11"/>
        <v>-298745.51746153849</v>
      </c>
      <c r="I112" s="26"/>
      <c r="J112" s="26" t="s">
        <v>88</v>
      </c>
      <c r="K112" s="26">
        <f t="shared" si="14"/>
        <v>24895.45978846154</v>
      </c>
      <c r="L112" s="26">
        <f t="shared" si="14"/>
        <v>6702.6237892011823</v>
      </c>
      <c r="M112" s="26">
        <f t="shared" si="14"/>
        <v>-2345.9183262204137</v>
      </c>
      <c r="N112" s="26">
        <f t="shared" si="14"/>
        <v>-8713.4109259615379</v>
      </c>
      <c r="O112" s="26">
        <f t="shared" si="14"/>
        <v>4356.7054629807699</v>
      </c>
      <c r="P112" s="26">
        <f t="shared" si="14"/>
        <v>-24895.45978846154</v>
      </c>
    </row>
    <row r="113" spans="1:16" hidden="1" outlineLevel="1" x14ac:dyDescent="0.25">
      <c r="A113" s="16">
        <v>2071</v>
      </c>
      <c r="C113" s="18">
        <f t="shared" si="5"/>
        <v>298745.51746153849</v>
      </c>
      <c r="D113" s="18">
        <f t="shared" si="7"/>
        <v>80431.485470414191</v>
      </c>
      <c r="E113" s="18">
        <f t="shared" si="8"/>
        <v>-28151.019914644963</v>
      </c>
      <c r="F113" s="18">
        <f t="shared" si="9"/>
        <v>-104560.93111153846</v>
      </c>
      <c r="G113" s="18">
        <f t="shared" si="10"/>
        <v>52280.465555769239</v>
      </c>
      <c r="H113" s="18">
        <f t="shared" si="11"/>
        <v>-298745.51746153849</v>
      </c>
      <c r="I113" s="26"/>
      <c r="J113" s="26" t="s">
        <v>89</v>
      </c>
      <c r="K113" s="26">
        <f t="shared" si="14"/>
        <v>24895.45978846154</v>
      </c>
      <c r="L113" s="26">
        <f t="shared" si="14"/>
        <v>6702.6237892011823</v>
      </c>
      <c r="M113" s="26">
        <f t="shared" si="14"/>
        <v>-2345.9183262204137</v>
      </c>
      <c r="N113" s="26">
        <f t="shared" si="14"/>
        <v>-8713.4109259615379</v>
      </c>
      <c r="O113" s="26">
        <f t="shared" si="14"/>
        <v>4356.7054629807699</v>
      </c>
      <c r="P113" s="26">
        <f t="shared" si="14"/>
        <v>-24895.45978846154</v>
      </c>
    </row>
    <row r="114" spans="1:16" hidden="1" outlineLevel="1" x14ac:dyDescent="0.25">
      <c r="A114" s="16">
        <v>2072</v>
      </c>
      <c r="C114" s="18">
        <f t="shared" si="5"/>
        <v>298745.51746153849</v>
      </c>
      <c r="D114" s="18">
        <f t="shared" si="7"/>
        <v>80431.485470414191</v>
      </c>
      <c r="E114" s="18">
        <f t="shared" si="8"/>
        <v>-28151.019914644963</v>
      </c>
      <c r="F114" s="18">
        <f t="shared" si="9"/>
        <v>-104560.93111153846</v>
      </c>
      <c r="G114" s="18">
        <f t="shared" si="10"/>
        <v>52280.465555769239</v>
      </c>
      <c r="H114" s="18">
        <f t="shared" si="11"/>
        <v>-298745.51746153849</v>
      </c>
      <c r="I114" s="26"/>
      <c r="J114" s="26" t="s">
        <v>90</v>
      </c>
      <c r="K114" s="26">
        <f t="shared" si="14"/>
        <v>24895.45978846154</v>
      </c>
      <c r="L114" s="26">
        <f t="shared" si="14"/>
        <v>6702.6237892011823</v>
      </c>
      <c r="M114" s="26">
        <f t="shared" si="14"/>
        <v>-2345.9183262204137</v>
      </c>
      <c r="N114" s="26">
        <f t="shared" si="14"/>
        <v>-8713.4109259615379</v>
      </c>
      <c r="O114" s="26">
        <f t="shared" si="14"/>
        <v>4356.7054629807699</v>
      </c>
      <c r="P114" s="26">
        <f t="shared" si="14"/>
        <v>-24895.45978846154</v>
      </c>
    </row>
    <row r="115" spans="1:16" hidden="1" outlineLevel="1" x14ac:dyDescent="0.25">
      <c r="A115" s="16">
        <v>2073</v>
      </c>
      <c r="C115" s="18">
        <f t="shared" si="5"/>
        <v>298745.51746153849</v>
      </c>
      <c r="D115" s="18">
        <f t="shared" si="7"/>
        <v>80431.485470414191</v>
      </c>
      <c r="E115" s="18">
        <f t="shared" si="8"/>
        <v>-28151.019914644963</v>
      </c>
      <c r="F115" s="18">
        <f t="shared" si="9"/>
        <v>-104560.93111153846</v>
      </c>
      <c r="G115" s="18">
        <f t="shared" si="10"/>
        <v>52280.465555769239</v>
      </c>
      <c r="H115" s="18">
        <f t="shared" si="11"/>
        <v>-298745.51746153849</v>
      </c>
      <c r="I115" s="26"/>
      <c r="J115" s="26" t="s">
        <v>91</v>
      </c>
      <c r="K115" s="26">
        <f t="shared" si="14"/>
        <v>24895.45978846154</v>
      </c>
      <c r="L115" s="26">
        <f t="shared" si="14"/>
        <v>6702.6237892011823</v>
      </c>
      <c r="M115" s="26">
        <f t="shared" si="14"/>
        <v>-2345.9183262204137</v>
      </c>
      <c r="N115" s="26">
        <f t="shared" si="14"/>
        <v>-8713.4109259615379</v>
      </c>
      <c r="O115" s="26">
        <f t="shared" si="14"/>
        <v>4356.7054629807699</v>
      </c>
      <c r="P115" s="26">
        <f t="shared" si="14"/>
        <v>-24895.45978846154</v>
      </c>
    </row>
    <row r="116" spans="1:16" hidden="1" outlineLevel="1" x14ac:dyDescent="0.25">
      <c r="A116" s="16">
        <v>2074</v>
      </c>
      <c r="C116" s="18">
        <f t="shared" si="5"/>
        <v>298745.51746153849</v>
      </c>
      <c r="D116" s="18">
        <f t="shared" si="7"/>
        <v>80431.485470414191</v>
      </c>
      <c r="E116" s="18">
        <f t="shared" si="8"/>
        <v>-28151.019914644963</v>
      </c>
      <c r="F116" s="18">
        <f t="shared" si="9"/>
        <v>-104560.93111153846</v>
      </c>
      <c r="G116" s="18">
        <f t="shared" si="10"/>
        <v>52280.465555769239</v>
      </c>
      <c r="H116" s="18">
        <f t="shared" si="11"/>
        <v>-298745.51746153849</v>
      </c>
      <c r="I116" s="26"/>
      <c r="J116" s="26" t="s">
        <v>92</v>
      </c>
      <c r="K116" s="26">
        <f t="shared" si="14"/>
        <v>24895.45978846154</v>
      </c>
      <c r="L116" s="26">
        <f t="shared" si="14"/>
        <v>6702.6237892011823</v>
      </c>
      <c r="M116" s="26">
        <f t="shared" si="14"/>
        <v>-2345.9183262204137</v>
      </c>
      <c r="N116" s="26">
        <f t="shared" si="14"/>
        <v>-8713.4109259615379</v>
      </c>
      <c r="O116" s="26">
        <f t="shared" si="14"/>
        <v>4356.7054629807699</v>
      </c>
      <c r="P116" s="26">
        <f t="shared" si="14"/>
        <v>-24895.45978846154</v>
      </c>
    </row>
    <row r="117" spans="1:16" hidden="1" outlineLevel="1" x14ac:dyDescent="0.25">
      <c r="A117" s="16">
        <v>2075</v>
      </c>
      <c r="C117" s="18">
        <f t="shared" si="5"/>
        <v>298745.51746153849</v>
      </c>
      <c r="D117" s="18">
        <f t="shared" si="7"/>
        <v>80431.485470414191</v>
      </c>
      <c r="E117" s="18">
        <f t="shared" si="8"/>
        <v>-28151.019914644963</v>
      </c>
      <c r="F117" s="18">
        <f t="shared" si="9"/>
        <v>-104560.93111153846</v>
      </c>
      <c r="G117" s="18">
        <f t="shared" si="10"/>
        <v>52280.465555769239</v>
      </c>
      <c r="H117" s="18">
        <f t="shared" si="11"/>
        <v>-298745.51746153849</v>
      </c>
      <c r="I117" s="26"/>
      <c r="J117" s="26" t="s">
        <v>93</v>
      </c>
      <c r="K117" s="26">
        <f t="shared" si="14"/>
        <v>24895.45978846154</v>
      </c>
      <c r="L117" s="26">
        <f t="shared" si="14"/>
        <v>6702.6237892011823</v>
      </c>
      <c r="M117" s="26">
        <f t="shared" si="14"/>
        <v>-2345.9183262204137</v>
      </c>
      <c r="N117" s="26">
        <f t="shared" si="14"/>
        <v>-8713.4109259615379</v>
      </c>
      <c r="O117" s="26">
        <f t="shared" si="14"/>
        <v>4356.7054629807699</v>
      </c>
      <c r="P117" s="26">
        <f t="shared" si="14"/>
        <v>-24895.45978846154</v>
      </c>
    </row>
    <row r="118" spans="1:16" hidden="1" outlineLevel="1" x14ac:dyDescent="0.25">
      <c r="A118" s="16">
        <v>2076</v>
      </c>
      <c r="C118" s="18">
        <f t="shared" si="5"/>
        <v>298745.51746153849</v>
      </c>
      <c r="D118" s="18">
        <f t="shared" si="7"/>
        <v>80431.485470414191</v>
      </c>
      <c r="E118" s="18">
        <f t="shared" si="8"/>
        <v>-28151.019914644963</v>
      </c>
      <c r="F118" s="18">
        <f t="shared" si="9"/>
        <v>-104560.93111153846</v>
      </c>
      <c r="G118" s="18">
        <f t="shared" si="10"/>
        <v>52280.465555769239</v>
      </c>
      <c r="H118" s="18">
        <f t="shared" si="11"/>
        <v>-298745.51746153849</v>
      </c>
      <c r="I118" s="26"/>
      <c r="J118" s="26" t="s">
        <v>83</v>
      </c>
      <c r="K118" s="26">
        <f t="shared" si="14"/>
        <v>24895.45978846154</v>
      </c>
      <c r="L118" s="26">
        <f t="shared" si="14"/>
        <v>6702.6237892011823</v>
      </c>
      <c r="M118" s="26">
        <f t="shared" si="14"/>
        <v>-2345.9183262204137</v>
      </c>
      <c r="N118" s="26">
        <f t="shared" si="14"/>
        <v>-8713.4109259615379</v>
      </c>
      <c r="O118" s="26">
        <f t="shared" si="14"/>
        <v>4356.7054629807699</v>
      </c>
      <c r="P118" s="26">
        <f t="shared" si="14"/>
        <v>-24895.45978846154</v>
      </c>
    </row>
    <row r="119" spans="1:16" hidden="1" outlineLevel="1" x14ac:dyDescent="0.25">
      <c r="A119" s="16">
        <v>2077</v>
      </c>
      <c r="C119" s="18">
        <f t="shared" si="5"/>
        <v>298745.51746153849</v>
      </c>
      <c r="D119" s="18">
        <f t="shared" si="7"/>
        <v>80431.485470414191</v>
      </c>
      <c r="E119" s="18">
        <f t="shared" si="8"/>
        <v>-28151.019914644963</v>
      </c>
      <c r="F119" s="18">
        <f t="shared" si="9"/>
        <v>-104560.93111153846</v>
      </c>
      <c r="G119" s="18">
        <f t="shared" si="10"/>
        <v>52280.465555769239</v>
      </c>
      <c r="H119" s="18">
        <f t="shared" si="11"/>
        <v>-298745.51746153849</v>
      </c>
      <c r="I119" s="26"/>
      <c r="J119" s="26" t="s">
        <v>84</v>
      </c>
      <c r="K119" s="26">
        <f t="shared" si="14"/>
        <v>24895.45978846154</v>
      </c>
      <c r="L119" s="26">
        <f t="shared" si="14"/>
        <v>6702.6237892011823</v>
      </c>
      <c r="M119" s="26">
        <f t="shared" si="14"/>
        <v>-2345.9183262204137</v>
      </c>
      <c r="N119" s="26">
        <f t="shared" ref="N119:P123" si="15">F118/12</f>
        <v>-8713.4109259615379</v>
      </c>
      <c r="O119" s="26">
        <f t="shared" si="15"/>
        <v>4356.7054629807699</v>
      </c>
      <c r="P119" s="26">
        <f t="shared" si="15"/>
        <v>-24895.45978846154</v>
      </c>
    </row>
    <row r="120" spans="1:16" hidden="1" outlineLevel="1" x14ac:dyDescent="0.25">
      <c r="A120" s="16">
        <v>2078</v>
      </c>
      <c r="C120" s="18">
        <f t="shared" si="5"/>
        <v>298745.51746153849</v>
      </c>
      <c r="D120" s="18">
        <f t="shared" si="7"/>
        <v>80431.485470414191</v>
      </c>
      <c r="E120" s="18">
        <f t="shared" si="8"/>
        <v>-28151.019914644963</v>
      </c>
      <c r="F120" s="18">
        <f t="shared" si="9"/>
        <v>-104560.93111153846</v>
      </c>
      <c r="G120" s="18">
        <f t="shared" si="10"/>
        <v>52280.465555769239</v>
      </c>
      <c r="H120" s="18">
        <f t="shared" si="11"/>
        <v>-298745.51746153849</v>
      </c>
      <c r="I120" s="26"/>
      <c r="J120" s="26" t="s">
        <v>85</v>
      </c>
      <c r="K120" s="26">
        <f t="shared" ref="K120:M123" si="16">C119/12</f>
        <v>24895.45978846154</v>
      </c>
      <c r="L120" s="26">
        <f t="shared" si="16"/>
        <v>6702.6237892011823</v>
      </c>
      <c r="M120" s="26">
        <f t="shared" si="16"/>
        <v>-2345.9183262204137</v>
      </c>
      <c r="N120" s="26">
        <f t="shared" si="15"/>
        <v>-8713.4109259615379</v>
      </c>
      <c r="O120" s="26">
        <f t="shared" si="15"/>
        <v>4356.7054629807699</v>
      </c>
      <c r="P120" s="26">
        <f t="shared" si="15"/>
        <v>-24895.45978846154</v>
      </c>
    </row>
    <row r="121" spans="1:16" hidden="1" outlineLevel="1" x14ac:dyDescent="0.25">
      <c r="A121" s="16">
        <v>2079</v>
      </c>
      <c r="C121" s="18">
        <f t="shared" si="5"/>
        <v>298745.51746153849</v>
      </c>
      <c r="D121" s="18">
        <f t="shared" si="7"/>
        <v>80431.485470414191</v>
      </c>
      <c r="E121" s="18">
        <f t="shared" si="8"/>
        <v>-28151.019914644963</v>
      </c>
      <c r="F121" s="18">
        <f t="shared" si="9"/>
        <v>-104560.93111153846</v>
      </c>
      <c r="G121" s="18">
        <f t="shared" si="10"/>
        <v>52280.465555769239</v>
      </c>
      <c r="H121" s="18">
        <f t="shared" si="11"/>
        <v>-298745.51746153849</v>
      </c>
      <c r="I121" s="26"/>
      <c r="J121" s="26" t="s">
        <v>86</v>
      </c>
      <c r="K121" s="26">
        <f t="shared" si="16"/>
        <v>24895.45978846154</v>
      </c>
      <c r="L121" s="26">
        <f t="shared" si="16"/>
        <v>6702.6237892011823</v>
      </c>
      <c r="M121" s="26">
        <f t="shared" si="16"/>
        <v>-2345.9183262204137</v>
      </c>
      <c r="N121" s="26">
        <f t="shared" si="15"/>
        <v>-8713.4109259615379</v>
      </c>
      <c r="O121" s="26">
        <f t="shared" si="15"/>
        <v>4356.7054629807699</v>
      </c>
      <c r="P121" s="26">
        <f t="shared" si="15"/>
        <v>-24895.45978846154</v>
      </c>
    </row>
    <row r="122" spans="1:16" hidden="1" outlineLevel="1" x14ac:dyDescent="0.25">
      <c r="A122" s="16">
        <v>2080</v>
      </c>
      <c r="C122" s="18">
        <f t="shared" si="5"/>
        <v>298745.51746153849</v>
      </c>
      <c r="D122" s="18">
        <f t="shared" si="7"/>
        <v>80431.485470414191</v>
      </c>
      <c r="E122" s="18">
        <f t="shared" si="8"/>
        <v>-28151.019914644963</v>
      </c>
      <c r="F122" s="18">
        <f t="shared" si="9"/>
        <v>-104560.93111153846</v>
      </c>
      <c r="G122" s="18">
        <f t="shared" si="10"/>
        <v>52280.465555769239</v>
      </c>
      <c r="H122" s="18">
        <f t="shared" si="11"/>
        <v>-298745.51746153849</v>
      </c>
      <c r="I122" s="26"/>
      <c r="J122" s="26" t="s">
        <v>87</v>
      </c>
      <c r="K122" s="26">
        <f t="shared" si="16"/>
        <v>24895.45978846154</v>
      </c>
      <c r="L122" s="26">
        <f t="shared" si="16"/>
        <v>6702.6237892011823</v>
      </c>
      <c r="M122" s="26">
        <f t="shared" si="16"/>
        <v>-2345.9183262204137</v>
      </c>
      <c r="N122" s="26">
        <f t="shared" si="15"/>
        <v>-8713.4109259615379</v>
      </c>
      <c r="O122" s="26">
        <f t="shared" si="15"/>
        <v>4356.7054629807699</v>
      </c>
      <c r="P122" s="26">
        <f t="shared" si="15"/>
        <v>-24895.45978846154</v>
      </c>
    </row>
    <row r="123" spans="1:16" collapsed="1" x14ac:dyDescent="0.25">
      <c r="C123" s="18"/>
      <c r="D123" s="18"/>
      <c r="E123" s="18"/>
      <c r="F123" s="18"/>
      <c r="G123" s="18"/>
      <c r="H123" s="18"/>
      <c r="I123" s="26"/>
      <c r="J123" s="26" t="s">
        <v>83</v>
      </c>
      <c r="K123" s="26">
        <f t="shared" si="16"/>
        <v>24895.45978846154</v>
      </c>
      <c r="L123" s="26">
        <f t="shared" si="16"/>
        <v>6702.6237892011823</v>
      </c>
      <c r="M123" s="26">
        <f t="shared" si="16"/>
        <v>-2345.9183262204137</v>
      </c>
      <c r="N123" s="26">
        <f t="shared" si="15"/>
        <v>-8713.4109259615379</v>
      </c>
      <c r="O123" s="26">
        <f t="shared" si="15"/>
        <v>4356.7054629807699</v>
      </c>
      <c r="P123" s="26">
        <f t="shared" si="15"/>
        <v>-24895.45978846154</v>
      </c>
    </row>
    <row r="124" spans="1:16" ht="16.5" thickBot="1" x14ac:dyDescent="0.3">
      <c r="C124" s="59">
        <f>SUM(C57:C123)</f>
        <v>19418459.117538456</v>
      </c>
      <c r="D124" s="59">
        <f t="shared" ref="D124:H124" si="17">SUM(D57:D123)</f>
        <v>5228045.5901065068</v>
      </c>
      <c r="E124" s="59">
        <f t="shared" si="17"/>
        <v>-1829815.8745372794</v>
      </c>
      <c r="F124" s="59">
        <f t="shared" si="17"/>
        <v>-6796460.2811384676</v>
      </c>
      <c r="G124" s="59">
        <f t="shared" si="17"/>
        <v>3398229.8655692339</v>
      </c>
      <c r="H124" s="59">
        <f t="shared" si="17"/>
        <v>-19418459.417538457</v>
      </c>
      <c r="I124" s="26">
        <f t="shared" ref="I124:I125" si="18">SUM(C124:H124)</f>
        <v>-1.0000000074505806</v>
      </c>
      <c r="J124" s="26"/>
      <c r="K124" s="26"/>
      <c r="L124" s="58"/>
      <c r="M124" s="58"/>
      <c r="N124" s="58"/>
      <c r="O124" s="58"/>
      <c r="P124" s="58"/>
    </row>
    <row r="125" spans="1:16" x14ac:dyDescent="0.25">
      <c r="C125" s="60">
        <f t="shared" ref="C125:H125" si="19">C124+C54</f>
        <v>0.48253845423460007</v>
      </c>
      <c r="D125" s="60">
        <f t="shared" si="19"/>
        <v>-0.96547041554003954</v>
      </c>
      <c r="E125" s="60">
        <f t="shared" si="19"/>
        <v>0.41991464328020811</v>
      </c>
      <c r="F125" s="60">
        <f t="shared" si="19"/>
        <v>0.24111153278499842</v>
      </c>
      <c r="G125" s="60">
        <f t="shared" si="19"/>
        <v>-0.39555576676502824</v>
      </c>
      <c r="H125" s="60">
        <f t="shared" si="19"/>
        <v>-0.78253845497965813</v>
      </c>
      <c r="I125" s="26">
        <f t="shared" si="18"/>
        <v>-1.0000000069849193</v>
      </c>
      <c r="J125" s="26"/>
      <c r="K125" s="26"/>
      <c r="L125" s="58"/>
      <c r="M125" s="58"/>
      <c r="N125" s="58"/>
      <c r="O125" s="58"/>
      <c r="P125" s="58"/>
    </row>
    <row r="126" spans="1:16" x14ac:dyDescent="0.25">
      <c r="C126" s="60"/>
      <c r="J126" s="26"/>
      <c r="K126" s="26"/>
      <c r="L126" s="58"/>
      <c r="M126" s="58"/>
      <c r="N126" s="58"/>
      <c r="O126" s="58"/>
      <c r="P126" s="58"/>
    </row>
    <row r="127" spans="1:16" x14ac:dyDescent="0.25">
      <c r="C127" s="60"/>
      <c r="J127" s="26"/>
      <c r="K127" s="26"/>
      <c r="L127" s="58"/>
      <c r="M127" s="58"/>
      <c r="N127" s="58"/>
      <c r="O127" s="58"/>
      <c r="P127" s="58"/>
    </row>
    <row r="128" spans="1:16" x14ac:dyDescent="0.25">
      <c r="J128" s="26"/>
      <c r="K128" s="26"/>
      <c r="L128" s="58"/>
      <c r="M128" s="58"/>
      <c r="N128" s="58"/>
      <c r="O128" s="58"/>
      <c r="P128" s="58"/>
    </row>
    <row r="129" spans="10:16" x14ac:dyDescent="0.25">
      <c r="J129" s="26"/>
      <c r="K129" s="26"/>
      <c r="L129" s="58"/>
      <c r="M129" s="58"/>
      <c r="N129" s="58"/>
      <c r="O129" s="58"/>
      <c r="P129" s="58"/>
    </row>
    <row r="130" spans="10:16" x14ac:dyDescent="0.25">
      <c r="J130" s="26"/>
      <c r="K130" s="26"/>
      <c r="L130" s="58"/>
      <c r="M130" s="58"/>
      <c r="N130" s="58"/>
      <c r="O130" s="58"/>
      <c r="P130" s="58"/>
    </row>
    <row r="131" spans="10:16" x14ac:dyDescent="0.25">
      <c r="J131" s="26"/>
      <c r="K131" s="26"/>
      <c r="L131" s="58"/>
      <c r="M131" s="58"/>
      <c r="N131" s="58"/>
      <c r="O131" s="58"/>
      <c r="P131" s="58"/>
    </row>
    <row r="132" spans="10:16" x14ac:dyDescent="0.25">
      <c r="J132" s="26"/>
      <c r="K132" s="26"/>
      <c r="L132" s="58"/>
      <c r="M132" s="58"/>
      <c r="N132" s="58"/>
      <c r="O132" s="58"/>
      <c r="P132" s="58"/>
    </row>
  </sheetData>
  <printOptions horizontalCentered="1"/>
  <pageMargins left="0.75" right="0.75" top="1" bottom="1" header="0.5" footer="0.5"/>
  <pageSetup scale="41" orientation="landscape" r:id="rId1"/>
  <headerFooter alignWithMargins="0">
    <oddFooter>&amp;R&amp;8&amp;Z
&amp;F  &amp;A
&amp;D  &amp;T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E599AF-7FCF-4402-AFD0-C3D5063A65C3}"/>
</file>

<file path=customXml/itemProps2.xml><?xml version="1.0" encoding="utf-8"?>
<ds:datastoreItem xmlns:ds="http://schemas.openxmlformats.org/officeDocument/2006/customXml" ds:itemID="{361436BB-06CC-4037-8232-721C9541A56F}"/>
</file>

<file path=customXml/itemProps3.xml><?xml version="1.0" encoding="utf-8"?>
<ds:datastoreItem xmlns:ds="http://schemas.openxmlformats.org/officeDocument/2006/customXml" ds:itemID="{15AC3739-07BB-4E1B-9CA2-E9DB89874101}"/>
</file>

<file path=customXml/itemProps4.xml><?xml version="1.0" encoding="utf-8"?>
<ds:datastoreItem xmlns:ds="http://schemas.openxmlformats.org/officeDocument/2006/customXml" ds:itemID="{901E1617-7482-4284-90CE-E85E255CD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ITC Summary</vt:lpstr>
      <vt:lpstr>Nine Mile</vt:lpstr>
      <vt:lpstr>'ITC Summary'!Print_Area</vt:lpstr>
      <vt:lpstr>'Nine Mile'!Print_Area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Knox, Tara</cp:lastModifiedBy>
  <cp:lastPrinted>2018-04-11T18:30:26Z</cp:lastPrinted>
  <dcterms:created xsi:type="dcterms:W3CDTF">2012-02-27T15:26:31Z</dcterms:created>
  <dcterms:modified xsi:type="dcterms:W3CDTF">2020-04-13T21:04:54Z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